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7875"/>
  </bookViews>
  <sheets>
    <sheet name="PSE" sheetId="1" r:id="rId1"/>
    <sheet name="2 Year" sheetId="4" r:id="rId2"/>
    <sheet name="4 Year" sheetId="5" r:id="rId3"/>
    <sheet name="2 Year&amp;4 Year" sheetId="6" r:id="rId4"/>
    <sheet name="BOR" sheetId="7" r:id="rId5"/>
    <sheet name="LUMCON" sheetId="8" r:id="rId6"/>
    <sheet name="LOSFA" sheetId="9" r:id="rId7"/>
    <sheet name="UL System" sheetId="10" r:id="rId8"/>
    <sheet name="UL BOS" sheetId="30" r:id="rId9"/>
    <sheet name="McNeese" sheetId="2" r:id="rId10"/>
    <sheet name="LATech" sheetId="3" r:id="rId11"/>
    <sheet name="ULM" sheetId="14" r:id="rId12"/>
    <sheet name="ULL" sheetId="29" r:id="rId13"/>
    <sheet name="GSU" sheetId="28" r:id="rId14"/>
    <sheet name="SLU" sheetId="27" r:id="rId15"/>
    <sheet name="NSU" sheetId="26" r:id="rId16"/>
    <sheet name="Nicholls" sheetId="25" r:id="rId17"/>
    <sheet name="LSU System" sheetId="11" r:id="rId18"/>
    <sheet name="LSU BOS" sheetId="61" r:id="rId19"/>
    <sheet name="LSUBR" sheetId="60" r:id="rId20"/>
    <sheet name="LSUA" sheetId="59" r:id="rId21"/>
    <sheet name="LSUS" sheetId="58" r:id="rId22"/>
    <sheet name="UNO" sheetId="57" r:id="rId23"/>
    <sheet name="LSUE" sheetId="56" r:id="rId24"/>
    <sheet name="LSULAW" sheetId="55" r:id="rId25"/>
    <sheet name="LSUAG" sheetId="54" r:id="rId26"/>
    <sheet name="Penn" sheetId="53" r:id="rId27"/>
    <sheet name="EAConway" sheetId="52" r:id="rId28"/>
    <sheet name="HPLong" sheetId="51" r:id="rId29"/>
    <sheet name="HSCNO" sheetId="50" r:id="rId30"/>
    <sheet name="HSCS" sheetId="49" r:id="rId31"/>
    <sheet name="SU System" sheetId="12" r:id="rId32"/>
    <sheet name="SU BOS" sheetId="23" r:id="rId33"/>
    <sheet name="SUBR" sheetId="22" r:id="rId34"/>
    <sheet name="SUNO" sheetId="21" r:id="rId35"/>
    <sheet name="SUS" sheetId="20" r:id="rId36"/>
    <sheet name="SUAg" sheetId="19" r:id="rId37"/>
    <sheet name="SULaw" sheetId="18" r:id="rId38"/>
    <sheet name="LCTC System" sheetId="13" r:id="rId39"/>
    <sheet name="LCTC BOS" sheetId="31" r:id="rId40"/>
    <sheet name="Online" sheetId="32" r:id="rId41"/>
    <sheet name="BRCC" sheetId="33" r:id="rId42"/>
    <sheet name="BPCC" sheetId="34" r:id="rId43"/>
    <sheet name="Delgado" sheetId="35" r:id="rId44"/>
    <sheet name="Fletcher" sheetId="36" r:id="rId45"/>
    <sheet name="LDCC" sheetId="37" r:id="rId46"/>
    <sheet name="NorthshoreTCC" sheetId="38" r:id="rId47"/>
    <sheet name="Nunez" sheetId="39" r:id="rId48"/>
    <sheet name="RPCC" sheetId="40" r:id="rId49"/>
    <sheet name="SLCC" sheetId="41" r:id="rId50"/>
    <sheet name="Sowela" sheetId="42" r:id="rId51"/>
    <sheet name="LTC" sheetId="43" r:id="rId52"/>
  </sheets>
  <externalReferences>
    <externalReference r:id="rId53"/>
    <externalReference r:id="rId54"/>
  </externalReferences>
  <definedNames>
    <definedName name="_xlnm.Print_Area" localSheetId="1">'2 Year'!$A$1:$F$99</definedName>
    <definedName name="_xlnm.Print_Area" localSheetId="3">'2 Year&amp;4 Year'!$A$1:$F$99</definedName>
    <definedName name="_xlnm.Print_Area" localSheetId="2">'4 Year'!$A$1:$F$99</definedName>
    <definedName name="_xlnm.Print_Area" localSheetId="4">BOR!$A$1:$F$92</definedName>
    <definedName name="_xlnm.Print_Area" localSheetId="42">BPCC!$A$1:$F$91</definedName>
    <definedName name="_xlnm.Print_Area" localSheetId="41">BRCC!$A$1:$F$91</definedName>
    <definedName name="_xlnm.Print_Area" localSheetId="43">Delgado!$A$1:$F$91</definedName>
    <definedName name="_xlnm.Print_Area" localSheetId="27">EAConway!$A$1:$F$99</definedName>
    <definedName name="_xlnm.Print_Area" localSheetId="44">Fletcher!$A$1:$F$91</definedName>
    <definedName name="_xlnm.Print_Area" localSheetId="13">GSU!$A$1:$F$91</definedName>
    <definedName name="_xlnm.Print_Area" localSheetId="28">HPLong!$A$1:$F$99</definedName>
    <definedName name="_xlnm.Print_Area" localSheetId="29">HSCNO!$A$1:$F$99</definedName>
    <definedName name="_xlnm.Print_Area" localSheetId="30">HSCS!$A$1:$F$99</definedName>
    <definedName name="_xlnm.Print_Area" localSheetId="10">LATech!$A$1:$F$91</definedName>
    <definedName name="_xlnm.Print_Area" localSheetId="39">'LCTC BOS'!$A$1:$F$91</definedName>
    <definedName name="_xlnm.Print_Area" localSheetId="38">'LCTC System'!$A$1:$F$91</definedName>
    <definedName name="_xlnm.Print_Area" localSheetId="45">LDCC!$A$1:$F$91</definedName>
    <definedName name="_xlnm.Print_Area" localSheetId="6">LOSFA!$A$1:$F$92</definedName>
    <definedName name="_xlnm.Print_Area" localSheetId="18">'LSU BOS'!$A$1:$F$99</definedName>
    <definedName name="_xlnm.Print_Area" localSheetId="17">'LSU System'!$A$1:$F$99</definedName>
    <definedName name="_xlnm.Print_Area" localSheetId="20">LSUA!$A$1:$F$99</definedName>
    <definedName name="_xlnm.Print_Area" localSheetId="25">LSUAG!$A$1:$F$99</definedName>
    <definedName name="_xlnm.Print_Area" localSheetId="19">LSUBR!$A$1:$F$99</definedName>
    <definedName name="_xlnm.Print_Area" localSheetId="23">LSUE!$A$1:$F$99</definedName>
    <definedName name="_xlnm.Print_Area" localSheetId="24">LSULAW!$A$1:$F$99</definedName>
    <definedName name="_xlnm.Print_Area" localSheetId="21">LSUS!$A$1:$F$99</definedName>
    <definedName name="_xlnm.Print_Area" localSheetId="51">LTC!$A$1:$F$91</definedName>
    <definedName name="_xlnm.Print_Area" localSheetId="5">LUMCON!$A$1:$F$91</definedName>
    <definedName name="_xlnm.Print_Area" localSheetId="9">McNeese!$A$1:$F$91</definedName>
    <definedName name="_xlnm.Print_Area" localSheetId="16">Nicholls!$A$1:$F$91</definedName>
    <definedName name="_xlnm.Print_Area" localSheetId="46">NorthshoreTCC!$A$1:$F$91</definedName>
    <definedName name="_xlnm.Print_Area" localSheetId="15">NSU!$A$1:$F$91</definedName>
    <definedName name="_xlnm.Print_Area" localSheetId="47">Nunez!$A$1:$F$91</definedName>
    <definedName name="_xlnm.Print_Area" localSheetId="40">Online!$A$1:$F$91</definedName>
    <definedName name="_xlnm.Print_Area" localSheetId="26">Penn!$A$1:$F$99</definedName>
    <definedName name="_xlnm.Print_Area" localSheetId="0">PSE!$A$1:$F$100</definedName>
    <definedName name="_xlnm.Print_Area" localSheetId="48">RPCC!$A$1:$F$91</definedName>
    <definedName name="_xlnm.Print_Area" localSheetId="49">SLCC!$A$1:$F$91</definedName>
    <definedName name="_xlnm.Print_Area" localSheetId="14">SLU!$A$1:$F$91</definedName>
    <definedName name="_xlnm.Print_Area" localSheetId="50">Sowela!$A$1:$F$91</definedName>
    <definedName name="_xlnm.Print_Area" localSheetId="32">'SU BOS'!$A$1:$F$91</definedName>
    <definedName name="_xlnm.Print_Area" localSheetId="31">'SU System'!$A$1:$F$91</definedName>
    <definedName name="_xlnm.Print_Area" localSheetId="36">SUAg!$A$1:$F$91</definedName>
    <definedName name="_xlnm.Print_Area" localSheetId="33">SUBR!$A$1:$F$91</definedName>
    <definedName name="_xlnm.Print_Area" localSheetId="37">SULaw!$A$1:$F$91</definedName>
    <definedName name="_xlnm.Print_Area" localSheetId="34">SUNO!$A$1:$F$91</definedName>
    <definedName name="_xlnm.Print_Area" localSheetId="35">SUS!$A$1:$F$91</definedName>
    <definedName name="_xlnm.Print_Area" localSheetId="8">'UL BOS'!$A$1:$F$91</definedName>
    <definedName name="_xlnm.Print_Area" localSheetId="7">'UL System'!$A$1:$F$91</definedName>
    <definedName name="_xlnm.Print_Area" localSheetId="12">ULL!$A$1:$F$91</definedName>
    <definedName name="_xlnm.Print_Area" localSheetId="11">ULM!$A$1:$F$91</definedName>
    <definedName name="_xlnm.Print_Area" localSheetId="22">UNO!$A$1:$F$99</definedName>
  </definedNames>
  <calcPr calcId="125725"/>
  <fileRecoveryPr repairLoad="1"/>
</workbook>
</file>

<file path=xl/calcChain.xml><?xml version="1.0" encoding="utf-8"?>
<calcChain xmlns="http://schemas.openxmlformats.org/spreadsheetml/2006/main">
  <c r="B51" i="12"/>
  <c r="B49"/>
  <c r="B47"/>
  <c r="B45"/>
  <c r="B43"/>
  <c r="B40"/>
  <c r="B39"/>
  <c r="B38"/>
  <c r="B37"/>
  <c r="B36"/>
  <c r="B32"/>
  <c r="B30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9"/>
  <c r="B8"/>
  <c r="B90"/>
  <c r="B88"/>
  <c r="B87"/>
  <c r="B86"/>
  <c r="B84"/>
  <c r="B83"/>
  <c r="B82"/>
  <c r="B81"/>
  <c r="B79"/>
  <c r="B78"/>
  <c r="B77"/>
  <c r="B80" s="1"/>
  <c r="B75"/>
  <c r="B74"/>
  <c r="B73"/>
  <c r="B69"/>
  <c r="B68"/>
  <c r="B67"/>
  <c r="B66"/>
  <c r="B64"/>
  <c r="B63"/>
  <c r="B62"/>
  <c r="B61"/>
  <c r="B60"/>
  <c r="B59"/>
  <c r="B58"/>
  <c r="B57"/>
  <c r="B41" l="1"/>
  <c r="B65"/>
  <c r="B76"/>
  <c r="B85"/>
  <c r="B89"/>
  <c r="B10"/>
  <c r="B34" s="1"/>
  <c r="B53" s="1"/>
  <c r="B70"/>
  <c r="B91" l="1"/>
  <c r="D99" i="49"/>
  <c r="C98"/>
  <c r="E98" s="1"/>
  <c r="F98" s="1"/>
  <c r="B98"/>
  <c r="C97"/>
  <c r="E97" s="1"/>
  <c r="F97" s="1"/>
  <c r="B97"/>
  <c r="C96"/>
  <c r="E96" s="1"/>
  <c r="F96" s="1"/>
  <c r="B96"/>
  <c r="C95"/>
  <c r="E95" s="1"/>
  <c r="F95" s="1"/>
  <c r="B95"/>
  <c r="C94"/>
  <c r="C99" s="1"/>
  <c r="B94"/>
  <c r="B94" i="11" s="1"/>
  <c r="B99" i="49" l="1"/>
  <c r="E99"/>
  <c r="F99" s="1"/>
  <c r="E94"/>
  <c r="F94" s="1"/>
  <c r="B91" i="31" l="1"/>
  <c r="B89"/>
  <c r="B86"/>
  <c r="B85"/>
  <c r="B82"/>
  <c r="B81"/>
  <c r="B80"/>
  <c r="B79"/>
  <c r="B78"/>
  <c r="B77"/>
  <c r="B76"/>
  <c r="B75"/>
  <c r="B74"/>
  <c r="B73"/>
  <c r="B70"/>
  <c r="B69"/>
  <c r="B65"/>
  <c r="B53"/>
  <c r="B34"/>
  <c r="B8"/>
  <c r="E9" i="1" l="1"/>
  <c r="F9" s="1"/>
  <c r="D29"/>
  <c r="C29"/>
  <c r="B29"/>
  <c r="E29" l="1"/>
  <c r="F29" s="1"/>
  <c r="B94" i="6"/>
  <c r="C94"/>
  <c r="D94"/>
  <c r="D95"/>
  <c r="D96"/>
  <c r="E94" l="1"/>
  <c r="F94" s="1"/>
  <c r="E95" i="4"/>
  <c r="F95" s="1"/>
  <c r="E94"/>
  <c r="F94" s="1"/>
  <c r="D96" i="5"/>
  <c r="C96"/>
  <c r="B96"/>
  <c r="D96" i="4"/>
  <c r="D99" i="6"/>
  <c r="F33"/>
  <c r="D95" i="5"/>
  <c r="D94"/>
  <c r="F33"/>
  <c r="D99" i="4"/>
  <c r="F33"/>
  <c r="D99" i="5" l="1"/>
  <c r="E96"/>
  <c r="F96" s="1"/>
  <c r="E94"/>
  <c r="F94" s="1"/>
  <c r="C94" i="11" l="1"/>
  <c r="C95" i="1" s="1"/>
  <c r="B95"/>
  <c r="D96" i="11"/>
  <c r="D95"/>
  <c r="D94"/>
  <c r="D40"/>
  <c r="C40"/>
  <c r="E40" s="1"/>
  <c r="F40" s="1"/>
  <c r="B40"/>
  <c r="D39"/>
  <c r="E39" s="1"/>
  <c r="F39" s="1"/>
  <c r="C39"/>
  <c r="B39"/>
  <c r="D38"/>
  <c r="C38"/>
  <c r="B38"/>
  <c r="D37"/>
  <c r="C37"/>
  <c r="B37"/>
  <c r="D36"/>
  <c r="C36"/>
  <c r="C41" s="1"/>
  <c r="B36"/>
  <c r="E38"/>
  <c r="F38" s="1"/>
  <c r="F33"/>
  <c r="B41" l="1"/>
  <c r="D95" i="1"/>
  <c r="E94" i="11"/>
  <c r="F94" s="1"/>
  <c r="D96" i="1"/>
  <c r="D99" i="11"/>
  <c r="D97" i="1"/>
  <c r="D41" i="11"/>
  <c r="E41" s="1"/>
  <c r="F41" s="1"/>
  <c r="E37"/>
  <c r="F37" s="1"/>
  <c r="E36"/>
  <c r="F36" s="1"/>
  <c r="D99" i="56"/>
  <c r="C98"/>
  <c r="E98" s="1"/>
  <c r="F98" s="1"/>
  <c r="C97"/>
  <c r="E97" s="1"/>
  <c r="F97" s="1"/>
  <c r="C96"/>
  <c r="C95"/>
  <c r="C94"/>
  <c r="C99" s="1"/>
  <c r="D90"/>
  <c r="C90"/>
  <c r="C90" i="11" s="1"/>
  <c r="B90"/>
  <c r="D88" i="56"/>
  <c r="C88"/>
  <c r="C88" i="11" s="1"/>
  <c r="B88"/>
  <c r="D87" i="56"/>
  <c r="C87"/>
  <c r="C87" i="11" s="1"/>
  <c r="B87"/>
  <c r="D86" i="56"/>
  <c r="C86"/>
  <c r="D84"/>
  <c r="C84"/>
  <c r="C84" i="11" s="1"/>
  <c r="B84"/>
  <c r="D83" i="56"/>
  <c r="C83"/>
  <c r="C83" i="11" s="1"/>
  <c r="B83"/>
  <c r="D82" i="56"/>
  <c r="C82"/>
  <c r="C82" i="11" s="1"/>
  <c r="B82"/>
  <c r="D81" i="56"/>
  <c r="C81"/>
  <c r="D79"/>
  <c r="C79"/>
  <c r="C79" i="11" s="1"/>
  <c r="B79"/>
  <c r="D78" i="56"/>
  <c r="C78"/>
  <c r="C78" i="11" s="1"/>
  <c r="B78"/>
  <c r="D77" i="56"/>
  <c r="C77"/>
  <c r="D75"/>
  <c r="C75"/>
  <c r="C75" i="11" s="1"/>
  <c r="B75"/>
  <c r="D74" i="56"/>
  <c r="C74"/>
  <c r="C74" i="11" s="1"/>
  <c r="B74"/>
  <c r="D73" i="56"/>
  <c r="C73"/>
  <c r="D69"/>
  <c r="D69" i="11" s="1"/>
  <c r="E69" s="1"/>
  <c r="F69" s="1"/>
  <c r="C69" i="56"/>
  <c r="C69" i="11" s="1"/>
  <c r="B69"/>
  <c r="D68" i="56"/>
  <c r="C68"/>
  <c r="C68" i="11" s="1"/>
  <c r="B68"/>
  <c r="D67" i="56"/>
  <c r="C67"/>
  <c r="C67" i="11" s="1"/>
  <c r="B67"/>
  <c r="D66" i="56"/>
  <c r="C66"/>
  <c r="C66" i="11" s="1"/>
  <c r="B66"/>
  <c r="D64" i="56"/>
  <c r="C64"/>
  <c r="C64" i="11" s="1"/>
  <c r="B64"/>
  <c r="D63" i="56"/>
  <c r="C63"/>
  <c r="C63" i="11" s="1"/>
  <c r="B63"/>
  <c r="D62" i="56"/>
  <c r="C62"/>
  <c r="C62" i="11" s="1"/>
  <c r="B62"/>
  <c r="D61" i="56"/>
  <c r="C61"/>
  <c r="C61" i="11" s="1"/>
  <c r="B61"/>
  <c r="D60" i="56"/>
  <c r="C60"/>
  <c r="C60" i="11" s="1"/>
  <c r="B60"/>
  <c r="D59" i="56"/>
  <c r="C59"/>
  <c r="C59" i="11" s="1"/>
  <c r="B59"/>
  <c r="D58" i="56"/>
  <c r="C58"/>
  <c r="C58" i="11" s="1"/>
  <c r="B58"/>
  <c r="D57" i="56"/>
  <c r="C57"/>
  <c r="D51"/>
  <c r="C51"/>
  <c r="C51" i="11" s="1"/>
  <c r="B51"/>
  <c r="D49" i="56"/>
  <c r="D49" i="11" s="1"/>
  <c r="C49" i="56"/>
  <c r="C49" i="11" s="1"/>
  <c r="B49"/>
  <c r="D47" i="56"/>
  <c r="C47"/>
  <c r="C47" i="11" s="1"/>
  <c r="B47"/>
  <c r="D45" i="56"/>
  <c r="C45"/>
  <c r="C45" i="11" s="1"/>
  <c r="B45"/>
  <c r="D43" i="56"/>
  <c r="C43"/>
  <c r="C43" i="11" s="1"/>
  <c r="B43"/>
  <c r="D41" i="56"/>
  <c r="C41"/>
  <c r="E40"/>
  <c r="F40" s="1"/>
  <c r="E39"/>
  <c r="F39" s="1"/>
  <c r="E38"/>
  <c r="F38" s="1"/>
  <c r="E37"/>
  <c r="F37" s="1"/>
  <c r="E36"/>
  <c r="F36" s="1"/>
  <c r="F33"/>
  <c r="D32"/>
  <c r="C32"/>
  <c r="D30"/>
  <c r="C30"/>
  <c r="D28"/>
  <c r="D28" i="11" s="1"/>
  <c r="C28" i="56"/>
  <c r="B28" i="11"/>
  <c r="D27" i="56"/>
  <c r="C27"/>
  <c r="C27" i="11" s="1"/>
  <c r="B27"/>
  <c r="D26" i="56"/>
  <c r="D26" i="11" s="1"/>
  <c r="C26" i="56"/>
  <c r="B26" i="11"/>
  <c r="D25" i="56"/>
  <c r="C25"/>
  <c r="C25" i="11" s="1"/>
  <c r="B25"/>
  <c r="D24" i="56"/>
  <c r="D24" i="11" s="1"/>
  <c r="C24" i="56"/>
  <c r="B24" i="11"/>
  <c r="D23" i="56"/>
  <c r="C23"/>
  <c r="C23" i="11" s="1"/>
  <c r="B23"/>
  <c r="D22" i="56"/>
  <c r="D22" i="11" s="1"/>
  <c r="C22" i="56"/>
  <c r="B22" i="11"/>
  <c r="D21" i="56"/>
  <c r="C21"/>
  <c r="C21" i="11" s="1"/>
  <c r="B21"/>
  <c r="D20" i="56"/>
  <c r="D20" i="11" s="1"/>
  <c r="C20" i="56"/>
  <c r="B20" i="11"/>
  <c r="D19" i="56"/>
  <c r="C19"/>
  <c r="C19" i="11" s="1"/>
  <c r="B19"/>
  <c r="D18" i="56"/>
  <c r="D18" i="11" s="1"/>
  <c r="C18" i="56"/>
  <c r="B18" i="11"/>
  <c r="D17" i="56"/>
  <c r="C17"/>
  <c r="C17" i="11" s="1"/>
  <c r="B17"/>
  <c r="D16" i="56"/>
  <c r="D16" i="11" s="1"/>
  <c r="C16" i="56"/>
  <c r="B16" i="11"/>
  <c r="D15" i="56"/>
  <c r="C15"/>
  <c r="C15" i="11" s="1"/>
  <c r="B15"/>
  <c r="D14" i="56"/>
  <c r="D14" i="11" s="1"/>
  <c r="C14" i="56"/>
  <c r="B14" i="11"/>
  <c r="D13" i="56"/>
  <c r="C13"/>
  <c r="C13" i="11" s="1"/>
  <c r="B13"/>
  <c r="D12" i="56"/>
  <c r="D12" i="11" s="1"/>
  <c r="C12" i="56"/>
  <c r="B12" i="11"/>
  <c r="D11" i="56"/>
  <c r="C11"/>
  <c r="C11" i="11" s="1"/>
  <c r="C10" i="56"/>
  <c r="D9"/>
  <c r="C9"/>
  <c r="D8"/>
  <c r="D8" i="11" s="1"/>
  <c r="C8" i="56"/>
  <c r="B8" i="11"/>
  <c r="E1" i="56"/>
  <c r="E49" i="11" l="1"/>
  <c r="F49" s="1"/>
  <c r="E8" i="56"/>
  <c r="F8" s="1"/>
  <c r="C8" i="11"/>
  <c r="E8" s="1"/>
  <c r="F8" s="1"/>
  <c r="B9"/>
  <c r="E9" i="56"/>
  <c r="F9" s="1"/>
  <c r="D9" i="11"/>
  <c r="B11"/>
  <c r="B10" s="1"/>
  <c r="E11" i="56"/>
  <c r="F11" s="1"/>
  <c r="D11" i="11"/>
  <c r="E12" i="56"/>
  <c r="F12" s="1"/>
  <c r="C12" i="11"/>
  <c r="E12" s="1"/>
  <c r="F12" s="1"/>
  <c r="E13" i="56"/>
  <c r="F13" s="1"/>
  <c r="D13" i="11"/>
  <c r="E13" s="1"/>
  <c r="F13" s="1"/>
  <c r="E14" i="56"/>
  <c r="F14" s="1"/>
  <c r="C14" i="11"/>
  <c r="E14" s="1"/>
  <c r="F14" s="1"/>
  <c r="E15" i="56"/>
  <c r="F15" s="1"/>
  <c r="D15" i="11"/>
  <c r="E15" s="1"/>
  <c r="F15" s="1"/>
  <c r="E16" i="56"/>
  <c r="F16" s="1"/>
  <c r="C16" i="11"/>
  <c r="E16" s="1"/>
  <c r="F16" s="1"/>
  <c r="E17" i="56"/>
  <c r="F17" s="1"/>
  <c r="D17" i="11"/>
  <c r="E17" s="1"/>
  <c r="F17" s="1"/>
  <c r="E18" i="56"/>
  <c r="F18" s="1"/>
  <c r="C18" i="11"/>
  <c r="E18" s="1"/>
  <c r="F18" s="1"/>
  <c r="E19" i="56"/>
  <c r="F19" s="1"/>
  <c r="D19" i="11"/>
  <c r="E19" s="1"/>
  <c r="F19" s="1"/>
  <c r="E20" i="56"/>
  <c r="F20" s="1"/>
  <c r="C20" i="11"/>
  <c r="E20" s="1"/>
  <c r="F20" s="1"/>
  <c r="E21" i="56"/>
  <c r="F21" s="1"/>
  <c r="D21" i="11"/>
  <c r="E21" s="1"/>
  <c r="F21" s="1"/>
  <c r="E22" i="56"/>
  <c r="F22" s="1"/>
  <c r="C22" i="11"/>
  <c r="E22" s="1"/>
  <c r="F22" s="1"/>
  <c r="E23" i="56"/>
  <c r="F23" s="1"/>
  <c r="D23" i="11"/>
  <c r="E23" s="1"/>
  <c r="F23" s="1"/>
  <c r="E24" i="56"/>
  <c r="F24" s="1"/>
  <c r="C24" i="11"/>
  <c r="E24" s="1"/>
  <c r="F24" s="1"/>
  <c r="E25" i="56"/>
  <c r="F25" s="1"/>
  <c r="D25" i="11"/>
  <c r="E26" i="56"/>
  <c r="F26" s="1"/>
  <c r="C26" i="11"/>
  <c r="E26" s="1"/>
  <c r="F26" s="1"/>
  <c r="E27" i="56"/>
  <c r="F27" s="1"/>
  <c r="D27" i="11"/>
  <c r="E27" s="1"/>
  <c r="F27" s="1"/>
  <c r="E28" i="56"/>
  <c r="F28" s="1"/>
  <c r="C28" i="11"/>
  <c r="B30" i="4"/>
  <c r="B30" i="11"/>
  <c r="E30" i="56"/>
  <c r="F30" s="1"/>
  <c r="D30" i="4"/>
  <c r="D30" i="11"/>
  <c r="C34" i="56"/>
  <c r="C32" i="4"/>
  <c r="C32" i="11"/>
  <c r="E43" i="56"/>
  <c r="F43" s="1"/>
  <c r="D43" i="11"/>
  <c r="E43" s="1"/>
  <c r="F43" s="1"/>
  <c r="E47" i="56"/>
  <c r="F47" s="1"/>
  <c r="D47" i="11"/>
  <c r="E47" s="1"/>
  <c r="F47" s="1"/>
  <c r="E51" i="56"/>
  <c r="F51" s="1"/>
  <c r="D51" i="11"/>
  <c r="E51" s="1"/>
  <c r="F51" s="1"/>
  <c r="C65" i="56"/>
  <c r="C57" i="11"/>
  <c r="C65" s="1"/>
  <c r="C70" s="1"/>
  <c r="E58" i="56"/>
  <c r="F58" s="1"/>
  <c r="D58" i="11"/>
  <c r="E58" s="1"/>
  <c r="F58" s="1"/>
  <c r="E60" i="56"/>
  <c r="F60" s="1"/>
  <c r="D60" i="11"/>
  <c r="E60" s="1"/>
  <c r="F60" s="1"/>
  <c r="E62" i="56"/>
  <c r="F62" s="1"/>
  <c r="D62" i="11"/>
  <c r="E62" s="1"/>
  <c r="F62" s="1"/>
  <c r="E64" i="56"/>
  <c r="F64" s="1"/>
  <c r="D64" i="11"/>
  <c r="E64" s="1"/>
  <c r="F64" s="1"/>
  <c r="E67" i="56"/>
  <c r="F67" s="1"/>
  <c r="D67" i="11"/>
  <c r="E67" s="1"/>
  <c r="F67" s="1"/>
  <c r="C76" i="56"/>
  <c r="C73" i="11"/>
  <c r="C76" s="1"/>
  <c r="E74" i="56"/>
  <c r="F74" s="1"/>
  <c r="D74" i="11"/>
  <c r="E74" s="1"/>
  <c r="F74" s="1"/>
  <c r="B77"/>
  <c r="B80" s="1"/>
  <c r="D80" i="56"/>
  <c r="D77" i="11"/>
  <c r="E79" i="56"/>
  <c r="F79" s="1"/>
  <c r="D79" i="11"/>
  <c r="E79" s="1"/>
  <c r="F79" s="1"/>
  <c r="C85" i="56"/>
  <c r="C81" i="11"/>
  <c r="C85" s="1"/>
  <c r="E82" i="56"/>
  <c r="F82" s="1"/>
  <c r="D82" i="11"/>
  <c r="E82" s="1"/>
  <c r="F82" s="1"/>
  <c r="E84" i="56"/>
  <c r="F84" s="1"/>
  <c r="D84" i="11"/>
  <c r="E84" s="1"/>
  <c r="F84" s="1"/>
  <c r="C89" i="56"/>
  <c r="C86" i="11"/>
  <c r="C89" s="1"/>
  <c r="E87" i="56"/>
  <c r="F87" s="1"/>
  <c r="D87" i="11"/>
  <c r="E87" s="1"/>
  <c r="F87" s="1"/>
  <c r="E90" i="56"/>
  <c r="F90" s="1"/>
  <c r="D90" i="11"/>
  <c r="E90" s="1"/>
  <c r="F90" s="1"/>
  <c r="E95" i="56"/>
  <c r="F95" s="1"/>
  <c r="C95" i="6"/>
  <c r="C95" i="5"/>
  <c r="C95" i="11"/>
  <c r="E96" i="56"/>
  <c r="F96" s="1"/>
  <c r="C96" i="6"/>
  <c r="E96" s="1"/>
  <c r="F96" s="1"/>
  <c r="C96" i="4"/>
  <c r="C96" i="11"/>
  <c r="C9"/>
  <c r="C30" i="4"/>
  <c r="C30" i="11"/>
  <c r="B32" i="4"/>
  <c r="B32" i="11"/>
  <c r="D32" i="4"/>
  <c r="E32" s="1"/>
  <c r="F32" s="1"/>
  <c r="D32" i="11"/>
  <c r="E45" i="56"/>
  <c r="F45" s="1"/>
  <c r="D45" i="11"/>
  <c r="E45" s="1"/>
  <c r="F45" s="1"/>
  <c r="B57"/>
  <c r="B65" s="1"/>
  <c r="B70" s="1"/>
  <c r="E57" i="56"/>
  <c r="F57" s="1"/>
  <c r="D57" i="11"/>
  <c r="E59" i="56"/>
  <c r="F59" s="1"/>
  <c r="D59" i="11"/>
  <c r="E59" s="1"/>
  <c r="F59" s="1"/>
  <c r="E61" i="56"/>
  <c r="F61" s="1"/>
  <c r="D61" i="11"/>
  <c r="E61" s="1"/>
  <c r="F61" s="1"/>
  <c r="E63" i="56"/>
  <c r="F63" s="1"/>
  <c r="D63" i="11"/>
  <c r="E63" s="1"/>
  <c r="F63" s="1"/>
  <c r="E66" i="56"/>
  <c r="F66" s="1"/>
  <c r="D66" i="11"/>
  <c r="E66" s="1"/>
  <c r="F66" s="1"/>
  <c r="E68" i="56"/>
  <c r="F68" s="1"/>
  <c r="D68" i="11"/>
  <c r="E68" s="1"/>
  <c r="F68" s="1"/>
  <c r="B73"/>
  <c r="B76" s="1"/>
  <c r="D76" i="56"/>
  <c r="D73" i="11"/>
  <c r="E75" i="56"/>
  <c r="F75" s="1"/>
  <c r="D75" i="11"/>
  <c r="E75" s="1"/>
  <c r="F75" s="1"/>
  <c r="C80" i="56"/>
  <c r="C77" i="11"/>
  <c r="C80" s="1"/>
  <c r="E78" i="56"/>
  <c r="F78" s="1"/>
  <c r="D78" i="11"/>
  <c r="E78" s="1"/>
  <c r="F78" s="1"/>
  <c r="B81"/>
  <c r="B85" s="1"/>
  <c r="E81" i="56"/>
  <c r="F81" s="1"/>
  <c r="D81" i="11"/>
  <c r="E83" i="56"/>
  <c r="F83" s="1"/>
  <c r="D83" i="11"/>
  <c r="E83" s="1"/>
  <c r="F83" s="1"/>
  <c r="B86"/>
  <c r="B89" s="1"/>
  <c r="D89" i="56"/>
  <c r="E89" s="1"/>
  <c r="F89" s="1"/>
  <c r="D86" i="11"/>
  <c r="E88" i="56"/>
  <c r="F88" s="1"/>
  <c r="D88" i="11"/>
  <c r="E88" s="1"/>
  <c r="F88" s="1"/>
  <c r="B95" i="6"/>
  <c r="B95" i="5"/>
  <c r="B99" s="1"/>
  <c r="B95" i="11"/>
  <c r="B96" i="6"/>
  <c r="B96" i="4"/>
  <c r="B99" s="1"/>
  <c r="B96" i="11"/>
  <c r="B97" i="1" s="1"/>
  <c r="E25" i="11"/>
  <c r="F25" s="1"/>
  <c r="E28"/>
  <c r="F28" s="1"/>
  <c r="E41" i="56"/>
  <c r="F41" s="1"/>
  <c r="D100" i="1"/>
  <c r="E95"/>
  <c r="F95" s="1"/>
  <c r="E76" i="56"/>
  <c r="F76" s="1"/>
  <c r="C70"/>
  <c r="E80"/>
  <c r="F80" s="1"/>
  <c r="C53"/>
  <c r="C91"/>
  <c r="E99"/>
  <c r="F99" s="1"/>
  <c r="E32"/>
  <c r="F32" s="1"/>
  <c r="E49"/>
  <c r="F49" s="1"/>
  <c r="D65"/>
  <c r="D85"/>
  <c r="E86"/>
  <c r="F86" s="1"/>
  <c r="E94"/>
  <c r="F94" s="1"/>
  <c r="D10"/>
  <c r="E69"/>
  <c r="F69" s="1"/>
  <c r="E73"/>
  <c r="F73" s="1"/>
  <c r="E77"/>
  <c r="F77" s="1"/>
  <c r="C91" i="11" l="1"/>
  <c r="B99" i="6"/>
  <c r="B91" i="11"/>
  <c r="D89"/>
  <c r="E86"/>
  <c r="F86" s="1"/>
  <c r="E81"/>
  <c r="F81" s="1"/>
  <c r="D85"/>
  <c r="E85" s="1"/>
  <c r="F85" s="1"/>
  <c r="D76"/>
  <c r="E76" s="1"/>
  <c r="F76" s="1"/>
  <c r="E73"/>
  <c r="F73" s="1"/>
  <c r="E57"/>
  <c r="F57" s="1"/>
  <c r="D65"/>
  <c r="E32"/>
  <c r="F32" s="1"/>
  <c r="C99" i="4"/>
  <c r="E99" s="1"/>
  <c r="F99" s="1"/>
  <c r="E96"/>
  <c r="F96" s="1"/>
  <c r="C99" i="5"/>
  <c r="E99" s="1"/>
  <c r="F99" s="1"/>
  <c r="E95"/>
  <c r="F95" s="1"/>
  <c r="B34" i="11"/>
  <c r="B53" s="1"/>
  <c r="C10"/>
  <c r="E30"/>
  <c r="F30" s="1"/>
  <c r="B96" i="1"/>
  <c r="B100" s="1"/>
  <c r="B99" i="11"/>
  <c r="C97" i="1"/>
  <c r="E97" s="1"/>
  <c r="F97" s="1"/>
  <c r="E96" i="11"/>
  <c r="F96" s="1"/>
  <c r="C96" i="1"/>
  <c r="E95" i="11"/>
  <c r="F95" s="1"/>
  <c r="C99"/>
  <c r="E99" s="1"/>
  <c r="F99" s="1"/>
  <c r="E95" i="6"/>
  <c r="F95" s="1"/>
  <c r="C99"/>
  <c r="E99" s="1"/>
  <c r="F99" s="1"/>
  <c r="D80" i="11"/>
  <c r="E80" s="1"/>
  <c r="F80" s="1"/>
  <c r="E77"/>
  <c r="F77" s="1"/>
  <c r="D10"/>
  <c r="E10" s="1"/>
  <c r="F10" s="1"/>
  <c r="E11"/>
  <c r="F11" s="1"/>
  <c r="C34"/>
  <c r="C53" s="1"/>
  <c r="E30" i="4"/>
  <c r="F30" s="1"/>
  <c r="E9" i="11"/>
  <c r="F9" s="1"/>
  <c r="E85" i="56"/>
  <c r="F85" s="1"/>
  <c r="D91"/>
  <c r="E10"/>
  <c r="F10" s="1"/>
  <c r="E65"/>
  <c r="F65" s="1"/>
  <c r="D34"/>
  <c r="D70"/>
  <c r="D91" i="11" l="1"/>
  <c r="E91" s="1"/>
  <c r="F91" s="1"/>
  <c r="E89"/>
  <c r="F89" s="1"/>
  <c r="D34"/>
  <c r="C100" i="1"/>
  <c r="E100" s="1"/>
  <c r="F100" s="1"/>
  <c r="E96"/>
  <c r="F96" s="1"/>
  <c r="D70" i="11"/>
  <c r="E70" s="1"/>
  <c r="F70" s="1"/>
  <c r="E65"/>
  <c r="F65" s="1"/>
  <c r="E70" i="56"/>
  <c r="F70" s="1"/>
  <c r="E91"/>
  <c r="F91" s="1"/>
  <c r="E34"/>
  <c r="F34" s="1"/>
  <c r="D53"/>
  <c r="D53" i="11" l="1"/>
  <c r="E53" s="1"/>
  <c r="F53" s="1"/>
  <c r="E34"/>
  <c r="F34" s="1"/>
  <c r="E53" i="56"/>
  <c r="F53" s="1"/>
  <c r="D88" i="13" l="1"/>
  <c r="C88"/>
  <c r="D87"/>
  <c r="C87"/>
  <c r="D84"/>
  <c r="C84"/>
  <c r="D83"/>
  <c r="C83"/>
  <c r="D68"/>
  <c r="C68"/>
  <c r="D67"/>
  <c r="C67"/>
  <c r="D64"/>
  <c r="C64"/>
  <c r="D63"/>
  <c r="C63"/>
  <c r="D62"/>
  <c r="C62"/>
  <c r="B62"/>
  <c r="D61"/>
  <c r="C61"/>
  <c r="D60"/>
  <c r="C60"/>
  <c r="B60"/>
  <c r="D59"/>
  <c r="C59"/>
  <c r="D58"/>
  <c r="C58"/>
  <c r="D57"/>
  <c r="C57"/>
  <c r="D49"/>
  <c r="C49"/>
  <c r="B49"/>
  <c r="D47"/>
  <c r="C47"/>
  <c r="C45"/>
  <c r="D43"/>
  <c r="C43"/>
  <c r="D28"/>
  <c r="C28"/>
  <c r="B28"/>
  <c r="D24"/>
  <c r="C24"/>
  <c r="B24"/>
  <c r="C17"/>
  <c r="D16"/>
  <c r="C16"/>
  <c r="D13"/>
  <c r="C13"/>
  <c r="D12"/>
  <c r="C12"/>
  <c r="C11"/>
  <c r="C86" i="31"/>
  <c r="C86" i="13" s="1"/>
  <c r="C89" s="1"/>
  <c r="D86" i="31"/>
  <c r="D86" i="13" s="1"/>
  <c r="D89" s="1"/>
  <c r="B86"/>
  <c r="D82" i="31"/>
  <c r="D82" i="13" s="1"/>
  <c r="C82" i="31"/>
  <c r="C82" i="13" s="1"/>
  <c r="D69" i="31"/>
  <c r="D69" i="13" s="1"/>
  <c r="E69" s="1"/>
  <c r="F69" s="1"/>
  <c r="C69" i="31"/>
  <c r="C69" i="13" s="1"/>
  <c r="B69"/>
  <c r="B82"/>
  <c r="D81" i="31"/>
  <c r="D81" i="13" s="1"/>
  <c r="D85" s="1"/>
  <c r="C81" i="31"/>
  <c r="C81" i="13" s="1"/>
  <c r="C85" s="1"/>
  <c r="B81"/>
  <c r="D79" i="31"/>
  <c r="D79" i="13" s="1"/>
  <c r="C79" i="31"/>
  <c r="C79" i="13" s="1"/>
  <c r="B79"/>
  <c r="D78" i="31"/>
  <c r="D78" i="13" s="1"/>
  <c r="C78" i="31"/>
  <c r="C78" i="13" s="1"/>
  <c r="B78"/>
  <c r="D77" i="31"/>
  <c r="D77" i="13" s="1"/>
  <c r="C77" i="31"/>
  <c r="C77" i="13" s="1"/>
  <c r="B77"/>
  <c r="D75" i="31"/>
  <c r="D75" i="13" s="1"/>
  <c r="C75" i="31"/>
  <c r="C75" i="13" s="1"/>
  <c r="B75"/>
  <c r="D74" i="31"/>
  <c r="D74" i="13" s="1"/>
  <c r="C74" i="31"/>
  <c r="C74" i="13" s="1"/>
  <c r="B74"/>
  <c r="D73" i="31"/>
  <c r="D73" i="13" s="1"/>
  <c r="C73" i="31"/>
  <c r="C73" i="13" s="1"/>
  <c r="B73"/>
  <c r="D8" i="31"/>
  <c r="D8" i="13" s="1"/>
  <c r="C8" i="31"/>
  <c r="C8" i="13" s="1"/>
  <c r="B8"/>
  <c r="E88"/>
  <c r="F88" s="1"/>
  <c r="E84"/>
  <c r="F84" s="1"/>
  <c r="E83"/>
  <c r="F83" s="1"/>
  <c r="E67"/>
  <c r="F67" s="1"/>
  <c r="E64"/>
  <c r="F64" s="1"/>
  <c r="E63"/>
  <c r="F63" s="1"/>
  <c r="E62"/>
  <c r="F62" s="1"/>
  <c r="E61"/>
  <c r="F61" s="1"/>
  <c r="E60"/>
  <c r="F60" s="1"/>
  <c r="E59"/>
  <c r="F59" s="1"/>
  <c r="E58"/>
  <c r="F58" s="1"/>
  <c r="D65"/>
  <c r="C65"/>
  <c r="E47"/>
  <c r="F47" s="1"/>
  <c r="E43"/>
  <c r="F43" s="1"/>
  <c r="F33"/>
  <c r="E28"/>
  <c r="F28" s="1"/>
  <c r="E24"/>
  <c r="F24" s="1"/>
  <c r="E16"/>
  <c r="F16" s="1"/>
  <c r="E13"/>
  <c r="F13" s="1"/>
  <c r="E12"/>
  <c r="F12" s="1"/>
  <c r="D9"/>
  <c r="C9"/>
  <c r="B9"/>
  <c r="D90" i="31"/>
  <c r="C90"/>
  <c r="C90" i="13" s="1"/>
  <c r="B90"/>
  <c r="E88" i="31"/>
  <c r="F88" s="1"/>
  <c r="B88" i="13"/>
  <c r="E87" i="31"/>
  <c r="F87" s="1"/>
  <c r="D89"/>
  <c r="C89"/>
  <c r="E84"/>
  <c r="F84" s="1"/>
  <c r="B84" i="13"/>
  <c r="E83" i="31"/>
  <c r="F83" s="1"/>
  <c r="E82"/>
  <c r="F82" s="1"/>
  <c r="D85"/>
  <c r="C85"/>
  <c r="E79"/>
  <c r="F79" s="1"/>
  <c r="E78"/>
  <c r="F78" s="1"/>
  <c r="D80"/>
  <c r="C80"/>
  <c r="E75"/>
  <c r="F75" s="1"/>
  <c r="E74"/>
  <c r="F74" s="1"/>
  <c r="D76"/>
  <c r="E68"/>
  <c r="F68" s="1"/>
  <c r="E67"/>
  <c r="F67" s="1"/>
  <c r="B67" i="13"/>
  <c r="D66" i="31"/>
  <c r="C66"/>
  <c r="C66" i="13" s="1"/>
  <c r="E64" i="31"/>
  <c r="F64" s="1"/>
  <c r="B64" i="13"/>
  <c r="E63" i="31"/>
  <c r="F63" s="1"/>
  <c r="B63" i="13"/>
  <c r="E62" i="31"/>
  <c r="F62" s="1"/>
  <c r="E61"/>
  <c r="F61" s="1"/>
  <c r="B61" i="13"/>
  <c r="E60" i="31"/>
  <c r="F60" s="1"/>
  <c r="E59"/>
  <c r="F59" s="1"/>
  <c r="B59" i="13"/>
  <c r="E58" i="31"/>
  <c r="F58" s="1"/>
  <c r="B58" i="13"/>
  <c r="E57" i="31"/>
  <c r="F57" s="1"/>
  <c r="C65"/>
  <c r="D51"/>
  <c r="C51"/>
  <c r="C51" i="13" s="1"/>
  <c r="B51"/>
  <c r="E47" i="31"/>
  <c r="F47" s="1"/>
  <c r="B47" i="13"/>
  <c r="D45" i="31"/>
  <c r="E45" s="1"/>
  <c r="F45" s="1"/>
  <c r="B45" i="13"/>
  <c r="E43" i="31"/>
  <c r="F43" s="1"/>
  <c r="B43" i="13"/>
  <c r="D40" i="31"/>
  <c r="D40" i="13" s="1"/>
  <c r="C40" i="31"/>
  <c r="C40" i="13" s="1"/>
  <c r="B40"/>
  <c r="D39" i="31"/>
  <c r="C39"/>
  <c r="C39" i="13" s="1"/>
  <c r="B39"/>
  <c r="D38" i="31"/>
  <c r="D38" i="13" s="1"/>
  <c r="C38" i="31"/>
  <c r="C38" i="13" s="1"/>
  <c r="B38"/>
  <c r="D37" i="31"/>
  <c r="C37"/>
  <c r="C37" i="13" s="1"/>
  <c r="B37"/>
  <c r="D36" i="31"/>
  <c r="C36"/>
  <c r="F33"/>
  <c r="D32"/>
  <c r="D32" i="13" s="1"/>
  <c r="C32" i="31"/>
  <c r="C32" i="13" s="1"/>
  <c r="B32"/>
  <c r="D30" i="31"/>
  <c r="C30"/>
  <c r="C30" i="13" s="1"/>
  <c r="B30"/>
  <c r="E28" i="31"/>
  <c r="F28" s="1"/>
  <c r="D27"/>
  <c r="C27"/>
  <c r="C27" i="13" s="1"/>
  <c r="B27"/>
  <c r="D26" i="31"/>
  <c r="C26"/>
  <c r="C26" i="13" s="1"/>
  <c r="B26"/>
  <c r="D25" i="31"/>
  <c r="C25"/>
  <c r="C25" i="13" s="1"/>
  <c r="B25"/>
  <c r="E24" i="31"/>
  <c r="F24" s="1"/>
  <c r="D23"/>
  <c r="C23"/>
  <c r="C23" i="13" s="1"/>
  <c r="B23"/>
  <c r="D22" i="31"/>
  <c r="C22"/>
  <c r="C22" i="13" s="1"/>
  <c r="D21" i="31"/>
  <c r="C21"/>
  <c r="C21" i="13" s="1"/>
  <c r="B21"/>
  <c r="D20" i="31"/>
  <c r="C20"/>
  <c r="C20" i="13" s="1"/>
  <c r="B20"/>
  <c r="D19" i="31"/>
  <c r="C19"/>
  <c r="C19" i="13" s="1"/>
  <c r="B19"/>
  <c r="D18" i="31"/>
  <c r="C18"/>
  <c r="C18" i="13" s="1"/>
  <c r="B18"/>
  <c r="F17" i="31"/>
  <c r="B17" i="13"/>
  <c r="E16" i="31"/>
  <c r="F16" s="1"/>
  <c r="B16" i="13"/>
  <c r="D15" i="31"/>
  <c r="C15"/>
  <c r="C15" i="13" s="1"/>
  <c r="B15"/>
  <c r="D14" i="31"/>
  <c r="C14"/>
  <c r="C14" i="13" s="1"/>
  <c r="B14"/>
  <c r="E13" i="31"/>
  <c r="F13" s="1"/>
  <c r="B13" i="13"/>
  <c r="E12" i="31"/>
  <c r="F12" s="1"/>
  <c r="B12" i="13"/>
  <c r="D11" i="31"/>
  <c r="E11" s="1"/>
  <c r="F11" s="1"/>
  <c r="B11" i="13"/>
  <c r="D9" i="31"/>
  <c r="C9"/>
  <c r="E8"/>
  <c r="F8" s="1"/>
  <c r="D90" i="10"/>
  <c r="D90" i="5" s="1"/>
  <c r="C90" i="10"/>
  <c r="C90" i="5" s="1"/>
  <c r="B90" i="10"/>
  <c r="B90" i="5" s="1"/>
  <c r="D88" i="10"/>
  <c r="D88" i="5" s="1"/>
  <c r="C88" i="10"/>
  <c r="C88" i="5" s="1"/>
  <c r="B88" i="10"/>
  <c r="B88" i="5" s="1"/>
  <c r="D87" i="10"/>
  <c r="D87" i="5" s="1"/>
  <c r="C87" i="10"/>
  <c r="C87" i="5" s="1"/>
  <c r="B87" i="10"/>
  <c r="B87" i="5" s="1"/>
  <c r="D86" i="10"/>
  <c r="D86" i="5" s="1"/>
  <c r="C86" i="10"/>
  <c r="C86" i="5" s="1"/>
  <c r="C89" s="1"/>
  <c r="B86" i="10"/>
  <c r="B86" i="5" s="1"/>
  <c r="D84" i="10"/>
  <c r="C84"/>
  <c r="B84"/>
  <c r="D83"/>
  <c r="D83" i="5" s="1"/>
  <c r="C83" i="10"/>
  <c r="C83" i="5" s="1"/>
  <c r="B83" i="10"/>
  <c r="B83" i="5" s="1"/>
  <c r="D82" i="10"/>
  <c r="D82" i="5" s="1"/>
  <c r="C82" i="10"/>
  <c r="C82" i="5" s="1"/>
  <c r="B82" i="10"/>
  <c r="B82" i="5" s="1"/>
  <c r="D81" i="10"/>
  <c r="D81" i="5" s="1"/>
  <c r="C81" i="10"/>
  <c r="C81" i="5" s="1"/>
  <c r="B81" i="10"/>
  <c r="B81" i="5" s="1"/>
  <c r="D79" i="10"/>
  <c r="D79" i="5" s="1"/>
  <c r="E79" s="1"/>
  <c r="F79" s="1"/>
  <c r="C79" i="10"/>
  <c r="C79" i="5" s="1"/>
  <c r="B79" i="10"/>
  <c r="B79" i="5" s="1"/>
  <c r="D78" i="10"/>
  <c r="D78" i="5" s="1"/>
  <c r="C78" i="10"/>
  <c r="C78" i="5" s="1"/>
  <c r="B78" i="10"/>
  <c r="B78" i="5" s="1"/>
  <c r="D77" i="10"/>
  <c r="D77" i="5" s="1"/>
  <c r="C77" i="10"/>
  <c r="C77" i="5" s="1"/>
  <c r="B77" i="10"/>
  <c r="B77" i="5" s="1"/>
  <c r="D75" i="10"/>
  <c r="D75" i="5" s="1"/>
  <c r="C75" i="10"/>
  <c r="C75" i="5" s="1"/>
  <c r="B75" i="10"/>
  <c r="B75" i="5" s="1"/>
  <c r="D74" i="10"/>
  <c r="D74" i="5" s="1"/>
  <c r="C74" i="10"/>
  <c r="C74" i="5" s="1"/>
  <c r="B74" i="10"/>
  <c r="B74" i="5" s="1"/>
  <c r="D73" i="10"/>
  <c r="D73" i="5" s="1"/>
  <c r="C73" i="10"/>
  <c r="C73" i="5" s="1"/>
  <c r="B73" i="10"/>
  <c r="B73" i="5" s="1"/>
  <c r="D69" i="10"/>
  <c r="D69" i="5" s="1"/>
  <c r="C69" i="10"/>
  <c r="C69" i="5" s="1"/>
  <c r="B69" i="10"/>
  <c r="B69" i="5" s="1"/>
  <c r="D68" i="10"/>
  <c r="D68" i="5" s="1"/>
  <c r="C68" i="10"/>
  <c r="C68" i="5" s="1"/>
  <c r="B68" i="10"/>
  <c r="B68" i="5" s="1"/>
  <c r="D67" i="10"/>
  <c r="C67"/>
  <c r="C67" i="5" s="1"/>
  <c r="B67" i="10"/>
  <c r="D66"/>
  <c r="D66" i="5" s="1"/>
  <c r="C66" i="10"/>
  <c r="B66"/>
  <c r="B66" i="5" s="1"/>
  <c r="D64" i="10"/>
  <c r="D64" i="5" s="1"/>
  <c r="C64" i="10"/>
  <c r="C64" i="5" s="1"/>
  <c r="B64" i="10"/>
  <c r="B64" i="5" s="1"/>
  <c r="D63" i="10"/>
  <c r="D63" i="5" s="1"/>
  <c r="C63" i="10"/>
  <c r="C63" i="5" s="1"/>
  <c r="B63" i="10"/>
  <c r="B63" i="5" s="1"/>
  <c r="D62" i="10"/>
  <c r="D62" i="5" s="1"/>
  <c r="C62" i="10"/>
  <c r="B62"/>
  <c r="B62" i="5" s="1"/>
  <c r="D61" i="10"/>
  <c r="D61" i="5" s="1"/>
  <c r="C61" i="10"/>
  <c r="C61" i="5" s="1"/>
  <c r="B61" i="10"/>
  <c r="B61" i="5" s="1"/>
  <c r="D60" i="10"/>
  <c r="D60" i="5" s="1"/>
  <c r="E60" s="1"/>
  <c r="F60" s="1"/>
  <c r="C60" i="10"/>
  <c r="C60" i="5" s="1"/>
  <c r="B60" i="10"/>
  <c r="B60" i="5" s="1"/>
  <c r="D59" i="10"/>
  <c r="D59" i="5" s="1"/>
  <c r="C59" i="10"/>
  <c r="C59" i="5" s="1"/>
  <c r="B59" i="10"/>
  <c r="B59" i="5" s="1"/>
  <c r="D58" i="10"/>
  <c r="D58" i="5" s="1"/>
  <c r="C58" i="10"/>
  <c r="C58" i="5" s="1"/>
  <c r="B58" i="10"/>
  <c r="B58" i="5" s="1"/>
  <c r="D57" i="10"/>
  <c r="D57" i="5" s="1"/>
  <c r="C57" i="10"/>
  <c r="C57" i="5" s="1"/>
  <c r="B57" i="10"/>
  <c r="B57" i="5" s="1"/>
  <c r="D51" i="10"/>
  <c r="D51" i="5" s="1"/>
  <c r="C51" i="10"/>
  <c r="C51" i="5" s="1"/>
  <c r="B51" i="10"/>
  <c r="B51" i="5" s="1"/>
  <c r="D49" i="10"/>
  <c r="D49" i="5" s="1"/>
  <c r="C49" i="10"/>
  <c r="C49" i="5" s="1"/>
  <c r="B49" i="10"/>
  <c r="B49" i="5" s="1"/>
  <c r="D47" i="10"/>
  <c r="D47" i="5" s="1"/>
  <c r="E47" s="1"/>
  <c r="F47" s="1"/>
  <c r="C47" i="10"/>
  <c r="C47" i="5" s="1"/>
  <c r="B47" i="10"/>
  <c r="B47" i="5" s="1"/>
  <c r="D45" i="10"/>
  <c r="D45" i="5" s="1"/>
  <c r="C45" i="10"/>
  <c r="C45" i="5" s="1"/>
  <c r="B45" i="10"/>
  <c r="B45" i="5" s="1"/>
  <c r="D43" i="10"/>
  <c r="D43" i="5" s="1"/>
  <c r="C43" i="10"/>
  <c r="C43" i="5" s="1"/>
  <c r="B43" i="10"/>
  <c r="B43" i="5" s="1"/>
  <c r="D40" i="10"/>
  <c r="D40" i="5" s="1"/>
  <c r="C40" i="10"/>
  <c r="C40" i="5" s="1"/>
  <c r="B40" i="10"/>
  <c r="B40" i="5" s="1"/>
  <c r="D39" i="10"/>
  <c r="D39" i="5" s="1"/>
  <c r="C39" i="10"/>
  <c r="C39" i="5" s="1"/>
  <c r="B39" i="10"/>
  <c r="B39" i="5" s="1"/>
  <c r="D38" i="10"/>
  <c r="D38" i="5" s="1"/>
  <c r="C38" i="10"/>
  <c r="C38" i="5" s="1"/>
  <c r="B38" i="10"/>
  <c r="B38" i="5" s="1"/>
  <c r="D37" i="10"/>
  <c r="D37" i="5" s="1"/>
  <c r="C37" i="10"/>
  <c r="C37" i="5" s="1"/>
  <c r="B37" i="10"/>
  <c r="B37" i="5" s="1"/>
  <c r="D36" i="10"/>
  <c r="D36" i="5" s="1"/>
  <c r="C36" i="10"/>
  <c r="C36" i="5" s="1"/>
  <c r="B36" i="10"/>
  <c r="B36" i="5" s="1"/>
  <c r="D32" i="10"/>
  <c r="D32" i="5" s="1"/>
  <c r="C32" i="10"/>
  <c r="C32" i="5" s="1"/>
  <c r="C32" i="6" s="1"/>
  <c r="B32" i="10"/>
  <c r="B32" i="5" s="1"/>
  <c r="D30" i="10"/>
  <c r="D30" i="5" s="1"/>
  <c r="C30" i="10"/>
  <c r="C30" i="5" s="1"/>
  <c r="C30" i="6" s="1"/>
  <c r="B30" i="10"/>
  <c r="B30" i="5" s="1"/>
  <c r="B30" i="6" s="1"/>
  <c r="D28" i="10"/>
  <c r="D28" i="5" s="1"/>
  <c r="C28" i="10"/>
  <c r="C28" i="5" s="1"/>
  <c r="B28" i="10"/>
  <c r="B28" i="5" s="1"/>
  <c r="D27" i="10"/>
  <c r="D27" i="5" s="1"/>
  <c r="C27" i="10"/>
  <c r="C27" i="5" s="1"/>
  <c r="B27" i="10"/>
  <c r="B27" i="5" s="1"/>
  <c r="D26" i="10"/>
  <c r="D26" i="5" s="1"/>
  <c r="C26" i="10"/>
  <c r="C26" i="5" s="1"/>
  <c r="B26" i="10"/>
  <c r="B26" i="5" s="1"/>
  <c r="D25" i="10"/>
  <c r="D25" i="5" s="1"/>
  <c r="C25" i="10"/>
  <c r="C25" i="5" s="1"/>
  <c r="B25" i="10"/>
  <c r="B25" i="5" s="1"/>
  <c r="D24" i="10"/>
  <c r="D24" i="5" s="1"/>
  <c r="C24" i="10"/>
  <c r="C24" i="5" s="1"/>
  <c r="B24" i="10"/>
  <c r="B24" i="5" s="1"/>
  <c r="D23" i="10"/>
  <c r="D23" i="5" s="1"/>
  <c r="C23" i="10"/>
  <c r="C23" i="5" s="1"/>
  <c r="B23" i="10"/>
  <c r="B23" i="5" s="1"/>
  <c r="D22" i="10"/>
  <c r="D22" i="5" s="1"/>
  <c r="C22" i="10"/>
  <c r="C22" i="5" s="1"/>
  <c r="B22" i="10"/>
  <c r="B22" i="5" s="1"/>
  <c r="D21" i="10"/>
  <c r="D21" i="5" s="1"/>
  <c r="C21" i="10"/>
  <c r="C21" i="5" s="1"/>
  <c r="B21" i="10"/>
  <c r="B21" i="5" s="1"/>
  <c r="D20" i="10"/>
  <c r="D20" i="5" s="1"/>
  <c r="C20" i="10"/>
  <c r="C20" i="5" s="1"/>
  <c r="B20" i="10"/>
  <c r="B20" i="5" s="1"/>
  <c r="D19" i="10"/>
  <c r="D19" i="5" s="1"/>
  <c r="C19" i="10"/>
  <c r="C19" i="5" s="1"/>
  <c r="B19" i="10"/>
  <c r="B19" i="5" s="1"/>
  <c r="D18" i="10"/>
  <c r="D18" i="5" s="1"/>
  <c r="C18" i="10"/>
  <c r="C18" i="5" s="1"/>
  <c r="B18" i="10"/>
  <c r="B18" i="5" s="1"/>
  <c r="D17" i="10"/>
  <c r="D17" i="5" s="1"/>
  <c r="C17" i="10"/>
  <c r="C17" i="5" s="1"/>
  <c r="B17" i="10"/>
  <c r="B17" i="5" s="1"/>
  <c r="D16" i="10"/>
  <c r="D16" i="5" s="1"/>
  <c r="C16" i="10"/>
  <c r="C16" i="5" s="1"/>
  <c r="B16" i="10"/>
  <c r="B16" i="5" s="1"/>
  <c r="D15" i="10"/>
  <c r="D15" i="5" s="1"/>
  <c r="C15" i="10"/>
  <c r="C15" i="5" s="1"/>
  <c r="B15" i="10"/>
  <c r="B15" i="5" s="1"/>
  <c r="D14" i="10"/>
  <c r="D14" i="5" s="1"/>
  <c r="C14" i="10"/>
  <c r="C14" i="5" s="1"/>
  <c r="B14" i="10"/>
  <c r="B14" i="5" s="1"/>
  <c r="D13" i="10"/>
  <c r="D13" i="5" s="1"/>
  <c r="C13" i="10"/>
  <c r="C13" i="5" s="1"/>
  <c r="B13" i="10"/>
  <c r="B13" i="5" s="1"/>
  <c r="D12" i="10"/>
  <c r="D12" i="5" s="1"/>
  <c r="C12" i="10"/>
  <c r="C12" i="5" s="1"/>
  <c r="B12" i="10"/>
  <c r="B12" i="5" s="1"/>
  <c r="D11" i="10"/>
  <c r="D11" i="5" s="1"/>
  <c r="C11" i="10"/>
  <c r="C11" i="5" s="1"/>
  <c r="B11" i="10"/>
  <c r="B11" i="5" s="1"/>
  <c r="D9" i="10"/>
  <c r="D9" i="5" s="1"/>
  <c r="C9" i="10"/>
  <c r="C9" i="5" s="1"/>
  <c r="B9" i="10"/>
  <c r="B9" i="5" s="1"/>
  <c r="D8" i="10"/>
  <c r="D8" i="5" s="1"/>
  <c r="C8" i="10"/>
  <c r="C8" i="5" s="1"/>
  <c r="B8" i="10"/>
  <c r="B8" i="5" s="1"/>
  <c r="B67" l="1"/>
  <c r="B68" i="1"/>
  <c r="B84" i="5"/>
  <c r="B85" i="1"/>
  <c r="C10" i="5"/>
  <c r="E14"/>
  <c r="F14" s="1"/>
  <c r="E16"/>
  <c r="F16" s="1"/>
  <c r="C41"/>
  <c r="E43"/>
  <c r="F43" s="1"/>
  <c r="B80" i="13"/>
  <c r="B76"/>
  <c r="B80" i="5"/>
  <c r="C76"/>
  <c r="E18"/>
  <c r="F18" s="1"/>
  <c r="E8" i="13"/>
  <c r="F8" s="1"/>
  <c r="E82"/>
  <c r="F82" s="1"/>
  <c r="E79"/>
  <c r="F79" s="1"/>
  <c r="D80"/>
  <c r="E77"/>
  <c r="F77" s="1"/>
  <c r="D76"/>
  <c r="E73"/>
  <c r="F73" s="1"/>
  <c r="E75"/>
  <c r="F75" s="1"/>
  <c r="D10" i="31"/>
  <c r="D10" i="13" s="1"/>
  <c r="E19" i="31"/>
  <c r="F19" s="1"/>
  <c r="E21"/>
  <c r="F21" s="1"/>
  <c r="E23"/>
  <c r="F23" s="1"/>
  <c r="E25"/>
  <c r="F25" s="1"/>
  <c r="D41"/>
  <c r="B41" i="5"/>
  <c r="B65"/>
  <c r="B70" s="1"/>
  <c r="B76"/>
  <c r="C80"/>
  <c r="B85"/>
  <c r="B89"/>
  <c r="B10" i="13"/>
  <c r="C41" i="31"/>
  <c r="E51" i="5"/>
  <c r="F51" s="1"/>
  <c r="E87"/>
  <c r="F87" s="1"/>
  <c r="E58"/>
  <c r="F58" s="1"/>
  <c r="E90"/>
  <c r="F90" s="1"/>
  <c r="E27" i="31"/>
  <c r="F27" s="1"/>
  <c r="E39"/>
  <c r="F39" s="1"/>
  <c r="C9" i="4"/>
  <c r="C9" i="6" s="1"/>
  <c r="E9" i="13"/>
  <c r="F9" s="1"/>
  <c r="D9" i="4"/>
  <c r="E9" s="1"/>
  <c r="F9" s="1"/>
  <c r="B9"/>
  <c r="B9" i="6" s="1"/>
  <c r="E22" i="5"/>
  <c r="F22" s="1"/>
  <c r="E24"/>
  <c r="F24" s="1"/>
  <c r="B10"/>
  <c r="B34" s="1"/>
  <c r="B53" s="1"/>
  <c r="E26"/>
  <c r="F26" s="1"/>
  <c r="E28"/>
  <c r="F28" s="1"/>
  <c r="E20"/>
  <c r="F20" s="1"/>
  <c r="E82"/>
  <c r="F82" s="1"/>
  <c r="E9"/>
  <c r="F9" s="1"/>
  <c r="D9" i="6"/>
  <c r="B32"/>
  <c r="D32"/>
  <c r="E32" s="1"/>
  <c r="F32" s="1"/>
  <c r="E32" i="5"/>
  <c r="F32" s="1"/>
  <c r="C66"/>
  <c r="D67"/>
  <c r="E67" s="1"/>
  <c r="F67" s="1"/>
  <c r="E69"/>
  <c r="F69" s="1"/>
  <c r="D80"/>
  <c r="E80" s="1"/>
  <c r="F80" s="1"/>
  <c r="E77"/>
  <c r="F77" s="1"/>
  <c r="D84"/>
  <c r="D85" s="1"/>
  <c r="C34"/>
  <c r="E12"/>
  <c r="F12" s="1"/>
  <c r="E37"/>
  <c r="F37" s="1"/>
  <c r="E39"/>
  <c r="F39" s="1"/>
  <c r="C53"/>
  <c r="E64"/>
  <c r="F64" s="1"/>
  <c r="E74"/>
  <c r="F74" s="1"/>
  <c r="E11"/>
  <c r="F11" s="1"/>
  <c r="D10"/>
  <c r="E10" s="1"/>
  <c r="F10" s="1"/>
  <c r="E30"/>
  <c r="F30" s="1"/>
  <c r="D30" i="6"/>
  <c r="E30" s="1"/>
  <c r="F30" s="1"/>
  <c r="D41" i="5"/>
  <c r="E41" s="1"/>
  <c r="F41" s="1"/>
  <c r="E36"/>
  <c r="F36" s="1"/>
  <c r="E49"/>
  <c r="F49" s="1"/>
  <c r="E57"/>
  <c r="F57" s="1"/>
  <c r="D65"/>
  <c r="C62"/>
  <c r="E62" s="1"/>
  <c r="F62" s="1"/>
  <c r="D76"/>
  <c r="E73"/>
  <c r="F73" s="1"/>
  <c r="E81"/>
  <c r="F81" s="1"/>
  <c r="C84"/>
  <c r="C85" s="1"/>
  <c r="C91" s="1"/>
  <c r="D89"/>
  <c r="E89" s="1"/>
  <c r="F89" s="1"/>
  <c r="E86"/>
  <c r="F86" s="1"/>
  <c r="E8"/>
  <c r="F8" s="1"/>
  <c r="E13"/>
  <c r="F13" s="1"/>
  <c r="E15"/>
  <c r="F15" s="1"/>
  <c r="E17"/>
  <c r="F17" s="1"/>
  <c r="E19"/>
  <c r="F19" s="1"/>
  <c r="E21"/>
  <c r="F21" s="1"/>
  <c r="E23"/>
  <c r="F23" s="1"/>
  <c r="E25"/>
  <c r="F25" s="1"/>
  <c r="E27"/>
  <c r="F27" s="1"/>
  <c r="E38"/>
  <c r="F38" s="1"/>
  <c r="E40"/>
  <c r="F40" s="1"/>
  <c r="E45"/>
  <c r="F45" s="1"/>
  <c r="E59"/>
  <c r="F59" s="1"/>
  <c r="E61"/>
  <c r="F61" s="1"/>
  <c r="E63"/>
  <c r="F63" s="1"/>
  <c r="E66"/>
  <c r="F66" s="1"/>
  <c r="E68"/>
  <c r="F68" s="1"/>
  <c r="E75"/>
  <c r="F75" s="1"/>
  <c r="E78"/>
  <c r="F78" s="1"/>
  <c r="E83"/>
  <c r="F83" s="1"/>
  <c r="E88"/>
  <c r="F88" s="1"/>
  <c r="C14" i="4"/>
  <c r="C14" i="6" s="1"/>
  <c r="B15" i="4"/>
  <c r="B15" i="6" s="1"/>
  <c r="C18" i="4"/>
  <c r="C18" i="6" s="1"/>
  <c r="B19" i="4"/>
  <c r="B19" i="6" s="1"/>
  <c r="C20" i="4"/>
  <c r="C20" i="6" s="1"/>
  <c r="B21" i="4"/>
  <c r="B21" i="6" s="1"/>
  <c r="C22" i="4"/>
  <c r="C22" i="6" s="1"/>
  <c r="B23" i="4"/>
  <c r="B23" i="6" s="1"/>
  <c r="B25" i="4"/>
  <c r="B25" i="6" s="1"/>
  <c r="C26" i="4"/>
  <c r="C26" i="6" s="1"/>
  <c r="B27" i="4"/>
  <c r="B27" i="6" s="1"/>
  <c r="C37" i="4"/>
  <c r="C37" i="6" s="1"/>
  <c r="B38" i="4"/>
  <c r="B38" i="6" s="1"/>
  <c r="D38" i="4"/>
  <c r="C39"/>
  <c r="C39" i="6" s="1"/>
  <c r="D40" i="4"/>
  <c r="B51"/>
  <c r="B51" i="6" s="1"/>
  <c r="B58" i="4"/>
  <c r="B58" i="6" s="1"/>
  <c r="B59" i="4"/>
  <c r="B59" i="6" s="1"/>
  <c r="B63" i="4"/>
  <c r="B63" i="6" s="1"/>
  <c r="B64" i="4"/>
  <c r="B64" i="6" s="1"/>
  <c r="B84" i="4"/>
  <c r="B84" i="6" s="1"/>
  <c r="B88" i="4"/>
  <c r="B88" i="6" s="1"/>
  <c r="B90" i="4"/>
  <c r="B90" i="6" s="1"/>
  <c r="B86" i="4"/>
  <c r="B86" i="6" s="1"/>
  <c r="C8" i="4"/>
  <c r="C8" i="6" s="1"/>
  <c r="C11" i="4"/>
  <c r="D12"/>
  <c r="D13"/>
  <c r="D16"/>
  <c r="B24"/>
  <c r="B24" i="6" s="1"/>
  <c r="D24" i="4"/>
  <c r="C28"/>
  <c r="C28" i="6" s="1"/>
  <c r="C43" i="4"/>
  <c r="C43" i="6" s="1"/>
  <c r="C45" i="4"/>
  <c r="C45" i="6" s="1"/>
  <c r="D47" i="4"/>
  <c r="C49"/>
  <c r="C57"/>
  <c r="C57" i="6" s="1"/>
  <c r="C58" i="4"/>
  <c r="C58" i="6" s="1"/>
  <c r="C59" i="4"/>
  <c r="C59" i="6" s="1"/>
  <c r="B60" i="4"/>
  <c r="B60" i="6" s="1"/>
  <c r="D60" i="4"/>
  <c r="D60" i="6" s="1"/>
  <c r="D61" i="4"/>
  <c r="D61" i="6" s="1"/>
  <c r="C62" i="4"/>
  <c r="C62" i="6" s="1"/>
  <c r="C63" i="4"/>
  <c r="C63" i="6" s="1"/>
  <c r="C64" i="4"/>
  <c r="C64" i="6" s="1"/>
  <c r="C67" i="4"/>
  <c r="C67" i="6" s="1"/>
  <c r="C68" i="4"/>
  <c r="C68" i="6" s="1"/>
  <c r="B69" i="4"/>
  <c r="B69" i="6" s="1"/>
  <c r="D69" i="4"/>
  <c r="D69" i="6" s="1"/>
  <c r="C73" i="4"/>
  <c r="C73" i="6" s="1"/>
  <c r="B74" i="4"/>
  <c r="B74" i="6" s="1"/>
  <c r="D74" i="4"/>
  <c r="D74" i="6" s="1"/>
  <c r="C75" i="4"/>
  <c r="C75" i="6" s="1"/>
  <c r="B77" i="4"/>
  <c r="B77" i="6" s="1"/>
  <c r="D77" i="4"/>
  <c r="D77" i="6" s="1"/>
  <c r="C78" i="4"/>
  <c r="C78" i="6" s="1"/>
  <c r="B79" i="4"/>
  <c r="B79" i="6" s="1"/>
  <c r="D79" i="4"/>
  <c r="D79" i="6" s="1"/>
  <c r="C81" i="4"/>
  <c r="C81" i="6" s="1"/>
  <c r="B82" i="4"/>
  <c r="B82" i="6" s="1"/>
  <c r="D82" i="4"/>
  <c r="D82" i="6" s="1"/>
  <c r="D83" i="4"/>
  <c r="D83" i="6" s="1"/>
  <c r="D84" i="4"/>
  <c r="D84" i="6" s="1"/>
  <c r="D86" i="4"/>
  <c r="D86" i="6" s="1"/>
  <c r="D87" i="4"/>
  <c r="D87" i="6" s="1"/>
  <c r="D88" i="4"/>
  <c r="D88" i="6" s="1"/>
  <c r="B11" i="4"/>
  <c r="B12"/>
  <c r="B12" i="6" s="1"/>
  <c r="B13" i="4"/>
  <c r="B13" i="6" s="1"/>
  <c r="B14" i="4"/>
  <c r="B14" i="6" s="1"/>
  <c r="C15" i="4"/>
  <c r="C15" i="6" s="1"/>
  <c r="B16" i="4"/>
  <c r="B16" i="6" s="1"/>
  <c r="B17" i="4"/>
  <c r="B17" i="6" s="1"/>
  <c r="B18" i="4"/>
  <c r="B18" i="6" s="1"/>
  <c r="C19" i="4"/>
  <c r="C19" i="6" s="1"/>
  <c r="B20" i="4"/>
  <c r="B20" i="6" s="1"/>
  <c r="C21" i="4"/>
  <c r="C21" i="6" s="1"/>
  <c r="C23" i="4"/>
  <c r="C23" i="6" s="1"/>
  <c r="C25" i="4"/>
  <c r="C25" i="6" s="1"/>
  <c r="B26" i="4"/>
  <c r="B26" i="6" s="1"/>
  <c r="C27" i="4"/>
  <c r="C27" i="6" s="1"/>
  <c r="B37" i="4"/>
  <c r="B37" i="6" s="1"/>
  <c r="C38" i="4"/>
  <c r="C38" i="6" s="1"/>
  <c r="B39" i="4"/>
  <c r="B39" i="6" s="1"/>
  <c r="C40" i="4"/>
  <c r="C40" i="6" s="1"/>
  <c r="B43" i="4"/>
  <c r="B43" i="6" s="1"/>
  <c r="B45" i="4"/>
  <c r="B45" i="6" s="1"/>
  <c r="B47" i="4"/>
  <c r="B47" i="6" s="1"/>
  <c r="C51" i="4"/>
  <c r="C51" i="6" s="1"/>
  <c r="B61" i="4"/>
  <c r="B61" i="6" s="1"/>
  <c r="C66" i="4"/>
  <c r="C66" i="6" s="1"/>
  <c r="B67" i="4"/>
  <c r="B67" i="6" s="1"/>
  <c r="C90" i="4"/>
  <c r="C90" i="6" s="1"/>
  <c r="B8" i="4"/>
  <c r="B8" i="6" s="1"/>
  <c r="D8" i="4"/>
  <c r="C12"/>
  <c r="C12" i="6" s="1"/>
  <c r="C13" i="4"/>
  <c r="C13" i="6" s="1"/>
  <c r="C16" i="4"/>
  <c r="C16" i="6" s="1"/>
  <c r="C17" i="4"/>
  <c r="C17" i="6" s="1"/>
  <c r="C24" i="4"/>
  <c r="C24" i="6" s="1"/>
  <c r="B28" i="4"/>
  <c r="B28" i="6" s="1"/>
  <c r="D28" i="4"/>
  <c r="D43"/>
  <c r="C47"/>
  <c r="C47" i="6" s="1"/>
  <c r="B49" i="4"/>
  <c r="D49"/>
  <c r="D57"/>
  <c r="D57" i="6" s="1"/>
  <c r="D58" i="4"/>
  <c r="D58" i="6" s="1"/>
  <c r="D59" i="4"/>
  <c r="D59" i="6" s="1"/>
  <c r="C60" i="4"/>
  <c r="C60" i="6" s="1"/>
  <c r="C61" i="4"/>
  <c r="C61" i="6" s="1"/>
  <c r="B62" i="4"/>
  <c r="B62" i="6" s="1"/>
  <c r="D62" i="4"/>
  <c r="D62" i="6" s="1"/>
  <c r="D63" i="4"/>
  <c r="D63" i="6" s="1"/>
  <c r="D64" i="4"/>
  <c r="D64" i="6" s="1"/>
  <c r="D67" i="4"/>
  <c r="D68"/>
  <c r="D68" i="6" s="1"/>
  <c r="C69" i="4"/>
  <c r="C69" i="6" s="1"/>
  <c r="B73" i="4"/>
  <c r="B73" i="6" s="1"/>
  <c r="D73" i="4"/>
  <c r="D73" i="6" s="1"/>
  <c r="C74" i="4"/>
  <c r="C74" i="6" s="1"/>
  <c r="B75" i="4"/>
  <c r="B75" i="6" s="1"/>
  <c r="D75" i="4"/>
  <c r="D75" i="6" s="1"/>
  <c r="C77" i="4"/>
  <c r="C77" i="6" s="1"/>
  <c r="B78" i="4"/>
  <c r="B78" i="6" s="1"/>
  <c r="D78" i="4"/>
  <c r="D78" i="6" s="1"/>
  <c r="C79" i="4"/>
  <c r="C79" i="6" s="1"/>
  <c r="B81" i="4"/>
  <c r="B81" i="6" s="1"/>
  <c r="D81" i="4"/>
  <c r="D81" i="6" s="1"/>
  <c r="C82" i="4"/>
  <c r="C82" i="6" s="1"/>
  <c r="C83" i="4"/>
  <c r="C83" i="6" s="1"/>
  <c r="C84" i="4"/>
  <c r="C86"/>
  <c r="C86" i="6" s="1"/>
  <c r="C87" i="4"/>
  <c r="C87" i="6" s="1"/>
  <c r="C88" i="4"/>
  <c r="C88" i="6" s="1"/>
  <c r="B40" i="4"/>
  <c r="E15" i="31"/>
  <c r="F15" s="1"/>
  <c r="E30"/>
  <c r="F30" s="1"/>
  <c r="E51"/>
  <c r="F51" s="1"/>
  <c r="E66"/>
  <c r="F66" s="1"/>
  <c r="C10"/>
  <c r="C10" i="13" s="1"/>
  <c r="E38"/>
  <c r="F38" s="1"/>
  <c r="E40"/>
  <c r="F40" s="1"/>
  <c r="E32"/>
  <c r="F32" s="1"/>
  <c r="E9" i="31"/>
  <c r="F9" s="1"/>
  <c r="E14"/>
  <c r="F14" s="1"/>
  <c r="E18"/>
  <c r="F18" s="1"/>
  <c r="E20"/>
  <c r="F20" s="1"/>
  <c r="E22"/>
  <c r="F22" s="1"/>
  <c r="E26"/>
  <c r="F26" s="1"/>
  <c r="E37"/>
  <c r="F37" s="1"/>
  <c r="E90"/>
  <c r="F90" s="1"/>
  <c r="D11" i="13"/>
  <c r="D15"/>
  <c r="D17"/>
  <c r="D19"/>
  <c r="D21"/>
  <c r="D23"/>
  <c r="D25"/>
  <c r="D27"/>
  <c r="D30"/>
  <c r="E30" s="1"/>
  <c r="F30" s="1"/>
  <c r="B36"/>
  <c r="D36"/>
  <c r="D45"/>
  <c r="D90"/>
  <c r="E38" i="31"/>
  <c r="F38" s="1"/>
  <c r="E40"/>
  <c r="F40" s="1"/>
  <c r="D14" i="13"/>
  <c r="D18"/>
  <c r="D20"/>
  <c r="B22"/>
  <c r="D22"/>
  <c r="D26"/>
  <c r="C36"/>
  <c r="C41" s="1"/>
  <c r="D37"/>
  <c r="E37" s="1"/>
  <c r="F37" s="1"/>
  <c r="D39"/>
  <c r="D51"/>
  <c r="D66"/>
  <c r="B57"/>
  <c r="B66"/>
  <c r="B68"/>
  <c r="B83"/>
  <c r="B87"/>
  <c r="C76" i="31"/>
  <c r="D34"/>
  <c r="C34"/>
  <c r="C53" s="1"/>
  <c r="E65" i="13"/>
  <c r="F65" s="1"/>
  <c r="E85"/>
  <c r="F85" s="1"/>
  <c r="E89"/>
  <c r="F89" s="1"/>
  <c r="D91"/>
  <c r="B34"/>
  <c r="D34"/>
  <c r="C34"/>
  <c r="E49"/>
  <c r="F49" s="1"/>
  <c r="E68"/>
  <c r="F68" s="1"/>
  <c r="C70"/>
  <c r="E74"/>
  <c r="F74" s="1"/>
  <c r="C76"/>
  <c r="E76" s="1"/>
  <c r="F76" s="1"/>
  <c r="E78"/>
  <c r="F78" s="1"/>
  <c r="C80"/>
  <c r="E80" s="1"/>
  <c r="F80" s="1"/>
  <c r="E86"/>
  <c r="F86" s="1"/>
  <c r="E57"/>
  <c r="F57" s="1"/>
  <c r="E81"/>
  <c r="F81" s="1"/>
  <c r="E87"/>
  <c r="F87" s="1"/>
  <c r="E76" i="31"/>
  <c r="F76" s="1"/>
  <c r="E80"/>
  <c r="F80" s="1"/>
  <c r="E85"/>
  <c r="F85" s="1"/>
  <c r="C70"/>
  <c r="C91"/>
  <c r="E89"/>
  <c r="F89" s="1"/>
  <c r="D91"/>
  <c r="E41"/>
  <c r="F41" s="1"/>
  <c r="E49"/>
  <c r="F49" s="1"/>
  <c r="D65"/>
  <c r="E86"/>
  <c r="F86" s="1"/>
  <c r="E32"/>
  <c r="F32" s="1"/>
  <c r="E36"/>
  <c r="F36" s="1"/>
  <c r="E69"/>
  <c r="F69" s="1"/>
  <c r="E73"/>
  <c r="F73" s="1"/>
  <c r="E77"/>
  <c r="F77" s="1"/>
  <c r="E81"/>
  <c r="F81" s="1"/>
  <c r="E10" l="1"/>
  <c r="F10" s="1"/>
  <c r="B49" i="6"/>
  <c r="B91" i="5"/>
  <c r="C84" i="6"/>
  <c r="E84" s="1"/>
  <c r="F84" s="1"/>
  <c r="D67"/>
  <c r="E76" i="5"/>
  <c r="F76" s="1"/>
  <c r="C53" i="13"/>
  <c r="E9" i="6"/>
  <c r="F9" s="1"/>
  <c r="D91" i="5"/>
  <c r="E91" s="1"/>
  <c r="F91" s="1"/>
  <c r="E85"/>
  <c r="F85" s="1"/>
  <c r="C65"/>
  <c r="C70" s="1"/>
  <c r="E84"/>
  <c r="F84" s="1"/>
  <c r="D70"/>
  <c r="E70" s="1"/>
  <c r="F70" s="1"/>
  <c r="D34"/>
  <c r="E64" i="6"/>
  <c r="F64" s="1"/>
  <c r="E63"/>
  <c r="F63" s="1"/>
  <c r="E62"/>
  <c r="F62" s="1"/>
  <c r="E59"/>
  <c r="F59" s="1"/>
  <c r="E58"/>
  <c r="F58" s="1"/>
  <c r="E57"/>
  <c r="F57" s="1"/>
  <c r="D65"/>
  <c r="E83"/>
  <c r="F83" s="1"/>
  <c r="E82"/>
  <c r="F82" s="1"/>
  <c r="E79"/>
  <c r="F79" s="1"/>
  <c r="D80"/>
  <c r="E77"/>
  <c r="F77" s="1"/>
  <c r="E74"/>
  <c r="F74" s="1"/>
  <c r="E69"/>
  <c r="F69" s="1"/>
  <c r="C89"/>
  <c r="C85"/>
  <c r="B80"/>
  <c r="C76"/>
  <c r="E81"/>
  <c r="F81" s="1"/>
  <c r="D85"/>
  <c r="E78"/>
  <c r="F78" s="1"/>
  <c r="E75"/>
  <c r="F75" s="1"/>
  <c r="D76"/>
  <c r="E73"/>
  <c r="F73" s="1"/>
  <c r="E68"/>
  <c r="F68" s="1"/>
  <c r="E67"/>
  <c r="F67" s="1"/>
  <c r="E88"/>
  <c r="F88" s="1"/>
  <c r="E87"/>
  <c r="F87" s="1"/>
  <c r="D89"/>
  <c r="E86"/>
  <c r="F86" s="1"/>
  <c r="E61"/>
  <c r="F61" s="1"/>
  <c r="E60"/>
  <c r="F60" s="1"/>
  <c r="C80"/>
  <c r="B76"/>
  <c r="C65"/>
  <c r="C70" s="1"/>
  <c r="B87" i="4"/>
  <c r="B87" i="6" s="1"/>
  <c r="B68" i="4"/>
  <c r="B68" i="6" s="1"/>
  <c r="B57" i="4"/>
  <c r="E66" i="13"/>
  <c r="F66" s="1"/>
  <c r="D66" i="4"/>
  <c r="D66" i="6" s="1"/>
  <c r="E39" i="13"/>
  <c r="F39" s="1"/>
  <c r="D39" i="4"/>
  <c r="C36"/>
  <c r="D22"/>
  <c r="D20"/>
  <c r="D14"/>
  <c r="D45"/>
  <c r="B41" i="13"/>
  <c r="B53" s="1"/>
  <c r="B36" i="4"/>
  <c r="B36" i="6" s="1"/>
  <c r="E27" i="13"/>
  <c r="F27" s="1"/>
  <c r="D27" i="4"/>
  <c r="E23" i="13"/>
  <c r="F23" s="1"/>
  <c r="D23" i="4"/>
  <c r="E19" i="13"/>
  <c r="F19" s="1"/>
  <c r="D19" i="4"/>
  <c r="E15" i="13"/>
  <c r="F15" s="1"/>
  <c r="D15" i="4"/>
  <c r="E88"/>
  <c r="F88" s="1"/>
  <c r="E87"/>
  <c r="F87" s="1"/>
  <c r="D89"/>
  <c r="E86"/>
  <c r="F86" s="1"/>
  <c r="E84"/>
  <c r="F84" s="1"/>
  <c r="E83"/>
  <c r="F83" s="1"/>
  <c r="E82"/>
  <c r="F82" s="1"/>
  <c r="E79"/>
  <c r="F79" s="1"/>
  <c r="D80"/>
  <c r="E77"/>
  <c r="F77" s="1"/>
  <c r="E74"/>
  <c r="F74" s="1"/>
  <c r="E69"/>
  <c r="F69" s="1"/>
  <c r="E61"/>
  <c r="F61" s="1"/>
  <c r="E60"/>
  <c r="F60" s="1"/>
  <c r="C49" i="6"/>
  <c r="C85" i="4"/>
  <c r="B80"/>
  <c r="C76"/>
  <c r="C65"/>
  <c r="B83"/>
  <c r="B83" i="6" s="1"/>
  <c r="B85" s="1"/>
  <c r="B66" i="4"/>
  <c r="B66" i="6" s="1"/>
  <c r="E51" i="13"/>
  <c r="F51" s="1"/>
  <c r="D51" i="4"/>
  <c r="D37"/>
  <c r="D26"/>
  <c r="B22"/>
  <c r="B22" i="6" s="1"/>
  <c r="D18" i="4"/>
  <c r="E90" i="13"/>
  <c r="F90" s="1"/>
  <c r="D90" i="4"/>
  <c r="D90" i="6" s="1"/>
  <c r="D36" i="4"/>
  <c r="E25" i="13"/>
  <c r="F25" s="1"/>
  <c r="D25" i="4"/>
  <c r="E21" i="13"/>
  <c r="F21" s="1"/>
  <c r="D21" i="4"/>
  <c r="E17" i="13"/>
  <c r="F17" s="1"/>
  <c r="D17" i="4"/>
  <c r="E11" i="13"/>
  <c r="F11" s="1"/>
  <c r="D11" i="4"/>
  <c r="E81"/>
  <c r="F81" s="1"/>
  <c r="D85"/>
  <c r="E78"/>
  <c r="F78" s="1"/>
  <c r="E75"/>
  <c r="F75" s="1"/>
  <c r="D76"/>
  <c r="E73"/>
  <c r="F73" s="1"/>
  <c r="E68"/>
  <c r="F68" s="1"/>
  <c r="E67"/>
  <c r="F67" s="1"/>
  <c r="E64"/>
  <c r="F64" s="1"/>
  <c r="E63"/>
  <c r="F63" s="1"/>
  <c r="E62"/>
  <c r="F62" s="1"/>
  <c r="E59"/>
  <c r="F59" s="1"/>
  <c r="E58"/>
  <c r="F58" s="1"/>
  <c r="E57"/>
  <c r="F57" s="1"/>
  <c r="D65"/>
  <c r="D49" i="6"/>
  <c r="E49" i="4"/>
  <c r="F49" s="1"/>
  <c r="D43" i="6"/>
  <c r="E43" i="4"/>
  <c r="F43" s="1"/>
  <c r="E28"/>
  <c r="F28" s="1"/>
  <c r="D28" i="6"/>
  <c r="E28" s="1"/>
  <c r="F28" s="1"/>
  <c r="D8"/>
  <c r="E8" i="4"/>
  <c r="F8" s="1"/>
  <c r="B11" i="6"/>
  <c r="B10" s="1"/>
  <c r="B34" s="1"/>
  <c r="B10" i="4"/>
  <c r="D47" i="6"/>
  <c r="E47" i="4"/>
  <c r="F47" s="1"/>
  <c r="E24"/>
  <c r="F24" s="1"/>
  <c r="D24" i="6"/>
  <c r="E16" i="4"/>
  <c r="F16" s="1"/>
  <c r="D16" i="6"/>
  <c r="E16" s="1"/>
  <c r="F16" s="1"/>
  <c r="D13"/>
  <c r="E13" i="4"/>
  <c r="F13" s="1"/>
  <c r="E12"/>
  <c r="F12" s="1"/>
  <c r="D12" i="6"/>
  <c r="C11"/>
  <c r="C10" s="1"/>
  <c r="C34" s="1"/>
  <c r="C10" i="4"/>
  <c r="C34" s="1"/>
  <c r="D40" i="6"/>
  <c r="E40" s="1"/>
  <c r="F40" s="1"/>
  <c r="E40" i="4"/>
  <c r="F40" s="1"/>
  <c r="D38" i="6"/>
  <c r="E38" i="4"/>
  <c r="F38" s="1"/>
  <c r="C89"/>
  <c r="B85"/>
  <c r="C80"/>
  <c r="B76"/>
  <c r="C70"/>
  <c r="E24" i="6"/>
  <c r="F24" s="1"/>
  <c r="E12"/>
  <c r="F12" s="1"/>
  <c r="B89" i="4"/>
  <c r="B40" i="6"/>
  <c r="B41" i="4"/>
  <c r="E34" i="31"/>
  <c r="F34" s="1"/>
  <c r="E22" i="13"/>
  <c r="F22" s="1"/>
  <c r="E20"/>
  <c r="F20" s="1"/>
  <c r="E14"/>
  <c r="F14" s="1"/>
  <c r="E45"/>
  <c r="F45" s="1"/>
  <c r="E26"/>
  <c r="F26" s="1"/>
  <c r="E18"/>
  <c r="F18" s="1"/>
  <c r="E36"/>
  <c r="F36" s="1"/>
  <c r="D41"/>
  <c r="D53" s="1"/>
  <c r="D53" i="31"/>
  <c r="D70" i="13"/>
  <c r="E70" s="1"/>
  <c r="F70" s="1"/>
  <c r="B85"/>
  <c r="B89"/>
  <c r="B65"/>
  <c r="E34"/>
  <c r="F34" s="1"/>
  <c r="C91"/>
  <c r="E91" s="1"/>
  <c r="F91" s="1"/>
  <c r="E10"/>
  <c r="F10" s="1"/>
  <c r="E65" i="31"/>
  <c r="F65" s="1"/>
  <c r="E91"/>
  <c r="F91" s="1"/>
  <c r="D70"/>
  <c r="E53"/>
  <c r="F53" s="1"/>
  <c r="E41" i="13" l="1"/>
  <c r="F41" s="1"/>
  <c r="B91" i="4"/>
  <c r="E65" i="5"/>
  <c r="F65" s="1"/>
  <c r="E34"/>
  <c r="F34" s="1"/>
  <c r="D53"/>
  <c r="E53" s="1"/>
  <c r="F53" s="1"/>
  <c r="E66" i="6"/>
  <c r="F66" s="1"/>
  <c r="E89"/>
  <c r="F89" s="1"/>
  <c r="B89"/>
  <c r="B91" s="1"/>
  <c r="D70"/>
  <c r="E90"/>
  <c r="F90" s="1"/>
  <c r="B65" i="4"/>
  <c r="B70" s="1"/>
  <c r="B57" i="6"/>
  <c r="E76"/>
  <c r="F76" s="1"/>
  <c r="D91"/>
  <c r="E85"/>
  <c r="F85" s="1"/>
  <c r="E80"/>
  <c r="F80" s="1"/>
  <c r="E65"/>
  <c r="F65" s="1"/>
  <c r="C91"/>
  <c r="E38"/>
  <c r="F38" s="1"/>
  <c r="E13"/>
  <c r="F13" s="1"/>
  <c r="B34" i="4"/>
  <c r="B53" s="1"/>
  <c r="E8" i="6"/>
  <c r="F8" s="1"/>
  <c r="E43"/>
  <c r="F43" s="1"/>
  <c r="E49"/>
  <c r="F49" s="1"/>
  <c r="E65" i="4"/>
  <c r="F65" s="1"/>
  <c r="E76"/>
  <c r="F76" s="1"/>
  <c r="E85"/>
  <c r="F85" s="1"/>
  <c r="D11" i="6"/>
  <c r="D10" i="4"/>
  <c r="E11"/>
  <c r="F11" s="1"/>
  <c r="D21" i="6"/>
  <c r="E21" i="4"/>
  <c r="F21" s="1"/>
  <c r="D36" i="6"/>
  <c r="D41" i="4"/>
  <c r="E36"/>
  <c r="F36" s="1"/>
  <c r="E90"/>
  <c r="F90" s="1"/>
  <c r="E89"/>
  <c r="F89" s="1"/>
  <c r="D91"/>
  <c r="D15" i="6"/>
  <c r="E15" i="4"/>
  <c r="F15" s="1"/>
  <c r="D23" i="6"/>
  <c r="E23" i="4"/>
  <c r="F23" s="1"/>
  <c r="E66"/>
  <c r="F66" s="1"/>
  <c r="D70"/>
  <c r="E47" i="6"/>
  <c r="F47" s="1"/>
  <c r="D17"/>
  <c r="E17" i="4"/>
  <c r="F17" s="1"/>
  <c r="D25" i="6"/>
  <c r="E25" i="4"/>
  <c r="F25" s="1"/>
  <c r="E18"/>
  <c r="F18" s="1"/>
  <c r="D18" i="6"/>
  <c r="E26" i="4"/>
  <c r="F26" s="1"/>
  <c r="D26" i="6"/>
  <c r="D37"/>
  <c r="E37" i="4"/>
  <c r="F37" s="1"/>
  <c r="D51" i="6"/>
  <c r="E51" i="4"/>
  <c r="F51" s="1"/>
  <c r="E80"/>
  <c r="F80" s="1"/>
  <c r="D19" i="6"/>
  <c r="E19" i="4"/>
  <c r="F19" s="1"/>
  <c r="D27" i="6"/>
  <c r="E27" i="4"/>
  <c r="F27" s="1"/>
  <c r="D45" i="6"/>
  <c r="E45" i="4"/>
  <c r="F45" s="1"/>
  <c r="E14"/>
  <c r="F14" s="1"/>
  <c r="D14" i="6"/>
  <c r="E20" i="4"/>
  <c r="F20" s="1"/>
  <c r="D20" i="6"/>
  <c r="E22" i="4"/>
  <c r="F22" s="1"/>
  <c r="D22" i="6"/>
  <c r="C36"/>
  <c r="C41" s="1"/>
  <c r="C53" s="1"/>
  <c r="C41" i="4"/>
  <c r="C53" s="1"/>
  <c r="D39" i="6"/>
  <c r="E39" i="4"/>
  <c r="F39" s="1"/>
  <c r="C91"/>
  <c r="B41" i="6"/>
  <c r="B53" s="1"/>
  <c r="B70" i="13"/>
  <c r="B91"/>
  <c r="E53"/>
  <c r="F53" s="1"/>
  <c r="E70" i="31"/>
  <c r="F70" s="1"/>
  <c r="E91" i="6" l="1"/>
  <c r="F91" s="1"/>
  <c r="E70"/>
  <c r="F70" s="1"/>
  <c r="B65"/>
  <c r="E39"/>
  <c r="F39" s="1"/>
  <c r="E22"/>
  <c r="F22" s="1"/>
  <c r="E14"/>
  <c r="F14" s="1"/>
  <c r="E45"/>
  <c r="F45" s="1"/>
  <c r="E19"/>
  <c r="F19" s="1"/>
  <c r="E51"/>
  <c r="F51" s="1"/>
  <c r="E18"/>
  <c r="F18" s="1"/>
  <c r="E25"/>
  <c r="F25" s="1"/>
  <c r="E70" i="4"/>
  <c r="F70" s="1"/>
  <c r="E15" i="6"/>
  <c r="F15" s="1"/>
  <c r="D41"/>
  <c r="E41" s="1"/>
  <c r="F41" s="1"/>
  <c r="E36"/>
  <c r="F36" s="1"/>
  <c r="E10" i="4"/>
  <c r="F10" s="1"/>
  <c r="D34"/>
  <c r="E20" i="6"/>
  <c r="F20" s="1"/>
  <c r="E27"/>
  <c r="F27" s="1"/>
  <c r="E37"/>
  <c r="F37" s="1"/>
  <c r="E26"/>
  <c r="F26" s="1"/>
  <c r="E17"/>
  <c r="F17" s="1"/>
  <c r="E23"/>
  <c r="F23" s="1"/>
  <c r="E91" i="4"/>
  <c r="F91" s="1"/>
  <c r="E21" i="6"/>
  <c r="F21" s="1"/>
  <c r="D10"/>
  <c r="E11"/>
  <c r="F11" s="1"/>
  <c r="E41" i="4"/>
  <c r="F41" s="1"/>
  <c r="E90" i="10"/>
  <c r="F90" s="1"/>
  <c r="E88"/>
  <c r="F88" s="1"/>
  <c r="E87"/>
  <c r="F87" s="1"/>
  <c r="D89"/>
  <c r="C89"/>
  <c r="B89"/>
  <c r="E84"/>
  <c r="F84" s="1"/>
  <c r="E83"/>
  <c r="F83" s="1"/>
  <c r="E82"/>
  <c r="F82" s="1"/>
  <c r="D85"/>
  <c r="C85"/>
  <c r="B85"/>
  <c r="E79"/>
  <c r="F79" s="1"/>
  <c r="E78"/>
  <c r="F78" s="1"/>
  <c r="D80"/>
  <c r="C80"/>
  <c r="B80"/>
  <c r="E75"/>
  <c r="F75" s="1"/>
  <c r="E74"/>
  <c r="F74" s="1"/>
  <c r="D76"/>
  <c r="C76"/>
  <c r="B76"/>
  <c r="E68"/>
  <c r="F68" s="1"/>
  <c r="E67"/>
  <c r="F67" s="1"/>
  <c r="E66"/>
  <c r="F66" s="1"/>
  <c r="E64"/>
  <c r="F64" s="1"/>
  <c r="E63"/>
  <c r="F63" s="1"/>
  <c r="E62"/>
  <c r="F62" s="1"/>
  <c r="E61"/>
  <c r="F61" s="1"/>
  <c r="E60"/>
  <c r="F60" s="1"/>
  <c r="E59"/>
  <c r="F59" s="1"/>
  <c r="E58"/>
  <c r="F58" s="1"/>
  <c r="E57"/>
  <c r="F57" s="1"/>
  <c r="C65"/>
  <c r="B65"/>
  <c r="E51"/>
  <c r="F51" s="1"/>
  <c r="E47"/>
  <c r="F47" s="1"/>
  <c r="E45"/>
  <c r="F45" s="1"/>
  <c r="E43"/>
  <c r="F43" s="1"/>
  <c r="E40"/>
  <c r="F40" s="1"/>
  <c r="E39"/>
  <c r="F39" s="1"/>
  <c r="E38"/>
  <c r="F38" s="1"/>
  <c r="E37"/>
  <c r="F37" s="1"/>
  <c r="D41"/>
  <c r="C41"/>
  <c r="B41"/>
  <c r="F33"/>
  <c r="E30"/>
  <c r="F30" s="1"/>
  <c r="E28"/>
  <c r="F28" s="1"/>
  <c r="E27"/>
  <c r="F27" s="1"/>
  <c r="E26"/>
  <c r="F26" s="1"/>
  <c r="E25"/>
  <c r="F25" s="1"/>
  <c r="E24"/>
  <c r="F24" s="1"/>
  <c r="E23"/>
  <c r="F23" s="1"/>
  <c r="E22"/>
  <c r="F22" s="1"/>
  <c r="E21"/>
  <c r="F21" s="1"/>
  <c r="E20"/>
  <c r="F20" s="1"/>
  <c r="E19"/>
  <c r="F19" s="1"/>
  <c r="E18"/>
  <c r="F18" s="1"/>
  <c r="E17"/>
  <c r="F17" s="1"/>
  <c r="E16"/>
  <c r="F16" s="1"/>
  <c r="E15"/>
  <c r="F15" s="1"/>
  <c r="E14"/>
  <c r="F14" s="1"/>
  <c r="E13"/>
  <c r="F13" s="1"/>
  <c r="E12"/>
  <c r="F12" s="1"/>
  <c r="E11"/>
  <c r="F11" s="1"/>
  <c r="D10"/>
  <c r="C10"/>
  <c r="B10"/>
  <c r="E9"/>
  <c r="F9" s="1"/>
  <c r="E8"/>
  <c r="F8" s="1"/>
  <c r="D90" i="12"/>
  <c r="D91" i="1" s="1"/>
  <c r="C90" i="12"/>
  <c r="C91" i="1" s="1"/>
  <c r="D88" i="12"/>
  <c r="D89" i="1" s="1"/>
  <c r="C88" i="12"/>
  <c r="C89" i="1" s="1"/>
  <c r="D87" i="12"/>
  <c r="D88" i="1" s="1"/>
  <c r="C87" i="12"/>
  <c r="C88" i="1" s="1"/>
  <c r="D86" i="12"/>
  <c r="D87" i="1" s="1"/>
  <c r="C86" i="12"/>
  <c r="C87" i="1" s="1"/>
  <c r="C90" s="1"/>
  <c r="D84" i="12"/>
  <c r="D85" i="1" s="1"/>
  <c r="C84" i="12"/>
  <c r="C85" i="1" s="1"/>
  <c r="D83" i="12"/>
  <c r="D84" i="1" s="1"/>
  <c r="C83" i="12"/>
  <c r="C84" i="1" s="1"/>
  <c r="D82" i="12"/>
  <c r="D83" i="1" s="1"/>
  <c r="C82" i="12"/>
  <c r="C83" i="1" s="1"/>
  <c r="D81" i="12"/>
  <c r="D82" i="1" s="1"/>
  <c r="C81" i="12"/>
  <c r="C82" i="1" s="1"/>
  <c r="C86" s="1"/>
  <c r="D79" i="12"/>
  <c r="D80" i="1" s="1"/>
  <c r="C79" i="12"/>
  <c r="C80" i="1" s="1"/>
  <c r="D78" i="12"/>
  <c r="D79" i="1" s="1"/>
  <c r="C78" i="12"/>
  <c r="C79" i="1" s="1"/>
  <c r="D77" i="12"/>
  <c r="D78" i="1" s="1"/>
  <c r="C77" i="12"/>
  <c r="C78" i="1" s="1"/>
  <c r="C81" s="1"/>
  <c r="D75" i="12"/>
  <c r="D76" i="1" s="1"/>
  <c r="C75" i="12"/>
  <c r="C76" i="1" s="1"/>
  <c r="D74" i="12"/>
  <c r="D75" i="1" s="1"/>
  <c r="C74" i="12"/>
  <c r="C75" i="1" s="1"/>
  <c r="D73" i="12"/>
  <c r="D74" i="1" s="1"/>
  <c r="C73" i="12"/>
  <c r="C74" i="1" s="1"/>
  <c r="C77" s="1"/>
  <c r="D69" i="12"/>
  <c r="D70" i="1" s="1"/>
  <c r="C69" i="12"/>
  <c r="C70" i="1" s="1"/>
  <c r="D68" i="12"/>
  <c r="D69" i="1" s="1"/>
  <c r="C68" i="12"/>
  <c r="C69" i="1" s="1"/>
  <c r="D67" i="12"/>
  <c r="D68" i="1" s="1"/>
  <c r="C67" i="12"/>
  <c r="C68" i="1" s="1"/>
  <c r="D66" i="12"/>
  <c r="D67" i="1" s="1"/>
  <c r="C66" i="12"/>
  <c r="C67" i="1" s="1"/>
  <c r="D64" i="12"/>
  <c r="D65" i="1" s="1"/>
  <c r="C64" i="12"/>
  <c r="C65" i="1" s="1"/>
  <c r="D63" i="12"/>
  <c r="D64" i="1" s="1"/>
  <c r="C63" i="12"/>
  <c r="C64" i="1" s="1"/>
  <c r="D62" i="12"/>
  <c r="D63" i="1" s="1"/>
  <c r="C62" i="12"/>
  <c r="C63" i="1" s="1"/>
  <c r="D61" i="12"/>
  <c r="D62" i="1" s="1"/>
  <c r="C61" i="12"/>
  <c r="C62" i="1" s="1"/>
  <c r="D60" i="12"/>
  <c r="D61" i="1" s="1"/>
  <c r="C60" i="12"/>
  <c r="C61" i="1" s="1"/>
  <c r="D59" i="12"/>
  <c r="D60" i="1" s="1"/>
  <c r="C59" i="12"/>
  <c r="C60" i="1" s="1"/>
  <c r="D58" i="12"/>
  <c r="D59" i="1" s="1"/>
  <c r="C58" i="12"/>
  <c r="C59" i="1" s="1"/>
  <c r="D57" i="12"/>
  <c r="D58" i="1" s="1"/>
  <c r="C57" i="12"/>
  <c r="C58" i="1" s="1"/>
  <c r="C66" s="1"/>
  <c r="C71" s="1"/>
  <c r="D51" i="12"/>
  <c r="D52" i="1" s="1"/>
  <c r="C51" i="12"/>
  <c r="C52" i="1" s="1"/>
  <c r="D49" i="12"/>
  <c r="D50" i="1" s="1"/>
  <c r="C49" i="12"/>
  <c r="C50" i="1" s="1"/>
  <c r="D47" i="12"/>
  <c r="D48" i="1" s="1"/>
  <c r="C47" i="12"/>
  <c r="C48" i="1" s="1"/>
  <c r="D45" i="12"/>
  <c r="D46" i="1" s="1"/>
  <c r="C45" i="12"/>
  <c r="C46" i="1" s="1"/>
  <c r="D43" i="12"/>
  <c r="D44" i="1" s="1"/>
  <c r="C43" i="12"/>
  <c r="C44" i="1" s="1"/>
  <c r="D40" i="12"/>
  <c r="D41" i="1" s="1"/>
  <c r="C40" i="12"/>
  <c r="C41" i="1" s="1"/>
  <c r="D39" i="12"/>
  <c r="D40" i="1" s="1"/>
  <c r="C39" i="12"/>
  <c r="C40" i="1" s="1"/>
  <c r="D38" i="12"/>
  <c r="D39" i="1" s="1"/>
  <c r="C38" i="12"/>
  <c r="C39" i="1" s="1"/>
  <c r="D37" i="12"/>
  <c r="D38" i="1" s="1"/>
  <c r="C37" i="12"/>
  <c r="C38" i="1" s="1"/>
  <c r="D36" i="12"/>
  <c r="D37" i="1" s="1"/>
  <c r="C36" i="12"/>
  <c r="C37" i="1" s="1"/>
  <c r="C42" s="1"/>
  <c r="D32" i="12"/>
  <c r="D33" i="1" s="1"/>
  <c r="C32" i="12"/>
  <c r="C33" i="1" s="1"/>
  <c r="D30" i="12"/>
  <c r="D31" i="1" s="1"/>
  <c r="C30" i="12"/>
  <c r="C31" i="1" s="1"/>
  <c r="D28" i="12"/>
  <c r="D28" i="1" s="1"/>
  <c r="C28" i="12"/>
  <c r="C28" i="1" s="1"/>
  <c r="D27" i="12"/>
  <c r="D27" i="1" s="1"/>
  <c r="C27" i="12"/>
  <c r="C27" i="1" s="1"/>
  <c r="D26" i="12"/>
  <c r="D26" i="1" s="1"/>
  <c r="C26" i="12"/>
  <c r="C26" i="1" s="1"/>
  <c r="D25" i="12"/>
  <c r="D25" i="1" s="1"/>
  <c r="C25" i="12"/>
  <c r="C25" i="1" s="1"/>
  <c r="D24" i="12"/>
  <c r="D24" i="1" s="1"/>
  <c r="C24" i="12"/>
  <c r="C24" i="1" s="1"/>
  <c r="D23" i="12"/>
  <c r="D23" i="1" s="1"/>
  <c r="C23" i="12"/>
  <c r="C23" i="1" s="1"/>
  <c r="D22" i="12"/>
  <c r="D22" i="1" s="1"/>
  <c r="C22" i="12"/>
  <c r="C22" i="1" s="1"/>
  <c r="D21" i="12"/>
  <c r="D21" i="1" s="1"/>
  <c r="C21" i="12"/>
  <c r="C21" i="1" s="1"/>
  <c r="D20" i="12"/>
  <c r="D20" i="1" s="1"/>
  <c r="C20" i="12"/>
  <c r="C20" i="1" s="1"/>
  <c r="D19" i="12"/>
  <c r="D19" i="1" s="1"/>
  <c r="C19" i="12"/>
  <c r="C19" i="1" s="1"/>
  <c r="D18" i="12"/>
  <c r="D18" i="1" s="1"/>
  <c r="C18" i="12"/>
  <c r="C18" i="1" s="1"/>
  <c r="D17" i="12"/>
  <c r="D17" i="1" s="1"/>
  <c r="C17" i="12"/>
  <c r="C17" i="1" s="1"/>
  <c r="D16" i="12"/>
  <c r="D16" i="1" s="1"/>
  <c r="C16" i="12"/>
  <c r="C16" i="1" s="1"/>
  <c r="D15" i="12"/>
  <c r="D15" i="1" s="1"/>
  <c r="C15" i="12"/>
  <c r="C15" i="1" s="1"/>
  <c r="D14" i="12"/>
  <c r="D14" i="1" s="1"/>
  <c r="C14" i="12"/>
  <c r="C14" i="1" s="1"/>
  <c r="D13" i="12"/>
  <c r="D13" i="1" s="1"/>
  <c r="C13" i="12"/>
  <c r="C13" i="1" s="1"/>
  <c r="D12" i="12"/>
  <c r="D12" i="1" s="1"/>
  <c r="C12" i="12"/>
  <c r="C12" i="1" s="1"/>
  <c r="D11" i="12"/>
  <c r="D11" i="1" s="1"/>
  <c r="C11" i="12"/>
  <c r="C11" i="1" s="1"/>
  <c r="D9" i="12"/>
  <c r="C9"/>
  <c r="D8"/>
  <c r="D8" i="1" s="1"/>
  <c r="C8" i="12"/>
  <c r="C8" i="1" s="1"/>
  <c r="D41" i="12"/>
  <c r="B41" i="1"/>
  <c r="B40"/>
  <c r="B39"/>
  <c r="B38"/>
  <c r="B37"/>
  <c r="B33"/>
  <c r="B31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8"/>
  <c r="C10" l="1"/>
  <c r="E64"/>
  <c r="F64" s="1"/>
  <c r="E65"/>
  <c r="F65" s="1"/>
  <c r="E67"/>
  <c r="F67" s="1"/>
  <c r="E68"/>
  <c r="F68" s="1"/>
  <c r="E69"/>
  <c r="F69" s="1"/>
  <c r="E70"/>
  <c r="F70" s="1"/>
  <c r="E75"/>
  <c r="F75" s="1"/>
  <c r="E76"/>
  <c r="F76" s="1"/>
  <c r="E80"/>
  <c r="F80" s="1"/>
  <c r="E83"/>
  <c r="F83" s="1"/>
  <c r="E84"/>
  <c r="F84" s="1"/>
  <c r="E88"/>
  <c r="F88" s="1"/>
  <c r="E89"/>
  <c r="F89" s="1"/>
  <c r="E85"/>
  <c r="F85" s="1"/>
  <c r="E8"/>
  <c r="F8" s="1"/>
  <c r="E12"/>
  <c r="F12" s="1"/>
  <c r="E13"/>
  <c r="F13" s="1"/>
  <c r="E14"/>
  <c r="F14" s="1"/>
  <c r="E15"/>
  <c r="F15" s="1"/>
  <c r="E16"/>
  <c r="F16" s="1"/>
  <c r="E17"/>
  <c r="F17" s="1"/>
  <c r="E18"/>
  <c r="F18" s="1"/>
  <c r="E19"/>
  <c r="F19" s="1"/>
  <c r="E20"/>
  <c r="F20" s="1"/>
  <c r="E21"/>
  <c r="F21" s="1"/>
  <c r="E22"/>
  <c r="F22" s="1"/>
  <c r="E23"/>
  <c r="F23" s="1"/>
  <c r="E24"/>
  <c r="F24" s="1"/>
  <c r="E25"/>
  <c r="F25" s="1"/>
  <c r="E26"/>
  <c r="F26" s="1"/>
  <c r="E27"/>
  <c r="F27" s="1"/>
  <c r="E28"/>
  <c r="F28" s="1"/>
  <c r="E31"/>
  <c r="F31" s="1"/>
  <c r="E33"/>
  <c r="F33" s="1"/>
  <c r="E38"/>
  <c r="F38" s="1"/>
  <c r="E39"/>
  <c r="F39" s="1"/>
  <c r="E40"/>
  <c r="F40" s="1"/>
  <c r="E41"/>
  <c r="F41" s="1"/>
  <c r="E44"/>
  <c r="F44" s="1"/>
  <c r="E46"/>
  <c r="F46" s="1"/>
  <c r="E48"/>
  <c r="F48" s="1"/>
  <c r="E59"/>
  <c r="F59" s="1"/>
  <c r="E60"/>
  <c r="F60" s="1"/>
  <c r="E61"/>
  <c r="F61" s="1"/>
  <c r="E62"/>
  <c r="F62" s="1"/>
  <c r="E63"/>
  <c r="F63" s="1"/>
  <c r="E50"/>
  <c r="F50" s="1"/>
  <c r="E79"/>
  <c r="F79" s="1"/>
  <c r="E52"/>
  <c r="F52" s="1"/>
  <c r="B10"/>
  <c r="B35" s="1"/>
  <c r="B42"/>
  <c r="C35"/>
  <c r="C54" s="1"/>
  <c r="C92"/>
  <c r="D10"/>
  <c r="E10" s="1"/>
  <c r="F10" s="1"/>
  <c r="E11"/>
  <c r="F11" s="1"/>
  <c r="E37"/>
  <c r="F37" s="1"/>
  <c r="D42"/>
  <c r="E42" s="1"/>
  <c r="F42" s="1"/>
  <c r="D66"/>
  <c r="E58"/>
  <c r="F58" s="1"/>
  <c r="E74"/>
  <c r="F74" s="1"/>
  <c r="D77"/>
  <c r="E77" s="1"/>
  <c r="F77" s="1"/>
  <c r="D81"/>
  <c r="E81" s="1"/>
  <c r="F81" s="1"/>
  <c r="E78"/>
  <c r="F78" s="1"/>
  <c r="E82"/>
  <c r="F82" s="1"/>
  <c r="D86"/>
  <c r="E86" s="1"/>
  <c r="F86" s="1"/>
  <c r="D90"/>
  <c r="E90" s="1"/>
  <c r="F90" s="1"/>
  <c r="E87"/>
  <c r="F87" s="1"/>
  <c r="E91"/>
  <c r="F91" s="1"/>
  <c r="E10" i="10"/>
  <c r="F10" s="1"/>
  <c r="E41"/>
  <c r="F41" s="1"/>
  <c r="B70" i="6"/>
  <c r="E10"/>
  <c r="F10" s="1"/>
  <c r="D34"/>
  <c r="E34" i="4"/>
  <c r="F34" s="1"/>
  <c r="D53"/>
  <c r="C70" i="10"/>
  <c r="B34"/>
  <c r="D34"/>
  <c r="C34"/>
  <c r="C53" s="1"/>
  <c r="E76"/>
  <c r="F76" s="1"/>
  <c r="E80"/>
  <c r="F80" s="1"/>
  <c r="E85"/>
  <c r="F85" s="1"/>
  <c r="E89"/>
  <c r="F89" s="1"/>
  <c r="D91"/>
  <c r="B53"/>
  <c r="D53"/>
  <c r="C91"/>
  <c r="B70"/>
  <c r="B91"/>
  <c r="E49"/>
  <c r="F49" s="1"/>
  <c r="D65"/>
  <c r="D70" s="1"/>
  <c r="E86"/>
  <c r="F86" s="1"/>
  <c r="E32"/>
  <c r="F32" s="1"/>
  <c r="E36"/>
  <c r="F36" s="1"/>
  <c r="E69"/>
  <c r="F69" s="1"/>
  <c r="E73"/>
  <c r="F73" s="1"/>
  <c r="E77"/>
  <c r="F77" s="1"/>
  <c r="E81"/>
  <c r="F81" s="1"/>
  <c r="E90" i="12"/>
  <c r="F90" s="1"/>
  <c r="B91" i="1"/>
  <c r="B89"/>
  <c r="B88"/>
  <c r="D89" i="12"/>
  <c r="E83"/>
  <c r="F83" s="1"/>
  <c r="B84" i="1"/>
  <c r="B83"/>
  <c r="B82"/>
  <c r="B80"/>
  <c r="B79"/>
  <c r="B76"/>
  <c r="B75"/>
  <c r="B74"/>
  <c r="B70"/>
  <c r="B69"/>
  <c r="E66" i="12"/>
  <c r="F66" s="1"/>
  <c r="B67" i="1"/>
  <c r="B65"/>
  <c r="B64"/>
  <c r="B63"/>
  <c r="B62"/>
  <c r="B61"/>
  <c r="B60"/>
  <c r="B59"/>
  <c r="B58"/>
  <c r="E51" i="12"/>
  <c r="F51" s="1"/>
  <c r="B52" i="1"/>
  <c r="B50"/>
  <c r="B48"/>
  <c r="B46"/>
  <c r="B44"/>
  <c r="E40" i="12"/>
  <c r="F40" s="1"/>
  <c r="E39"/>
  <c r="F39" s="1"/>
  <c r="E38"/>
  <c r="F38" s="1"/>
  <c r="E37"/>
  <c r="F37" s="1"/>
  <c r="C41"/>
  <c r="F33"/>
  <c r="E30"/>
  <c r="F30" s="1"/>
  <c r="E28"/>
  <c r="F28" s="1"/>
  <c r="E27"/>
  <c r="F27" s="1"/>
  <c r="E26"/>
  <c r="F26" s="1"/>
  <c r="E25"/>
  <c r="F25" s="1"/>
  <c r="E24"/>
  <c r="F24" s="1"/>
  <c r="E23"/>
  <c r="F23" s="1"/>
  <c r="E22"/>
  <c r="F22" s="1"/>
  <c r="E21"/>
  <c r="F21" s="1"/>
  <c r="E20"/>
  <c r="F20" s="1"/>
  <c r="E19"/>
  <c r="F19" s="1"/>
  <c r="E18"/>
  <c r="F18" s="1"/>
  <c r="E17"/>
  <c r="F17" s="1"/>
  <c r="E16"/>
  <c r="F16" s="1"/>
  <c r="E15"/>
  <c r="F15" s="1"/>
  <c r="E14"/>
  <c r="F14" s="1"/>
  <c r="E13"/>
  <c r="F13" s="1"/>
  <c r="E12"/>
  <c r="F12" s="1"/>
  <c r="E11"/>
  <c r="F11" s="1"/>
  <c r="D10"/>
  <c r="C10"/>
  <c r="E9"/>
  <c r="F9" s="1"/>
  <c r="E8"/>
  <c r="F8" s="1"/>
  <c r="B54" i="1" l="1"/>
  <c r="D35"/>
  <c r="B66"/>
  <c r="B71" s="1"/>
  <c r="D71"/>
  <c r="E71" s="1"/>
  <c r="F71" s="1"/>
  <c r="E66"/>
  <c r="F66" s="1"/>
  <c r="B77"/>
  <c r="B86"/>
  <c r="B78"/>
  <c r="B81" s="1"/>
  <c r="B87"/>
  <c r="B90" s="1"/>
  <c r="D92"/>
  <c r="E92" s="1"/>
  <c r="F92" s="1"/>
  <c r="E34" i="10"/>
  <c r="F34" s="1"/>
  <c r="E53" i="4"/>
  <c r="F53" s="1"/>
  <c r="D53" i="6"/>
  <c r="E34"/>
  <c r="F34" s="1"/>
  <c r="E70" i="10"/>
  <c r="F70" s="1"/>
  <c r="E53"/>
  <c r="F53" s="1"/>
  <c r="E91"/>
  <c r="F91" s="1"/>
  <c r="E65"/>
  <c r="F65" s="1"/>
  <c r="E10" i="12"/>
  <c r="F10" s="1"/>
  <c r="E81"/>
  <c r="F81" s="1"/>
  <c r="C89"/>
  <c r="E87"/>
  <c r="F87" s="1"/>
  <c r="E79"/>
  <c r="F79" s="1"/>
  <c r="D80"/>
  <c r="C80"/>
  <c r="E75"/>
  <c r="F75" s="1"/>
  <c r="D76"/>
  <c r="C76"/>
  <c r="E43"/>
  <c r="F43" s="1"/>
  <c r="E47"/>
  <c r="F47" s="1"/>
  <c r="E60"/>
  <c r="F60" s="1"/>
  <c r="E74"/>
  <c r="F74" s="1"/>
  <c r="E84"/>
  <c r="F84" s="1"/>
  <c r="E45"/>
  <c r="F45" s="1"/>
  <c r="E78"/>
  <c r="F78" s="1"/>
  <c r="E88"/>
  <c r="F88" s="1"/>
  <c r="D34"/>
  <c r="D53" s="1"/>
  <c r="C34"/>
  <c r="C53" s="1"/>
  <c r="E89"/>
  <c r="F89" s="1"/>
  <c r="E41"/>
  <c r="F41" s="1"/>
  <c r="E49"/>
  <c r="F49" s="1"/>
  <c r="E86"/>
  <c r="F86" s="1"/>
  <c r="E32"/>
  <c r="F32" s="1"/>
  <c r="E36"/>
  <c r="F36" s="1"/>
  <c r="E69"/>
  <c r="F69" s="1"/>
  <c r="E73"/>
  <c r="F73" s="1"/>
  <c r="E77"/>
  <c r="F77" s="1"/>
  <c r="B92" i="1" l="1"/>
  <c r="D54"/>
  <c r="E54" s="1"/>
  <c r="F54" s="1"/>
  <c r="E35"/>
  <c r="F35" s="1"/>
  <c r="E53" i="6"/>
  <c r="F53" s="1"/>
  <c r="E67" i="12"/>
  <c r="F67" s="1"/>
  <c r="E64"/>
  <c r="F64" s="1"/>
  <c r="E63"/>
  <c r="F63" s="1"/>
  <c r="E62"/>
  <c r="F62" s="1"/>
  <c r="E61"/>
  <c r="F61" s="1"/>
  <c r="E59"/>
  <c r="F59" s="1"/>
  <c r="E76"/>
  <c r="F76" s="1"/>
  <c r="E80"/>
  <c r="F80" s="1"/>
  <c r="D65"/>
  <c r="E58"/>
  <c r="F58" s="1"/>
  <c r="E57"/>
  <c r="F57" s="1"/>
  <c r="E34"/>
  <c r="F34" s="1"/>
  <c r="E53"/>
  <c r="F53" s="1"/>
  <c r="C65" l="1"/>
  <c r="E65" l="1"/>
  <c r="F65" s="1"/>
  <c r="D85" l="1"/>
  <c r="D70"/>
  <c r="C85"/>
  <c r="E82"/>
  <c r="F82" s="1"/>
  <c r="E68"/>
  <c r="F68" s="1"/>
  <c r="C70"/>
  <c r="E70" s="1"/>
  <c r="F70" s="1"/>
  <c r="D91" l="1"/>
  <c r="C91"/>
  <c r="E85"/>
  <c r="F85" s="1"/>
  <c r="E91" l="1"/>
  <c r="F91" s="1"/>
</calcChain>
</file>

<file path=xl/sharedStrings.xml><?xml version="1.0" encoding="utf-8"?>
<sst xmlns="http://schemas.openxmlformats.org/spreadsheetml/2006/main" count="5552" uniqueCount="165">
  <si>
    <t>Board of Regents</t>
  </si>
  <si>
    <t>Institution:</t>
  </si>
  <si>
    <t>Form BOR-1</t>
  </si>
  <si>
    <t>Revenue/Expenditure Data</t>
  </si>
  <si>
    <t>Revenue/Expenditure</t>
  </si>
  <si>
    <t>Actual</t>
  </si>
  <si>
    <t>Budgeted</t>
  </si>
  <si>
    <t>Over/(Under)</t>
  </si>
  <si>
    <t>%</t>
  </si>
  <si>
    <t>2010-11</t>
  </si>
  <si>
    <t>2010-11*</t>
  </si>
  <si>
    <t>2011-2012</t>
  </si>
  <si>
    <t>Change</t>
  </si>
  <si>
    <t xml:space="preserve">Budgeted       2010-11 </t>
  </si>
  <si>
    <t>Revenues By Source:</t>
  </si>
  <si>
    <t>State Funds:</t>
  </si>
  <si>
    <t xml:space="preserve">     General Fund Direct</t>
  </si>
  <si>
    <t xml:space="preserve">     General Fund  - Restoration Amount</t>
  </si>
  <si>
    <t xml:space="preserve">     Statutory Dedicated: </t>
  </si>
  <si>
    <t xml:space="preserve">           Higher Education Initiatives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</si>
  <si>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</si>
  <si>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</si>
  <si>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</si>
  <si>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</si>
  <si>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</si>
  <si>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Agricultural Program Fund</t>
  </si>
  <si>
    <t xml:space="preserve">           Equine Fund</t>
  </si>
  <si>
    <t xml:space="preserve">           Fireman Training Fund</t>
  </si>
  <si>
    <t xml:space="preserve">           Two Percent Fire Insurance Fund</t>
  </si>
  <si>
    <t xml:space="preserve">           Health Excellence Fund</t>
  </si>
  <si>
    <t xml:space="preserve">           La. Educational Quality Support Fund (LEQSF)</t>
  </si>
  <si>
    <t xml:space="preserve">           Proprietary School Fund</t>
  </si>
  <si>
    <t xml:space="preserve">           Workforce Rapid Response</t>
  </si>
  <si>
    <t xml:space="preserve">           Rockefeller Scholarship Fund</t>
  </si>
  <si>
    <t xml:space="preserve">           Orleans Excellence Fund</t>
  </si>
  <si>
    <t xml:space="preserve">           TOPS Fund</t>
  </si>
  <si>
    <t xml:space="preserve">           Overcollections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</si>
  <si>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</si>
  <si>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</si>
  <si>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</si>
  <si>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</t>
  </si>
  <si>
    <t xml:space="preserve">  </t>
  </si>
  <si>
    <t>Total State Funds</t>
  </si>
  <si>
    <t>Revenue Over Expenditures :</t>
  </si>
  <si>
    <t xml:space="preserve">     State Funds</t>
  </si>
  <si>
    <t xml:space="preserve">     Interagency Transfers</t>
  </si>
  <si>
    <t xml:space="preserve">     Self Generated Funds</t>
  </si>
  <si>
    <t xml:space="preserve">     Federal Funds</t>
  </si>
  <si>
    <t xml:space="preserve">     Interim Emergency Board</t>
  </si>
  <si>
    <t>Total Revenue Over Expenditures</t>
  </si>
  <si>
    <t xml:space="preserve"> </t>
  </si>
  <si>
    <t>Interagency Transfers</t>
  </si>
  <si>
    <t xml:space="preserve">Interagency Transfers - ARRA </t>
  </si>
  <si>
    <t>Self Generated Funds</t>
  </si>
  <si>
    <t>Federal Funds</t>
  </si>
  <si>
    <t>Interim Emergency Board</t>
  </si>
  <si>
    <t>Total Revenues</t>
  </si>
  <si>
    <t>Expenditures by Function:</t>
  </si>
  <si>
    <t xml:space="preserve">  Instruction</t>
  </si>
  <si>
    <t xml:space="preserve">  Research</t>
  </si>
  <si>
    <t xml:space="preserve">  Public Service</t>
  </si>
  <si>
    <t xml:space="preserve">  Academic Support**</t>
  </si>
  <si>
    <t xml:space="preserve">  Student Services</t>
  </si>
  <si>
    <t xml:space="preserve">  Institutional Services</t>
  </si>
  <si>
    <t xml:space="preserve">  Scholarships/Fellowships</t>
  </si>
  <si>
    <t xml:space="preserve">  Plant Operations/Maintenance</t>
  </si>
  <si>
    <t>Total E&amp;G Expenditures</t>
  </si>
  <si>
    <t xml:space="preserve">  Hospital</t>
  </si>
  <si>
    <t xml:space="preserve">  Transfers out of agency</t>
  </si>
  <si>
    <t xml:space="preserve">  Athletics</t>
  </si>
  <si>
    <t xml:space="preserve">  Other</t>
  </si>
  <si>
    <t>Total Expenditures</t>
  </si>
  <si>
    <t>Expenditures by Object:</t>
  </si>
  <si>
    <t xml:space="preserve">  Salaries</t>
  </si>
  <si>
    <t xml:space="preserve">  Other Compensation</t>
  </si>
  <si>
    <t xml:space="preserve">  Related Benefits</t>
  </si>
  <si>
    <t>Total Personal Services</t>
  </si>
  <si>
    <t xml:space="preserve">  Travel</t>
  </si>
  <si>
    <t xml:space="preserve">  Operating Services</t>
  </si>
  <si>
    <t xml:space="preserve">  Supplies</t>
  </si>
  <si>
    <t>Total Operating Expenses</t>
  </si>
  <si>
    <t xml:space="preserve">  Professional Services</t>
  </si>
  <si>
    <t xml:space="preserve">  Other Charges</t>
  </si>
  <si>
    <t xml:space="preserve">  Debt Services</t>
  </si>
  <si>
    <t xml:space="preserve">  Interagency Transfers</t>
  </si>
  <si>
    <t>Total Other Charges</t>
  </si>
  <si>
    <t xml:space="preserve">  General Acquisitions</t>
  </si>
  <si>
    <t xml:space="preserve">  Library Acquisitions</t>
  </si>
  <si>
    <t xml:space="preserve">  Major Repairs</t>
  </si>
  <si>
    <t>Total Acquisitions and Major Repairs</t>
  </si>
  <si>
    <t xml:space="preserve">  Unallotted</t>
  </si>
  <si>
    <t>* This column should reflect the last approved BA-7 in FY 10-11</t>
  </si>
  <si>
    <t>**Library costs are included in the function of academic support and are detailed on the BOR-4A.</t>
  </si>
  <si>
    <t>Higher Education Summary</t>
  </si>
  <si>
    <t xml:space="preserve">     Self Generated Funds   </t>
  </si>
  <si>
    <t>Office of Student Financial Assistance</t>
  </si>
  <si>
    <t>University of Louisiana at Monroe</t>
  </si>
  <si>
    <t xml:space="preserve">Budgeted     2010-11 </t>
  </si>
  <si>
    <t>Southern University Board and System</t>
  </si>
  <si>
    <t>Bossier Parish Community College</t>
  </si>
  <si>
    <t>Baton Rouge Community College</t>
  </si>
  <si>
    <t>Fletcher Technical Community College</t>
  </si>
  <si>
    <t>Louisiana Tech University</t>
  </si>
  <si>
    <t>LCTCS Online</t>
  </si>
  <si>
    <t xml:space="preserve">Budgeted        2010-11 </t>
  </si>
  <si>
    <t>McNeese State University</t>
  </si>
  <si>
    <t>Nicholls State University</t>
  </si>
  <si>
    <t>Northshore Technical Community College</t>
  </si>
  <si>
    <t>Northwestern State University</t>
  </si>
  <si>
    <t>Nunez Community College</t>
  </si>
  <si>
    <t>River Parishes Community College</t>
  </si>
  <si>
    <t>South Louisiana Community College</t>
  </si>
  <si>
    <t>Sowela Technical Community College</t>
  </si>
  <si>
    <t>Southern University Law Center</t>
  </si>
  <si>
    <t>PAGE 1</t>
  </si>
  <si>
    <t>Southern University at New Orleans</t>
  </si>
  <si>
    <t>Southern University at Shreveport</t>
  </si>
  <si>
    <t>University of Louisiana at Lafayette</t>
  </si>
  <si>
    <t xml:space="preserve">  Grambling State University</t>
  </si>
  <si>
    <t>Southeastern Louisiana University</t>
  </si>
  <si>
    <t xml:space="preserve">  Louisiana Technical College</t>
  </si>
  <si>
    <t xml:space="preserve">     State Funds***</t>
  </si>
  <si>
    <t xml:space="preserve">     Self Generated Funds***</t>
  </si>
  <si>
    <t>***This represents the transfer to other LSU campuses due to the reallocation of the mid-year reduction related to the Stimulus MOE.</t>
  </si>
  <si>
    <t>Louisiana State University</t>
  </si>
  <si>
    <t>Louisiana State University at Alexandria</t>
  </si>
  <si>
    <t xml:space="preserve">     Self Generated Funds (Reallocation transfer from other campuses)</t>
  </si>
  <si>
    <t xml:space="preserve">     Self Generated Funds*** (Reallocation transfer from other campuses)</t>
  </si>
  <si>
    <t xml:space="preserve">  Other (Plant Funds)</t>
  </si>
  <si>
    <t>LSUHSC-S E A CONWAY MEDICAL CENTER</t>
  </si>
  <si>
    <t>Huey P. Long Medical Center</t>
  </si>
  <si>
    <t>Total Revenues  ***</t>
  </si>
  <si>
    <t xml:space="preserve">  Other (Transfers of NDSL Loan Fund &amp; Plant Funds)</t>
  </si>
  <si>
    <t>Total Expenditures  ***</t>
  </si>
  <si>
    <t>LSUHSC - SHREVEPORT</t>
  </si>
  <si>
    <t>Paul M. Hebert Law Center</t>
  </si>
  <si>
    <t>Louisiana State University Shreveport</t>
  </si>
  <si>
    <t>University of New Orleans</t>
  </si>
  <si>
    <t>Pennington Biomedical Research Center</t>
  </si>
  <si>
    <t>Revenue Over Expenditures :    (LSU System Only)</t>
  </si>
  <si>
    <t>All 2 Year Institutions</t>
  </si>
  <si>
    <t>All 4 Year Institutions</t>
  </si>
  <si>
    <t>All 2 and 4 Year Institutions</t>
  </si>
  <si>
    <t>Revenue Over Expenditures :  (LSU System Only)</t>
  </si>
  <si>
    <t xml:space="preserve">           Medical and Allied Hlth Pro Ed.Schol.Fund</t>
  </si>
  <si>
    <t>UL System Summary</t>
  </si>
  <si>
    <t>Southern University Ag Center</t>
  </si>
  <si>
    <t>Delgado Community College</t>
  </si>
  <si>
    <t xml:space="preserve">Louisiana Delta Comm. Coll. </t>
  </si>
  <si>
    <t>LSU System Summary</t>
  </si>
  <si>
    <t>LSU Agricultural Center</t>
  </si>
  <si>
    <t>Southern System Summary</t>
  </si>
  <si>
    <t>LCTCS Summary</t>
  </si>
  <si>
    <t>LSU Board and System</t>
  </si>
  <si>
    <t>LCTCS Board and System</t>
  </si>
  <si>
    <t>ULS Board and System</t>
  </si>
  <si>
    <t>LA Univ. Marine Consortium (LUMCON)</t>
  </si>
  <si>
    <t xml:space="preserve">Budgeted         2010-11 </t>
  </si>
  <si>
    <t xml:space="preserve">Budgeted            2010-11 </t>
  </si>
  <si>
    <t xml:space="preserve">Budgeted           2010-11 </t>
  </si>
  <si>
    <t xml:space="preserve">Budgeted               2010-11 </t>
  </si>
  <si>
    <t xml:space="preserve">Budgeted                 2010-11 </t>
  </si>
  <si>
    <t>LSU Health Sciences Center N.O.</t>
  </si>
  <si>
    <t xml:space="preserve">Budgeted          2010-11 </t>
  </si>
  <si>
    <t>Southern University and A&amp;M College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</si>
</sst>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%;[Red]\(#,##0.00%\)"/>
    <numFmt numFmtId="165" formatCode="&quot;$&quot;#,##0_);[Red]\(&quot;$&quot;#,##0\);"/>
    <numFmt numFmtId="166" formatCode="_(&quot;$&quot;* #,##0_);_(&quot;$&quot;* \(#,##0\);_(&quot;$&quot;* &quot;-&quot;??_);_(@_)"/>
    <numFmt numFmtId="167" formatCode="_(* #,##0_);_(* \(#,##0\);_(* &quot;-&quot;??_);_(@_)"/>
  </numFmts>
  <fonts count="26">
    <font>
      <sz val="11"/>
      <color theme="1"/>
      <name val="Calibri"/>
      <family val="2"/>
      <scheme val="minor"/>
    </font>
    <font>
      <b/>
      <sz val="36"/>
      <name val="Arial"/>
      <family val="2"/>
    </font>
    <font>
      <sz val="36"/>
      <name val="Arial"/>
      <family val="2"/>
    </font>
    <font>
      <sz val="36"/>
      <color theme="1"/>
      <name val="Calibri"/>
      <family val="2"/>
      <scheme val="minor"/>
    </font>
    <font>
      <sz val="24"/>
      <name val="Arial"/>
      <family val="2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20"/>
      <name val="Arial"/>
      <family val="2"/>
    </font>
    <font>
      <b/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36"/>
      <color indexed="8"/>
      <name val="Calibri"/>
      <family val="2"/>
    </font>
    <font>
      <sz val="20"/>
      <color indexed="8"/>
      <name val="Calibri"/>
      <family val="2"/>
    </font>
    <font>
      <b/>
      <sz val="20"/>
      <color indexed="8"/>
      <name val="Calibri"/>
      <family val="2"/>
    </font>
    <font>
      <sz val="24"/>
      <color indexed="8"/>
      <name val="Calibri"/>
      <family val="2"/>
    </font>
    <font>
      <sz val="12"/>
      <color indexed="8"/>
      <name val="Calibri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color theme="0"/>
      <name val="Arial"/>
      <family val="2"/>
    </font>
    <font>
      <sz val="23"/>
      <name val="Arial"/>
      <family val="2"/>
    </font>
    <font>
      <b/>
      <sz val="23"/>
      <name val="Arial"/>
      <family val="2"/>
    </font>
    <font>
      <sz val="20"/>
      <color indexed="8"/>
      <name val="Arial"/>
      <family val="2"/>
    </font>
    <font>
      <b/>
      <u/>
      <sz val="20"/>
      <name val="Arial"/>
      <family val="2"/>
    </font>
    <font>
      <sz val="2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64"/>
      </top>
      <bottom/>
      <diagonal/>
    </border>
    <border>
      <left style="thick">
        <color indexed="64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indexed="8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8"/>
      </left>
      <right style="medium">
        <color indexed="64"/>
      </right>
      <top/>
      <bottom style="thin">
        <color indexed="8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ck">
        <color indexed="8"/>
      </left>
      <right style="medium">
        <color indexed="64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8"/>
      </left>
      <right style="medium">
        <color indexed="64"/>
      </right>
      <top/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ck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346">
    <xf numFmtId="0" fontId="0" fillId="0" borderId="0" xfId="0"/>
    <xf numFmtId="3" fontId="1" fillId="0" borderId="0" xfId="0" applyNumberFormat="1" applyFont="1" applyAlignment="1" applyProtection="1"/>
    <xf numFmtId="6" fontId="2" fillId="0" borderId="0" xfId="0" applyNumberFormat="1" applyFont="1" applyAlignment="1" applyProtection="1"/>
    <xf numFmtId="0" fontId="3" fillId="0" borderId="0" xfId="0" applyFont="1" applyProtection="1"/>
    <xf numFmtId="0" fontId="4" fillId="0" borderId="1" xfId="0" applyNumberFormat="1" applyFont="1" applyBorder="1" applyAlignment="1" applyProtection="1"/>
    <xf numFmtId="164" fontId="3" fillId="0" borderId="1" xfId="0" applyNumberFormat="1" applyFont="1" applyBorder="1" applyProtection="1"/>
    <xf numFmtId="0" fontId="3" fillId="0" borderId="0" xfId="0" applyFont="1"/>
    <xf numFmtId="3" fontId="1" fillId="0" borderId="2" xfId="0" applyNumberFormat="1" applyFont="1" applyBorder="1" applyAlignment="1" applyProtection="1"/>
    <xf numFmtId="6" fontId="2" fillId="0" borderId="2" xfId="0" applyNumberFormat="1" applyFont="1" applyBorder="1" applyAlignment="1" applyProtection="1"/>
    <xf numFmtId="3" fontId="5" fillId="0" borderId="3" xfId="0" applyNumberFormat="1" applyFont="1" applyBorder="1" applyAlignment="1" applyProtection="1"/>
    <xf numFmtId="6" fontId="5" fillId="0" borderId="4" xfId="0" applyNumberFormat="1" applyFont="1" applyBorder="1" applyAlignment="1" applyProtection="1">
      <alignment horizontal="center"/>
    </xf>
    <xf numFmtId="6" fontId="5" fillId="0" borderId="5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6" fillId="0" borderId="0" xfId="0" applyFont="1"/>
    <xf numFmtId="3" fontId="7" fillId="0" borderId="6" xfId="0" applyNumberFormat="1" applyFont="1" applyBorder="1" applyAlignment="1" applyProtection="1">
      <alignment wrapText="1"/>
    </xf>
    <xf numFmtId="6" fontId="5" fillId="0" borderId="7" xfId="0" applyNumberFormat="1" applyFont="1" applyBorder="1" applyAlignment="1" applyProtection="1">
      <alignment horizontal="center" wrapText="1"/>
    </xf>
    <xf numFmtId="164" fontId="5" fillId="0" borderId="7" xfId="0" applyNumberFormat="1" applyFont="1" applyBorder="1" applyAlignment="1" applyProtection="1">
      <alignment horizontal="center" wrapText="1"/>
    </xf>
    <xf numFmtId="0" fontId="6" fillId="0" borderId="0" xfId="0" applyFont="1" applyAlignment="1">
      <alignment wrapText="1"/>
    </xf>
    <xf numFmtId="3" fontId="5" fillId="0" borderId="8" xfId="0" applyNumberFormat="1" applyFont="1" applyBorder="1" applyAlignment="1" applyProtection="1"/>
    <xf numFmtId="6" fontId="7" fillId="0" borderId="4" xfId="0" applyNumberFormat="1" applyFont="1" applyBorder="1" applyAlignment="1" applyProtection="1"/>
    <xf numFmtId="164" fontId="7" fillId="0" borderId="9" xfId="0" applyNumberFormat="1" applyFont="1" applyBorder="1" applyAlignment="1" applyProtection="1"/>
    <xf numFmtId="164" fontId="7" fillId="0" borderId="4" xfId="0" applyNumberFormat="1" applyFont="1" applyBorder="1" applyAlignment="1" applyProtection="1"/>
    <xf numFmtId="0" fontId="7" fillId="0" borderId="6" xfId="0" applyNumberFormat="1" applyFont="1" applyBorder="1" applyAlignment="1" applyProtection="1"/>
    <xf numFmtId="6" fontId="7" fillId="0" borderId="7" xfId="0" applyNumberFormat="1" applyFont="1" applyBorder="1" applyAlignment="1" applyProtection="1"/>
    <xf numFmtId="164" fontId="7" fillId="0" borderId="10" xfId="0" applyNumberFormat="1" applyFont="1" applyBorder="1" applyAlignment="1" applyProtection="1">
      <alignment horizontal="right"/>
    </xf>
    <xf numFmtId="0" fontId="7" fillId="0" borderId="11" xfId="0" applyNumberFormat="1" applyFont="1" applyBorder="1" applyAlignment="1" applyProtection="1"/>
    <xf numFmtId="6" fontId="7" fillId="0" borderId="12" xfId="0" applyNumberFormat="1" applyFont="1" applyBorder="1" applyAlignment="1" applyProtection="1"/>
    <xf numFmtId="0" fontId="7" fillId="0" borderId="4" xfId="0" applyNumberFormat="1" applyFont="1" applyBorder="1" applyAlignment="1" applyProtection="1"/>
    <xf numFmtId="6" fontId="7" fillId="0" borderId="9" xfId="0" applyNumberFormat="1" applyFont="1" applyBorder="1" applyAlignment="1" applyProtection="1"/>
    <xf numFmtId="0" fontId="7" fillId="0" borderId="9" xfId="0" applyNumberFormat="1" applyFont="1" applyBorder="1" applyAlignment="1" applyProtection="1"/>
    <xf numFmtId="0" fontId="7" fillId="0" borderId="13" xfId="0" applyNumberFormat="1" applyFont="1" applyBorder="1" applyAlignment="1" applyProtection="1"/>
    <xf numFmtId="0" fontId="5" fillId="0" borderId="4" xfId="0" applyNumberFormat="1" applyFont="1" applyBorder="1" applyAlignment="1" applyProtection="1"/>
    <xf numFmtId="0" fontId="5" fillId="0" borderId="9" xfId="0" applyNumberFormat="1" applyFont="1" applyBorder="1" applyAlignment="1" applyProtection="1"/>
    <xf numFmtId="0" fontId="5" fillId="0" borderId="13" xfId="0" applyNumberFormat="1" applyFont="1" applyBorder="1" applyAlignment="1" applyProtection="1"/>
    <xf numFmtId="6" fontId="5" fillId="0" borderId="9" xfId="0" applyNumberFormat="1" applyFont="1" applyBorder="1" applyAlignment="1" applyProtection="1"/>
    <xf numFmtId="164" fontId="5" fillId="0" borderId="10" xfId="0" applyNumberFormat="1" applyFont="1" applyBorder="1" applyAlignment="1" applyProtection="1">
      <alignment horizontal="right"/>
    </xf>
    <xf numFmtId="0" fontId="8" fillId="0" borderId="0" xfId="0" applyFont="1"/>
    <xf numFmtId="0" fontId="7" fillId="0" borderId="7" xfId="0" applyNumberFormat="1" applyFont="1" applyBorder="1" applyAlignment="1" applyProtection="1"/>
    <xf numFmtId="0" fontId="7" fillId="0" borderId="12" xfId="0" applyNumberFormat="1" applyFont="1" applyBorder="1" applyAlignment="1" applyProtection="1"/>
    <xf numFmtId="0" fontId="7" fillId="0" borderId="10" xfId="0" applyNumberFormat="1" applyFont="1" applyBorder="1" applyAlignment="1" applyProtection="1"/>
    <xf numFmtId="6" fontId="5" fillId="0" borderId="4" xfId="0" applyNumberFormat="1" applyFont="1" applyBorder="1" applyAlignment="1" applyProtection="1"/>
    <xf numFmtId="0" fontId="5" fillId="0" borderId="7" xfId="0" applyNumberFormat="1" applyFont="1" applyBorder="1" applyAlignment="1" applyProtection="1"/>
    <xf numFmtId="6" fontId="5" fillId="0" borderId="7" xfId="0" applyNumberFormat="1" applyFont="1" applyBorder="1" applyAlignment="1" applyProtection="1"/>
    <xf numFmtId="0" fontId="5" fillId="0" borderId="10" xfId="0" applyNumberFormat="1" applyFont="1" applyBorder="1" applyAlignment="1" applyProtection="1"/>
    <xf numFmtId="6" fontId="5" fillId="0" borderId="10" xfId="0" applyNumberFormat="1" applyFont="1" applyBorder="1" applyAlignment="1" applyProtection="1"/>
    <xf numFmtId="164" fontId="7" fillId="0" borderId="4" xfId="0" applyNumberFormat="1" applyFont="1" applyBorder="1" applyAlignment="1" applyProtection="1">
      <alignment horizontal="right"/>
    </xf>
    <xf numFmtId="3" fontId="5" fillId="0" borderId="4" xfId="0" applyNumberFormat="1" applyFont="1" applyBorder="1" applyAlignment="1" applyProtection="1"/>
    <xf numFmtId="3" fontId="7" fillId="0" borderId="9" xfId="0" applyNumberFormat="1" applyFont="1" applyBorder="1" applyAlignment="1" applyProtection="1"/>
    <xf numFmtId="3" fontId="7" fillId="0" borderId="4" xfId="0" applyNumberFormat="1" applyFont="1" applyBorder="1" applyAlignment="1" applyProtection="1"/>
    <xf numFmtId="3" fontId="5" fillId="0" borderId="9" xfId="0" applyNumberFormat="1" applyFont="1" applyBorder="1" applyAlignment="1" applyProtection="1"/>
    <xf numFmtId="3" fontId="5" fillId="0" borderId="12" xfId="0" applyNumberFormat="1" applyFont="1" applyBorder="1" applyAlignment="1" applyProtection="1"/>
    <xf numFmtId="6" fontId="5" fillId="0" borderId="12" xfId="0" applyNumberFormat="1" applyFont="1" applyBorder="1" applyAlignment="1" applyProtection="1"/>
    <xf numFmtId="0" fontId="5" fillId="0" borderId="12" xfId="0" applyNumberFormat="1" applyFont="1" applyBorder="1" applyAlignment="1" applyProtection="1"/>
    <xf numFmtId="3" fontId="5" fillId="0" borderId="14" xfId="0" applyNumberFormat="1" applyFont="1" applyBorder="1" applyAlignment="1" applyProtection="1"/>
    <xf numFmtId="6" fontId="5" fillId="0" borderId="14" xfId="0" applyNumberFormat="1" applyFont="1" applyBorder="1" applyAlignment="1" applyProtection="1"/>
    <xf numFmtId="6" fontId="5" fillId="0" borderId="15" xfId="0" applyNumberFormat="1" applyFont="1" applyBorder="1" applyAlignment="1" applyProtection="1"/>
    <xf numFmtId="164" fontId="5" fillId="0" borderId="15" xfId="0" applyNumberFormat="1" applyFont="1" applyBorder="1" applyAlignment="1" applyProtection="1">
      <alignment horizontal="right"/>
    </xf>
    <xf numFmtId="3" fontId="4" fillId="0" borderId="0" xfId="0" applyNumberFormat="1" applyFont="1" applyBorder="1" applyAlignment="1" applyProtection="1"/>
    <xf numFmtId="6" fontId="4" fillId="0" borderId="0" xfId="0" applyNumberFormat="1" applyFont="1" applyBorder="1" applyAlignment="1" applyProtection="1"/>
    <xf numFmtId="0" fontId="9" fillId="0" borderId="0" xfId="0" applyFont="1" applyProtection="1"/>
    <xf numFmtId="0" fontId="9" fillId="0" borderId="0" xfId="0" applyFont="1"/>
    <xf numFmtId="3" fontId="4" fillId="0" borderId="0" xfId="0" applyNumberFormat="1" applyFont="1" applyAlignment="1" applyProtection="1"/>
    <xf numFmtId="6" fontId="4" fillId="0" borderId="0" xfId="0" applyNumberFormat="1" applyFont="1" applyAlignment="1" applyProtection="1"/>
    <xf numFmtId="3" fontId="10" fillId="0" borderId="0" xfId="0" applyNumberFormat="1" applyFont="1" applyAlignment="1"/>
    <xf numFmtId="6" fontId="10" fillId="0" borderId="0" xfId="0" applyNumberFormat="1" applyFont="1" applyAlignment="1"/>
    <xf numFmtId="0" fontId="11" fillId="0" borderId="0" xfId="0" applyFont="1"/>
    <xf numFmtId="6" fontId="11" fillId="0" borderId="0" xfId="0" applyNumberFormat="1" applyFont="1"/>
    <xf numFmtId="0" fontId="12" fillId="0" borderId="0" xfId="0" applyFont="1" applyProtection="1"/>
    <xf numFmtId="164" fontId="12" fillId="0" borderId="1" xfId="0" applyNumberFormat="1" applyFont="1" applyBorder="1" applyProtection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5" fillId="0" borderId="0" xfId="0" applyFont="1" applyProtection="1"/>
    <xf numFmtId="0" fontId="15" fillId="0" borderId="0" xfId="0" applyFont="1"/>
    <xf numFmtId="0" fontId="16" fillId="0" borderId="0" xfId="0" applyFont="1"/>
    <xf numFmtId="6" fontId="16" fillId="0" borderId="0" xfId="0" applyNumberFormat="1" applyFont="1"/>
    <xf numFmtId="0" fontId="7" fillId="2" borderId="12" xfId="0" applyNumberFormat="1" applyFont="1" applyFill="1" applyBorder="1" applyAlignment="1" applyProtection="1"/>
    <xf numFmtId="6" fontId="7" fillId="2" borderId="7" xfId="0" applyNumberFormat="1" applyFont="1" applyFill="1" applyBorder="1" applyAlignment="1" applyProtection="1"/>
    <xf numFmtId="6" fontId="5" fillId="0" borderId="4" xfId="0" applyNumberFormat="1" applyFont="1" applyFill="1" applyBorder="1" applyAlignment="1" applyProtection="1"/>
    <xf numFmtId="6" fontId="7" fillId="2" borderId="9" xfId="0" applyNumberFormat="1" applyFont="1" applyFill="1" applyBorder="1" applyAlignment="1" applyProtection="1"/>
    <xf numFmtId="6" fontId="7" fillId="0" borderId="9" xfId="0" applyNumberFormat="1" applyFont="1" applyFill="1" applyBorder="1" applyAlignment="1" applyProtection="1"/>
    <xf numFmtId="165" fontId="4" fillId="0" borderId="0" xfId="0" applyNumberFormat="1" applyFont="1" applyBorder="1" applyAlignment="1" applyProtection="1"/>
    <xf numFmtId="0" fontId="8" fillId="0" borderId="0" xfId="0" applyFont="1" applyAlignment="1"/>
    <xf numFmtId="9" fontId="4" fillId="0" borderId="1" xfId="0" applyNumberFormat="1" applyFont="1" applyBorder="1" applyAlignment="1" applyProtection="1"/>
    <xf numFmtId="9" fontId="3" fillId="0" borderId="0" xfId="0" applyNumberFormat="1" applyFont="1" applyProtection="1"/>
    <xf numFmtId="37" fontId="3" fillId="0" borderId="0" xfId="0" applyNumberFormat="1" applyFont="1" applyProtection="1"/>
    <xf numFmtId="37" fontId="5" fillId="0" borderId="5" xfId="0" applyNumberFormat="1" applyFont="1" applyBorder="1" applyAlignment="1" applyProtection="1">
      <alignment horizontal="center"/>
    </xf>
    <xf numFmtId="9" fontId="5" fillId="0" borderId="5" xfId="0" applyNumberFormat="1" applyFont="1" applyBorder="1" applyAlignment="1" applyProtection="1">
      <alignment horizontal="center"/>
    </xf>
    <xf numFmtId="37" fontId="5" fillId="0" borderId="7" xfId="0" applyNumberFormat="1" applyFont="1" applyBorder="1" applyAlignment="1" applyProtection="1">
      <alignment horizontal="center" wrapText="1"/>
    </xf>
    <xf numFmtId="9" fontId="5" fillId="0" borderId="7" xfId="0" applyNumberFormat="1" applyFont="1" applyBorder="1" applyAlignment="1" applyProtection="1">
      <alignment horizontal="center" wrapText="1"/>
    </xf>
    <xf numFmtId="37" fontId="7" fillId="0" borderId="4" xfId="0" applyNumberFormat="1" applyFont="1" applyBorder="1" applyAlignment="1" applyProtection="1"/>
    <xf numFmtId="9" fontId="7" fillId="0" borderId="9" xfId="0" applyNumberFormat="1" applyFont="1" applyBorder="1" applyAlignment="1" applyProtection="1"/>
    <xf numFmtId="9" fontId="7" fillId="0" borderId="4" xfId="0" applyNumberFormat="1" applyFont="1" applyBorder="1" applyAlignment="1" applyProtection="1"/>
    <xf numFmtId="37" fontId="7" fillId="0" borderId="7" xfId="0" applyNumberFormat="1" applyFont="1" applyBorder="1" applyAlignment="1" applyProtection="1"/>
    <xf numFmtId="9" fontId="7" fillId="0" borderId="10" xfId="0" applyNumberFormat="1" applyFont="1" applyBorder="1" applyAlignment="1" applyProtection="1">
      <alignment horizontal="right"/>
    </xf>
    <xf numFmtId="41" fontId="7" fillId="0" borderId="7" xfId="0" applyNumberFormat="1" applyFont="1" applyBorder="1" applyAlignment="1" applyProtection="1"/>
    <xf numFmtId="38" fontId="7" fillId="0" borderId="12" xfId="0" applyNumberFormat="1" applyFont="1" applyBorder="1" applyAlignment="1" applyProtection="1"/>
    <xf numFmtId="37" fontId="7" fillId="0" borderId="12" xfId="0" applyNumberFormat="1" applyFont="1" applyBorder="1" applyAlignment="1" applyProtection="1"/>
    <xf numFmtId="38" fontId="7" fillId="0" borderId="9" xfId="0" applyNumberFormat="1" applyFont="1" applyBorder="1" applyAlignment="1" applyProtection="1"/>
    <xf numFmtId="41" fontId="7" fillId="0" borderId="9" xfId="0" applyNumberFormat="1" applyFont="1" applyBorder="1" applyAlignment="1" applyProtection="1"/>
    <xf numFmtId="37" fontId="7" fillId="0" borderId="9" xfId="0" applyNumberFormat="1" applyFont="1" applyBorder="1" applyAlignment="1" applyProtection="1"/>
    <xf numFmtId="41" fontId="7" fillId="0" borderId="4" xfId="0" applyNumberFormat="1" applyFont="1" applyBorder="1" applyAlignment="1" applyProtection="1"/>
    <xf numFmtId="37" fontId="5" fillId="0" borderId="9" xfId="0" applyNumberFormat="1" applyFont="1" applyBorder="1" applyAlignment="1" applyProtection="1"/>
    <xf numFmtId="9" fontId="5" fillId="0" borderId="10" xfId="0" applyNumberFormat="1" applyFont="1" applyBorder="1" applyAlignment="1" applyProtection="1">
      <alignment horizontal="right"/>
    </xf>
    <xf numFmtId="41" fontId="5" fillId="0" borderId="4" xfId="0" applyNumberFormat="1" applyFont="1" applyBorder="1" applyAlignment="1" applyProtection="1"/>
    <xf numFmtId="37" fontId="5" fillId="0" borderId="4" xfId="0" applyNumberFormat="1" applyFont="1" applyBorder="1" applyAlignment="1" applyProtection="1"/>
    <xf numFmtId="41" fontId="5" fillId="0" borderId="7" xfId="0" applyNumberFormat="1" applyFont="1" applyBorder="1" applyAlignment="1" applyProtection="1"/>
    <xf numFmtId="37" fontId="5" fillId="0" borderId="7" xfId="0" applyNumberFormat="1" applyFont="1" applyBorder="1" applyAlignment="1" applyProtection="1"/>
    <xf numFmtId="41" fontId="5" fillId="0" borderId="10" xfId="0" applyNumberFormat="1" applyFont="1" applyBorder="1" applyAlignment="1" applyProtection="1"/>
    <xf numFmtId="37" fontId="5" fillId="0" borderId="10" xfId="0" applyNumberFormat="1" applyFont="1" applyBorder="1" applyAlignment="1" applyProtection="1"/>
    <xf numFmtId="9" fontId="7" fillId="0" borderId="4" xfId="0" applyNumberFormat="1" applyFont="1" applyBorder="1" applyAlignment="1" applyProtection="1">
      <alignment horizontal="right"/>
    </xf>
    <xf numFmtId="37" fontId="5" fillId="0" borderId="12" xfId="0" applyNumberFormat="1" applyFont="1" applyBorder="1" applyAlignment="1" applyProtection="1"/>
    <xf numFmtId="41" fontId="7" fillId="0" borderId="12" xfId="0" applyNumberFormat="1" applyFont="1" applyBorder="1" applyAlignment="1" applyProtection="1"/>
    <xf numFmtId="38" fontId="7" fillId="0" borderId="4" xfId="0" applyNumberFormat="1" applyFont="1" applyBorder="1" applyAlignment="1" applyProtection="1"/>
    <xf numFmtId="38" fontId="7" fillId="0" borderId="7" xfId="0" applyNumberFormat="1" applyFont="1" applyBorder="1" applyAlignment="1" applyProtection="1"/>
    <xf numFmtId="37" fontId="5" fillId="0" borderId="14" xfId="0" applyNumberFormat="1" applyFont="1" applyBorder="1" applyAlignment="1" applyProtection="1"/>
    <xf numFmtId="9" fontId="5" fillId="0" borderId="15" xfId="0" applyNumberFormat="1" applyFont="1" applyBorder="1" applyAlignment="1" applyProtection="1">
      <alignment horizontal="right"/>
    </xf>
    <xf numFmtId="37" fontId="9" fillId="0" borderId="0" xfId="0" applyNumberFormat="1" applyFont="1" applyProtection="1"/>
    <xf numFmtId="9" fontId="9" fillId="0" borderId="0" xfId="0" applyNumberFormat="1" applyFont="1" applyProtection="1"/>
    <xf numFmtId="37" fontId="11" fillId="0" borderId="0" xfId="0" applyNumberFormat="1" applyFont="1"/>
    <xf numFmtId="9" fontId="11" fillId="0" borderId="0" xfId="0" applyNumberFormat="1" applyFont="1"/>
    <xf numFmtId="0" fontId="7" fillId="0" borderId="16" xfId="0" applyNumberFormat="1" applyFont="1" applyBorder="1" applyAlignment="1" applyProtection="1"/>
    <xf numFmtId="6" fontId="7" fillId="0" borderId="7" xfId="0" applyNumberFormat="1" applyFont="1" applyFill="1" applyBorder="1" applyAlignment="1" applyProtection="1"/>
    <xf numFmtId="6" fontId="17" fillId="0" borderId="0" xfId="0" applyNumberFormat="1" applyFont="1" applyBorder="1" applyAlignment="1" applyProtection="1">
      <alignment horizontal="left" vertical="center"/>
    </xf>
    <xf numFmtId="0" fontId="5" fillId="0" borderId="7" xfId="0" applyNumberFormat="1" applyFont="1" applyFill="1" applyBorder="1" applyAlignment="1" applyProtection="1"/>
    <xf numFmtId="6" fontId="5" fillId="0" borderId="7" xfId="0" applyNumberFormat="1" applyFont="1" applyFill="1" applyBorder="1" applyAlignment="1" applyProtection="1"/>
    <xf numFmtId="164" fontId="5" fillId="0" borderId="10" xfId="0" applyNumberFormat="1" applyFont="1" applyFill="1" applyBorder="1" applyAlignment="1" applyProtection="1">
      <alignment horizontal="right"/>
    </xf>
    <xf numFmtId="6" fontId="19" fillId="0" borderId="0" xfId="0" applyNumberFormat="1" applyFont="1" applyBorder="1" applyAlignment="1" applyProtection="1"/>
    <xf numFmtId="42" fontId="7" fillId="0" borderId="4" xfId="0" applyNumberFormat="1" applyFont="1" applyBorder="1" applyAlignment="1" applyProtection="1"/>
    <xf numFmtId="42" fontId="20" fillId="0" borderId="7" xfId="0" applyNumberFormat="1" applyFont="1" applyBorder="1" applyAlignment="1" applyProtection="1"/>
    <xf numFmtId="164" fontId="20" fillId="0" borderId="10" xfId="0" applyNumberFormat="1" applyFont="1" applyBorder="1" applyAlignment="1" applyProtection="1">
      <alignment horizontal="right"/>
    </xf>
    <xf numFmtId="42" fontId="20" fillId="0" borderId="12" xfId="0" applyNumberFormat="1" applyFont="1" applyBorder="1" applyAlignment="1" applyProtection="1"/>
    <xf numFmtId="42" fontId="20" fillId="0" borderId="9" xfId="0" applyNumberFormat="1" applyFont="1" applyBorder="1" applyAlignment="1" applyProtection="1"/>
    <xf numFmtId="164" fontId="20" fillId="0" borderId="9" xfId="0" applyNumberFormat="1" applyFont="1" applyBorder="1" applyAlignment="1" applyProtection="1"/>
    <xf numFmtId="42" fontId="20" fillId="0" borderId="4" xfId="0" applyNumberFormat="1" applyFont="1" applyBorder="1" applyAlignment="1" applyProtection="1"/>
    <xf numFmtId="42" fontId="21" fillId="0" borderId="9" xfId="0" applyNumberFormat="1" applyFont="1" applyBorder="1" applyAlignment="1" applyProtection="1"/>
    <xf numFmtId="164" fontId="21" fillId="0" borderId="10" xfId="0" applyNumberFormat="1" applyFont="1" applyBorder="1" applyAlignment="1" applyProtection="1">
      <alignment horizontal="right"/>
    </xf>
    <xf numFmtId="42" fontId="21" fillId="0" borderId="4" xfId="0" applyNumberFormat="1" applyFont="1" applyBorder="1" applyAlignment="1" applyProtection="1"/>
    <xf numFmtId="42" fontId="21" fillId="0" borderId="7" xfId="0" applyNumberFormat="1" applyFont="1" applyBorder="1" applyAlignment="1" applyProtection="1"/>
    <xf numFmtId="6" fontId="21" fillId="0" borderId="4" xfId="0" applyNumberFormat="1" applyFont="1" applyBorder="1" applyAlignment="1" applyProtection="1"/>
    <xf numFmtId="42" fontId="21" fillId="0" borderId="10" xfId="0" applyNumberFormat="1" applyFont="1" applyBorder="1" applyAlignment="1" applyProtection="1"/>
    <xf numFmtId="164" fontId="20" fillId="0" borderId="4" xfId="0" applyNumberFormat="1" applyFont="1" applyBorder="1" applyAlignment="1" applyProtection="1">
      <alignment horizontal="right"/>
    </xf>
    <xf numFmtId="164" fontId="20" fillId="0" borderId="4" xfId="0" applyNumberFormat="1" applyFont="1" applyBorder="1" applyAlignment="1" applyProtection="1"/>
    <xf numFmtId="42" fontId="20" fillId="0" borderId="9" xfId="0" applyNumberFormat="1" applyFont="1" applyFill="1" applyBorder="1" applyAlignment="1" applyProtection="1"/>
    <xf numFmtId="42" fontId="21" fillId="0" borderId="12" xfId="0" applyNumberFormat="1" applyFont="1" applyBorder="1" applyAlignment="1" applyProtection="1"/>
    <xf numFmtId="42" fontId="20" fillId="0" borderId="7" xfId="0" applyNumberFormat="1" applyFont="1" applyFill="1" applyBorder="1" applyAlignment="1" applyProtection="1"/>
    <xf numFmtId="42" fontId="20" fillId="0" borderId="12" xfId="0" applyNumberFormat="1" applyFont="1" applyFill="1" applyBorder="1" applyAlignment="1" applyProtection="1"/>
    <xf numFmtId="42" fontId="20" fillId="0" borderId="4" xfId="0" applyNumberFormat="1" applyFont="1" applyFill="1" applyBorder="1" applyAlignment="1" applyProtection="1"/>
    <xf numFmtId="42" fontId="21" fillId="0" borderId="12" xfId="0" applyNumberFormat="1" applyFont="1" applyFill="1" applyBorder="1" applyAlignment="1" applyProtection="1"/>
    <xf numFmtId="6" fontId="20" fillId="0" borderId="9" xfId="0" applyNumberFormat="1" applyFont="1" applyFill="1" applyBorder="1" applyAlignment="1" applyProtection="1"/>
    <xf numFmtId="42" fontId="21" fillId="0" borderId="9" xfId="0" applyNumberFormat="1" applyFont="1" applyFill="1" applyBorder="1" applyAlignment="1" applyProtection="1"/>
    <xf numFmtId="42" fontId="21" fillId="0" borderId="14" xfId="0" applyNumberFormat="1" applyFont="1" applyBorder="1" applyAlignment="1" applyProtection="1"/>
    <xf numFmtId="42" fontId="21" fillId="0" borderId="15" xfId="0" applyNumberFormat="1" applyFont="1" applyBorder="1" applyAlignment="1" applyProtection="1"/>
    <xf numFmtId="164" fontId="21" fillId="0" borderId="15" xfId="0" applyNumberFormat="1" applyFont="1" applyBorder="1" applyAlignment="1" applyProtection="1">
      <alignment horizontal="right"/>
    </xf>
    <xf numFmtId="0" fontId="4" fillId="0" borderId="1" xfId="0" applyNumberFormat="1" applyFont="1" applyBorder="1" applyAlignment="1" applyProtection="1">
      <alignment horizontal="left"/>
    </xf>
    <xf numFmtId="0" fontId="3" fillId="0" borderId="1" xfId="0" applyFont="1" applyBorder="1"/>
    <xf numFmtId="0" fontId="7" fillId="0" borderId="17" xfId="0" applyNumberFormat="1" applyFont="1" applyBorder="1" applyAlignment="1" applyProtection="1"/>
    <xf numFmtId="6" fontId="7" fillId="0" borderId="13" xfId="0" applyNumberFormat="1" applyFont="1" applyBorder="1" applyAlignment="1" applyProtection="1"/>
    <xf numFmtId="0" fontId="6" fillId="0" borderId="1" xfId="0" applyFont="1" applyBorder="1"/>
    <xf numFmtId="0" fontId="5" fillId="0" borderId="18" xfId="0" applyNumberFormat="1" applyFont="1" applyBorder="1" applyAlignment="1" applyProtection="1"/>
    <xf numFmtId="6" fontId="7" fillId="0" borderId="19" xfId="0" applyNumberFormat="1" applyFont="1" applyBorder="1" applyAlignment="1" applyProtection="1"/>
    <xf numFmtId="6" fontId="7" fillId="0" borderId="20" xfId="0" applyNumberFormat="1" applyFont="1" applyBorder="1" applyAlignment="1" applyProtection="1"/>
    <xf numFmtId="164" fontId="7" fillId="0" borderId="21" xfId="0" applyNumberFormat="1" applyFont="1" applyBorder="1" applyAlignment="1" applyProtection="1"/>
    <xf numFmtId="0" fontId="7" fillId="0" borderId="22" xfId="0" applyNumberFormat="1" applyFont="1" applyBorder="1" applyAlignment="1" applyProtection="1"/>
    <xf numFmtId="6" fontId="7" fillId="0" borderId="23" xfId="0" applyNumberFormat="1" applyFont="1" applyBorder="1" applyAlignment="1" applyProtection="1"/>
    <xf numFmtId="6" fontId="7" fillId="0" borderId="24" xfId="0" applyNumberFormat="1" applyFont="1" applyBorder="1" applyAlignment="1" applyProtection="1"/>
    <xf numFmtId="164" fontId="7" fillId="0" borderId="26" xfId="0" applyNumberFormat="1" applyFont="1" applyBorder="1" applyAlignment="1" applyProtection="1">
      <alignment horizontal="right"/>
    </xf>
    <xf numFmtId="0" fontId="7" fillId="0" borderId="27" xfId="0" applyNumberFormat="1" applyFont="1" applyBorder="1" applyAlignment="1" applyProtection="1"/>
    <xf numFmtId="6" fontId="7" fillId="0" borderId="28" xfId="0" applyNumberFormat="1" applyFont="1" applyBorder="1" applyAlignment="1" applyProtection="1"/>
    <xf numFmtId="0" fontId="7" fillId="0" borderId="29" xfId="0" applyNumberFormat="1" applyFont="1" applyBorder="1" applyAlignment="1" applyProtection="1"/>
    <xf numFmtId="0" fontId="5" fillId="0" borderId="30" xfId="0" applyNumberFormat="1" applyFont="1" applyBorder="1" applyAlignment="1" applyProtection="1"/>
    <xf numFmtId="6" fontId="5" fillId="0" borderId="31" xfId="0" applyNumberFormat="1" applyFont="1" applyBorder="1" applyAlignment="1" applyProtection="1"/>
    <xf numFmtId="6" fontId="5" fillId="0" borderId="32" xfId="0" applyNumberFormat="1" applyFont="1" applyBorder="1" applyAlignment="1" applyProtection="1"/>
    <xf numFmtId="164" fontId="5" fillId="0" borderId="33" xfId="0" applyNumberFormat="1" applyFont="1" applyBorder="1" applyAlignment="1" applyProtection="1">
      <alignment horizontal="right"/>
    </xf>
    <xf numFmtId="0" fontId="5" fillId="0" borderId="0" xfId="0" applyNumberFormat="1" applyFont="1" applyBorder="1" applyAlignment="1" applyProtection="1"/>
    <xf numFmtId="6" fontId="5" fillId="0" borderId="0" xfId="0" applyNumberFormat="1" applyFont="1" applyBorder="1" applyAlignment="1" applyProtection="1"/>
    <xf numFmtId="164" fontId="5" fillId="0" borderId="0" xfId="0" applyNumberFormat="1" applyFont="1" applyBorder="1" applyAlignment="1" applyProtection="1">
      <alignment horizontal="right"/>
    </xf>
    <xf numFmtId="0" fontId="4" fillId="0" borderId="0" xfId="0" applyFont="1"/>
    <xf numFmtId="6" fontId="2" fillId="0" borderId="0" xfId="0" applyNumberFormat="1" applyFont="1" applyBorder="1" applyAlignment="1" applyProtection="1"/>
    <xf numFmtId="3" fontId="5" fillId="0" borderId="34" xfId="0" applyNumberFormat="1" applyFont="1" applyBorder="1" applyAlignment="1" applyProtection="1"/>
    <xf numFmtId="6" fontId="5" fillId="0" borderId="19" xfId="0" applyNumberFormat="1" applyFont="1" applyBorder="1" applyAlignment="1" applyProtection="1">
      <alignment horizontal="center"/>
    </xf>
    <xf numFmtId="6" fontId="5" fillId="0" borderId="20" xfId="0" applyNumberFormat="1" applyFont="1" applyBorder="1" applyAlignment="1" applyProtection="1">
      <alignment horizontal="center"/>
    </xf>
    <xf numFmtId="6" fontId="5" fillId="0" borderId="35" xfId="0" applyNumberFormat="1" applyFont="1" applyBorder="1" applyAlignment="1" applyProtection="1">
      <alignment horizontal="center"/>
    </xf>
    <xf numFmtId="3" fontId="7" fillId="0" borderId="36" xfId="0" applyNumberFormat="1" applyFont="1" applyBorder="1" applyAlignment="1" applyProtection="1">
      <alignment wrapText="1"/>
    </xf>
    <xf numFmtId="6" fontId="5" fillId="0" borderId="23" xfId="0" applyNumberFormat="1" applyFont="1" applyBorder="1" applyAlignment="1" applyProtection="1">
      <alignment horizontal="center" wrapText="1"/>
    </xf>
    <xf numFmtId="6" fontId="5" fillId="0" borderId="24" xfId="0" applyNumberFormat="1" applyFont="1" applyBorder="1" applyAlignment="1" applyProtection="1">
      <alignment horizontal="center" wrapText="1"/>
    </xf>
    <xf numFmtId="6" fontId="5" fillId="0" borderId="37" xfId="0" applyNumberFormat="1" applyFont="1" applyBorder="1" applyAlignment="1" applyProtection="1">
      <alignment horizontal="center" wrapText="1"/>
    </xf>
    <xf numFmtId="3" fontId="5" fillId="0" borderId="38" xfId="0" applyNumberFormat="1" applyFont="1" applyBorder="1" applyAlignment="1" applyProtection="1"/>
    <xf numFmtId="6" fontId="7" fillId="0" borderId="39" xfId="0" applyNumberFormat="1" applyFont="1" applyBorder="1" applyAlignment="1" applyProtection="1"/>
    <xf numFmtId="6" fontId="7" fillId="0" borderId="40" xfId="0" applyNumberFormat="1" applyFont="1" applyBorder="1" applyAlignment="1" applyProtection="1"/>
    <xf numFmtId="6" fontId="7" fillId="0" borderId="41" xfId="0" applyNumberFormat="1" applyFont="1" applyBorder="1" applyAlignment="1" applyProtection="1"/>
    <xf numFmtId="0" fontId="7" fillId="0" borderId="36" xfId="0" applyNumberFormat="1" applyFont="1" applyBorder="1" applyAlignment="1" applyProtection="1"/>
    <xf numFmtId="6" fontId="7" fillId="0" borderId="37" xfId="0" applyNumberFormat="1" applyFont="1" applyBorder="1" applyAlignment="1" applyProtection="1"/>
    <xf numFmtId="0" fontId="7" fillId="0" borderId="45" xfId="0" applyNumberFormat="1" applyFont="1" applyBorder="1" applyAlignment="1" applyProtection="1"/>
    <xf numFmtId="6" fontId="7" fillId="0" borderId="46" xfId="0" applyNumberFormat="1" applyFont="1" applyBorder="1" applyAlignment="1" applyProtection="1"/>
    <xf numFmtId="6" fontId="7" fillId="0" borderId="47" xfId="0" applyNumberFormat="1" applyFont="1" applyBorder="1" applyAlignment="1" applyProtection="1"/>
    <xf numFmtId="0" fontId="7" fillId="0" borderId="48" xfId="0" applyNumberFormat="1" applyFont="1" applyBorder="1" applyAlignment="1" applyProtection="1"/>
    <xf numFmtId="6" fontId="7" fillId="0" borderId="49" xfId="0" applyNumberFormat="1" applyFont="1" applyBorder="1" applyAlignment="1" applyProtection="1"/>
    <xf numFmtId="6" fontId="7" fillId="0" borderId="43" xfId="0" applyNumberFormat="1" applyFont="1" applyBorder="1" applyAlignment="1" applyProtection="1"/>
    <xf numFmtId="6" fontId="7" fillId="0" borderId="50" xfId="0" applyNumberFormat="1" applyFont="1" applyBorder="1" applyAlignment="1" applyProtection="1"/>
    <xf numFmtId="0" fontId="7" fillId="0" borderId="51" xfId="0" applyNumberFormat="1" applyFont="1" applyBorder="1" applyAlignment="1" applyProtection="1"/>
    <xf numFmtId="0" fontId="7" fillId="0" borderId="52" xfId="0" applyNumberFormat="1" applyFont="1" applyBorder="1" applyAlignment="1" applyProtection="1"/>
    <xf numFmtId="0" fontId="5" fillId="0" borderId="48" xfId="0" applyNumberFormat="1" applyFont="1" applyBorder="1" applyAlignment="1" applyProtection="1"/>
    <xf numFmtId="0" fontId="5" fillId="0" borderId="51" xfId="0" applyNumberFormat="1" applyFont="1" applyBorder="1" applyAlignment="1" applyProtection="1"/>
    <xf numFmtId="0" fontId="5" fillId="0" borderId="52" xfId="0" applyNumberFormat="1" applyFont="1" applyBorder="1" applyAlignment="1" applyProtection="1"/>
    <xf numFmtId="6" fontId="5" fillId="0" borderId="49" xfId="0" applyNumberFormat="1" applyFont="1" applyBorder="1" applyAlignment="1" applyProtection="1"/>
    <xf numFmtId="6" fontId="5" fillId="0" borderId="43" xfId="0" applyNumberFormat="1" applyFont="1" applyBorder="1" applyAlignment="1" applyProtection="1"/>
    <xf numFmtId="6" fontId="5" fillId="0" borderId="50" xfId="0" applyNumberFormat="1" applyFont="1" applyBorder="1" applyAlignment="1" applyProtection="1"/>
    <xf numFmtId="0" fontId="7" fillId="0" borderId="53" xfId="0" applyNumberFormat="1" applyFont="1" applyBorder="1" applyAlignment="1" applyProtection="1"/>
    <xf numFmtId="0" fontId="7" fillId="0" borderId="54" xfId="0" applyNumberFormat="1" applyFont="1" applyBorder="1" applyAlignment="1" applyProtection="1"/>
    <xf numFmtId="0" fontId="7" fillId="0" borderId="25" xfId="0" applyNumberFormat="1" applyFont="1" applyBorder="1" applyAlignment="1" applyProtection="1"/>
    <xf numFmtId="6" fontId="5" fillId="0" borderId="39" xfId="0" applyNumberFormat="1" applyFont="1" applyBorder="1" applyAlignment="1" applyProtection="1"/>
    <xf numFmtId="6" fontId="5" fillId="0" borderId="40" xfId="0" applyNumberFormat="1" applyFont="1" applyBorder="1" applyAlignment="1" applyProtection="1"/>
    <xf numFmtId="6" fontId="5" fillId="0" borderId="41" xfId="0" applyNumberFormat="1" applyFont="1" applyBorder="1" applyAlignment="1" applyProtection="1"/>
    <xf numFmtId="0" fontId="5" fillId="0" borderId="53" xfId="0" applyNumberFormat="1" applyFont="1" applyBorder="1" applyAlignment="1" applyProtection="1"/>
    <xf numFmtId="6" fontId="5" fillId="0" borderId="23" xfId="0" applyNumberFormat="1" applyFont="1" applyBorder="1" applyAlignment="1" applyProtection="1"/>
    <xf numFmtId="6" fontId="5" fillId="0" borderId="24" xfId="0" applyNumberFormat="1" applyFont="1" applyBorder="1" applyAlignment="1" applyProtection="1"/>
    <xf numFmtId="6" fontId="5" fillId="0" borderId="37" xfId="0" applyNumberFormat="1" applyFont="1" applyBorder="1" applyAlignment="1" applyProtection="1"/>
    <xf numFmtId="0" fontId="5" fillId="0" borderId="25" xfId="0" applyNumberFormat="1" applyFont="1" applyBorder="1" applyAlignment="1" applyProtection="1"/>
    <xf numFmtId="6" fontId="5" fillId="0" borderId="55" xfId="0" applyNumberFormat="1" applyFont="1" applyBorder="1" applyAlignment="1" applyProtection="1"/>
    <xf numFmtId="6" fontId="5" fillId="0" borderId="44" xfId="0" applyNumberFormat="1" applyFont="1" applyBorder="1" applyAlignment="1" applyProtection="1"/>
    <xf numFmtId="6" fontId="5" fillId="0" borderId="56" xfId="0" applyNumberFormat="1" applyFont="1" applyBorder="1" applyAlignment="1" applyProtection="1"/>
    <xf numFmtId="3" fontId="5" fillId="0" borderId="48" xfId="0" applyNumberFormat="1" applyFont="1" applyBorder="1" applyAlignment="1" applyProtection="1"/>
    <xf numFmtId="3" fontId="7" fillId="0" borderId="51" xfId="0" applyNumberFormat="1" applyFont="1" applyBorder="1" applyAlignment="1" applyProtection="1"/>
    <xf numFmtId="3" fontId="7" fillId="0" borderId="48" xfId="0" applyNumberFormat="1" applyFont="1" applyBorder="1" applyAlignment="1" applyProtection="1"/>
    <xf numFmtId="3" fontId="5" fillId="0" borderId="51" xfId="0" applyNumberFormat="1" applyFont="1" applyBorder="1" applyAlignment="1" applyProtection="1"/>
    <xf numFmtId="3" fontId="5" fillId="0" borderId="54" xfId="0" applyNumberFormat="1" applyFont="1" applyBorder="1" applyAlignment="1" applyProtection="1"/>
    <xf numFmtId="6" fontId="5" fillId="0" borderId="46" xfId="0" applyNumberFormat="1" applyFont="1" applyBorder="1" applyAlignment="1" applyProtection="1"/>
    <xf numFmtId="6" fontId="5" fillId="0" borderId="47" xfId="0" applyNumberFormat="1" applyFont="1" applyBorder="1" applyAlignment="1" applyProtection="1"/>
    <xf numFmtId="0" fontId="5" fillId="0" borderId="54" xfId="0" applyNumberFormat="1" applyFont="1" applyBorder="1" applyAlignment="1" applyProtection="1"/>
    <xf numFmtId="3" fontId="5" fillId="0" borderId="57" xfId="0" applyNumberFormat="1" applyFont="1" applyBorder="1" applyAlignment="1" applyProtection="1"/>
    <xf numFmtId="6" fontId="5" fillId="0" borderId="58" xfId="0" applyNumberFormat="1" applyFont="1" applyBorder="1" applyAlignment="1" applyProtection="1"/>
    <xf numFmtId="6" fontId="5" fillId="0" borderId="59" xfId="0" applyNumberFormat="1" applyFont="1" applyBorder="1" applyAlignment="1" applyProtection="1"/>
    <xf numFmtId="0" fontId="7" fillId="0" borderId="60" xfId="0" applyNumberFormat="1" applyFont="1" applyBorder="1" applyAlignment="1" applyProtection="1"/>
    <xf numFmtId="164" fontId="7" fillId="0" borderId="42" xfId="0" applyNumberFormat="1" applyFont="1" applyBorder="1" applyAlignment="1" applyProtection="1">
      <alignment horizontal="right"/>
    </xf>
    <xf numFmtId="0" fontId="7" fillId="0" borderId="61" xfId="0" applyNumberFormat="1" applyFont="1" applyBorder="1" applyAlignment="1" applyProtection="1"/>
    <xf numFmtId="6" fontId="7" fillId="0" borderId="62" xfId="0" applyNumberFormat="1" applyFont="1" applyBorder="1" applyAlignment="1" applyProtection="1"/>
    <xf numFmtId="6" fontId="7" fillId="0" borderId="63" xfId="0" applyNumberFormat="1" applyFont="1" applyBorder="1" applyAlignment="1" applyProtection="1"/>
    <xf numFmtId="6" fontId="7" fillId="0" borderId="16" xfId="0" applyNumberFormat="1" applyFont="1" applyBorder="1" applyAlignment="1" applyProtection="1"/>
    <xf numFmtId="164" fontId="7" fillId="0" borderId="64" xfId="0" applyNumberFormat="1" applyFont="1" applyBorder="1" applyAlignment="1" applyProtection="1">
      <alignment horizontal="right"/>
    </xf>
    <xf numFmtId="0" fontId="6" fillId="0" borderId="65" xfId="0" applyFont="1" applyBorder="1"/>
    <xf numFmtId="0" fontId="11" fillId="0" borderId="65" xfId="0" applyFont="1" applyBorder="1"/>
    <xf numFmtId="0" fontId="7" fillId="0" borderId="8" xfId="0" applyNumberFormat="1" applyFont="1" applyBorder="1" applyAlignment="1" applyProtection="1"/>
    <xf numFmtId="0" fontId="7" fillId="0" borderId="66" xfId="0" applyNumberFormat="1" applyFont="1" applyBorder="1" applyAlignment="1" applyProtection="1"/>
    <xf numFmtId="164" fontId="7" fillId="0" borderId="16" xfId="0" applyNumberFormat="1" applyFont="1" applyBorder="1" applyAlignment="1" applyProtection="1">
      <alignment horizontal="right"/>
    </xf>
    <xf numFmtId="0" fontId="16" fillId="0" borderId="65" xfId="0" applyFont="1" applyBorder="1"/>
    <xf numFmtId="0" fontId="7" fillId="0" borderId="67" xfId="0" applyNumberFormat="1" applyFont="1" applyBorder="1" applyAlignment="1" applyProtection="1"/>
    <xf numFmtId="6" fontId="7" fillId="0" borderId="68" xfId="0" applyNumberFormat="1" applyFont="1" applyBorder="1" applyAlignment="1" applyProtection="1"/>
    <xf numFmtId="6" fontId="7" fillId="0" borderId="69" xfId="0" applyNumberFormat="1" applyFont="1" applyBorder="1" applyAlignment="1" applyProtection="1"/>
    <xf numFmtId="0" fontId="6" fillId="0" borderId="70" xfId="0" applyFont="1" applyBorder="1"/>
    <xf numFmtId="0" fontId="11" fillId="0" borderId="70" xfId="0" applyFont="1" applyBorder="1"/>
    <xf numFmtId="6" fontId="7" fillId="0" borderId="71" xfId="0" applyNumberFormat="1" applyFont="1" applyBorder="1" applyAlignment="1" applyProtection="1"/>
    <xf numFmtId="6" fontId="7" fillId="0" borderId="72" xfId="0" applyNumberFormat="1" applyFont="1" applyBorder="1" applyAlignment="1" applyProtection="1"/>
    <xf numFmtId="6" fontId="5" fillId="0" borderId="73" xfId="0" applyNumberFormat="1" applyFont="1" applyBorder="1" applyAlignment="1" applyProtection="1"/>
    <xf numFmtId="6" fontId="7" fillId="0" borderId="74" xfId="0" applyNumberFormat="1" applyFont="1" applyBorder="1" applyAlignment="1" applyProtection="1"/>
    <xf numFmtId="0" fontId="7" fillId="0" borderId="75" xfId="0" applyNumberFormat="1" applyFont="1" applyBorder="1" applyAlignment="1" applyProtection="1"/>
    <xf numFmtId="0" fontId="5" fillId="0" borderId="75" xfId="0" applyNumberFormat="1" applyFont="1" applyBorder="1" applyAlignment="1" applyProtection="1"/>
    <xf numFmtId="0" fontId="7" fillId="0" borderId="74" xfId="0" applyNumberFormat="1" applyFont="1" applyBorder="1" applyAlignment="1" applyProtection="1"/>
    <xf numFmtId="3" fontId="5" fillId="0" borderId="74" xfId="0" applyNumberFormat="1" applyFont="1" applyBorder="1" applyAlignment="1" applyProtection="1"/>
    <xf numFmtId="6" fontId="5" fillId="0" borderId="74" xfId="0" applyNumberFormat="1" applyFont="1" applyBorder="1" applyAlignment="1" applyProtection="1"/>
    <xf numFmtId="0" fontId="5" fillId="0" borderId="74" xfId="0" applyNumberFormat="1" applyFont="1" applyBorder="1" applyAlignment="1" applyProtection="1"/>
    <xf numFmtId="3" fontId="5" fillId="0" borderId="76" xfId="0" applyNumberFormat="1" applyFont="1" applyBorder="1" applyAlignment="1" applyProtection="1"/>
    <xf numFmtId="6" fontId="5" fillId="0" borderId="76" xfId="0" applyNumberFormat="1" applyFont="1" applyBorder="1" applyAlignment="1" applyProtection="1"/>
    <xf numFmtId="6" fontId="5" fillId="0" borderId="75" xfId="0" applyNumberFormat="1" applyFont="1" applyBorder="1" applyAlignment="1" applyProtection="1"/>
    <xf numFmtId="164" fontId="5" fillId="0" borderId="77" xfId="0" applyNumberFormat="1" applyFont="1" applyBorder="1" applyAlignment="1" applyProtection="1">
      <alignment horizontal="right"/>
    </xf>
    <xf numFmtId="6" fontId="5" fillId="0" borderId="78" xfId="0" applyNumberFormat="1" applyFont="1" applyBorder="1" applyAlignment="1" applyProtection="1"/>
    <xf numFmtId="0" fontId="22" fillId="0" borderId="79" xfId="0" applyFont="1" applyBorder="1"/>
    <xf numFmtId="6" fontId="5" fillId="0" borderId="81" xfId="0" applyNumberFormat="1" applyFont="1" applyBorder="1" applyAlignment="1" applyProtection="1"/>
    <xf numFmtId="164" fontId="5" fillId="0" borderId="9" xfId="0" applyNumberFormat="1" applyFont="1" applyBorder="1" applyAlignment="1" applyProtection="1"/>
    <xf numFmtId="164" fontId="5" fillId="0" borderId="4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/>
    <xf numFmtId="6" fontId="5" fillId="0" borderId="80" xfId="0" applyNumberFormat="1" applyFont="1" applyBorder="1" applyAlignment="1" applyProtection="1"/>
    <xf numFmtId="164" fontId="5" fillId="0" borderId="80" xfId="0" applyNumberFormat="1" applyFont="1" applyBorder="1" applyAlignment="1" applyProtection="1">
      <alignment horizontal="right"/>
    </xf>
    <xf numFmtId="0" fontId="6" fillId="0" borderId="48" xfId="0" applyFont="1" applyBorder="1"/>
    <xf numFmtId="0" fontId="6" fillId="0" borderId="0" xfId="0" applyFont="1" applyBorder="1"/>
    <xf numFmtId="0" fontId="0" fillId="0" borderId="0" xfId="0" applyAlignment="1"/>
    <xf numFmtId="6" fontId="18" fillId="0" borderId="0" xfId="0" applyNumberFormat="1" applyFont="1" applyBorder="1" applyAlignment="1" applyProtection="1">
      <alignment horizontal="centerContinuous"/>
    </xf>
    <xf numFmtId="164" fontId="9" fillId="0" borderId="1" xfId="0" applyNumberFormat="1" applyFont="1" applyBorder="1" applyProtection="1"/>
    <xf numFmtId="164" fontId="9" fillId="0" borderId="1" xfId="0" applyNumberFormat="1" applyFont="1" applyBorder="1" applyAlignment="1" applyProtection="1"/>
    <xf numFmtId="6" fontId="18" fillId="0" borderId="0" xfId="0" applyNumberFormat="1" applyFont="1" applyBorder="1" applyAlignment="1" applyProtection="1">
      <alignment horizontal="center"/>
    </xf>
    <xf numFmtId="164" fontId="15" fillId="0" borderId="1" xfId="0" applyNumberFormat="1" applyFont="1" applyBorder="1" applyAlignment="1" applyProtection="1"/>
    <xf numFmtId="0" fontId="9" fillId="0" borderId="0" xfId="0" applyFont="1" applyAlignment="1"/>
    <xf numFmtId="6" fontId="18" fillId="0" borderId="0" xfId="0" applyNumberFormat="1" applyFont="1" applyBorder="1" applyAlignment="1" applyProtection="1">
      <alignment horizontal="left"/>
    </xf>
    <xf numFmtId="37" fontId="18" fillId="0" borderId="0" xfId="0" applyNumberFormat="1" applyFont="1" applyBorder="1" applyAlignment="1" applyProtection="1">
      <alignment horizontal="centerContinuous"/>
    </xf>
    <xf numFmtId="0" fontId="15" fillId="0" borderId="0" xfId="0" applyFont="1" applyAlignment="1"/>
    <xf numFmtId="6" fontId="18" fillId="0" borderId="0" xfId="0" applyNumberFormat="1" applyFont="1" applyBorder="1" applyAlignment="1" applyProtection="1">
      <alignment horizontal="right"/>
    </xf>
    <xf numFmtId="6" fontId="23" fillId="0" borderId="9" xfId="0" applyNumberFormat="1" applyFont="1" applyBorder="1" applyAlignment="1" applyProtection="1"/>
    <xf numFmtId="9" fontId="9" fillId="0" borderId="1" xfId="0" applyNumberFormat="1" applyFont="1" applyBorder="1" applyAlignment="1" applyProtection="1"/>
    <xf numFmtId="0" fontId="24" fillId="0" borderId="1" xfId="0" applyNumberFormat="1" applyFont="1" applyBorder="1" applyAlignment="1" applyProtection="1"/>
    <xf numFmtId="38" fontId="7" fillId="0" borderId="74" xfId="0" applyNumberFormat="1" applyFont="1" applyBorder="1" applyAlignment="1" applyProtection="1"/>
    <xf numFmtId="41" fontId="7" fillId="0" borderId="74" xfId="0" applyNumberFormat="1" applyFont="1" applyBorder="1" applyAlignment="1" applyProtection="1"/>
    <xf numFmtId="42" fontId="20" fillId="0" borderId="74" xfId="0" applyNumberFormat="1" applyFont="1" applyBorder="1" applyAlignment="1" applyProtection="1"/>
    <xf numFmtId="42" fontId="21" fillId="0" borderId="74" xfId="0" applyNumberFormat="1" applyFont="1" applyBorder="1" applyAlignment="1" applyProtection="1"/>
    <xf numFmtId="42" fontId="20" fillId="0" borderId="74" xfId="0" applyNumberFormat="1" applyFont="1" applyFill="1" applyBorder="1" applyAlignment="1" applyProtection="1"/>
    <xf numFmtId="42" fontId="21" fillId="0" borderId="74" xfId="0" applyNumberFormat="1" applyFont="1" applyFill="1" applyBorder="1" applyAlignment="1" applyProtection="1"/>
    <xf numFmtId="42" fontId="21" fillId="0" borderId="76" xfId="0" applyNumberFormat="1" applyFont="1" applyBorder="1" applyAlignment="1" applyProtection="1"/>
    <xf numFmtId="6" fontId="7" fillId="0" borderId="75" xfId="0" applyNumberFormat="1" applyFont="1" applyBorder="1" applyAlignment="1" applyProtection="1"/>
    <xf numFmtId="6" fontId="7" fillId="0" borderId="82" xfId="0" applyNumberFormat="1" applyFont="1" applyBorder="1" applyAlignment="1" applyProtection="1"/>
    <xf numFmtId="6" fontId="7" fillId="0" borderId="83" xfId="0" applyNumberFormat="1" applyFont="1" applyBorder="1" applyAlignment="1" applyProtection="1"/>
    <xf numFmtId="6" fontId="5" fillId="0" borderId="83" xfId="0" applyNumberFormat="1" applyFont="1" applyBorder="1" applyAlignment="1" applyProtection="1"/>
    <xf numFmtId="6" fontId="5" fillId="0" borderId="82" xfId="0" applyNumberFormat="1" applyFont="1" applyBorder="1" applyAlignment="1" applyProtection="1"/>
    <xf numFmtId="6" fontId="5" fillId="0" borderId="84" xfId="0" applyNumberFormat="1" applyFont="1" applyBorder="1" applyAlignment="1" applyProtection="1"/>
    <xf numFmtId="6" fontId="7" fillId="0" borderId="85" xfId="0" applyNumberFormat="1" applyFont="1" applyBorder="1" applyAlignment="1" applyProtection="1"/>
    <xf numFmtId="6" fontId="7" fillId="0" borderId="86" xfId="0" applyNumberFormat="1" applyFont="1" applyBorder="1" applyAlignment="1" applyProtection="1"/>
    <xf numFmtId="164" fontId="7" fillId="0" borderId="83" xfId="0" applyNumberFormat="1" applyFont="1" applyBorder="1" applyAlignment="1" applyProtection="1"/>
    <xf numFmtId="164" fontId="7" fillId="0" borderId="87" xfId="0" applyNumberFormat="1" applyFont="1" applyBorder="1" applyAlignment="1" applyProtection="1">
      <alignment horizontal="right"/>
    </xf>
    <xf numFmtId="6" fontId="7" fillId="0" borderId="88" xfId="0" applyNumberFormat="1" applyFont="1" applyBorder="1" applyAlignment="1" applyProtection="1"/>
    <xf numFmtId="6" fontId="7" fillId="0" borderId="4" xfId="0" applyNumberFormat="1" applyFont="1" applyFill="1" applyBorder="1" applyAlignment="1" applyProtection="1"/>
    <xf numFmtId="6" fontId="7" fillId="0" borderId="83" xfId="0" applyNumberFormat="1" applyFont="1" applyFill="1" applyBorder="1" applyAlignment="1" applyProtection="1"/>
    <xf numFmtId="6" fontId="5" fillId="0" borderId="83" xfId="0" applyNumberFormat="1" applyFont="1" applyFill="1" applyBorder="1" applyAlignment="1" applyProtection="1"/>
    <xf numFmtId="6" fontId="5" fillId="0" borderId="82" xfId="0" applyNumberFormat="1" applyFont="1" applyFill="1" applyBorder="1" applyAlignment="1" applyProtection="1"/>
    <xf numFmtId="6" fontId="7" fillId="0" borderId="82" xfId="0" applyNumberFormat="1" applyFont="1" applyFill="1" applyBorder="1" applyAlignment="1" applyProtection="1"/>
    <xf numFmtId="6" fontId="5" fillId="0" borderId="84" xfId="0" applyNumberFormat="1" applyFont="1" applyFill="1" applyBorder="1" applyAlignment="1" applyProtection="1"/>
    <xf numFmtId="6" fontId="7" fillId="0" borderId="89" xfId="0" applyNumberFormat="1" applyFont="1" applyBorder="1" applyAlignment="1" applyProtection="1"/>
    <xf numFmtId="6" fontId="5" fillId="0" borderId="88" xfId="0" applyNumberFormat="1" applyFont="1" applyBorder="1" applyAlignment="1" applyProtection="1"/>
    <xf numFmtId="6" fontId="5" fillId="0" borderId="90" xfId="0" applyNumberFormat="1" applyFont="1" applyBorder="1" applyAlignment="1" applyProtection="1"/>
    <xf numFmtId="6" fontId="7" fillId="0" borderId="91" xfId="0" applyNumberFormat="1" applyFont="1" applyBorder="1" applyAlignment="1" applyProtection="1"/>
    <xf numFmtId="6" fontId="7" fillId="0" borderId="92" xfId="0" applyNumberFormat="1" applyFont="1" applyBorder="1" applyAlignment="1" applyProtection="1"/>
    <xf numFmtId="6" fontId="7" fillId="0" borderId="0" xfId="0" applyNumberFormat="1" applyFont="1" applyBorder="1" applyAlignment="1" applyProtection="1"/>
    <xf numFmtId="6" fontId="7" fillId="0" borderId="93" xfId="0" applyNumberFormat="1" applyFont="1" applyBorder="1" applyAlignment="1" applyProtection="1"/>
    <xf numFmtId="6" fontId="5" fillId="0" borderId="94" xfId="0" applyNumberFormat="1" applyFont="1" applyBorder="1" applyAlignment="1" applyProtection="1"/>
    <xf numFmtId="6" fontId="7" fillId="0" borderId="10" xfId="0" applyNumberFormat="1" applyFont="1" applyBorder="1" applyAlignment="1" applyProtection="1"/>
    <xf numFmtId="6" fontId="7" fillId="0" borderId="95" xfId="0" applyNumberFormat="1" applyFont="1" applyBorder="1" applyAlignment="1" applyProtection="1"/>
    <xf numFmtId="0" fontId="7" fillId="0" borderId="96" xfId="0" applyNumberFormat="1" applyFont="1" applyBorder="1" applyAlignment="1" applyProtection="1"/>
    <xf numFmtId="166" fontId="7" fillId="0" borderId="7" xfId="2" applyNumberFormat="1" applyFont="1" applyBorder="1" applyAlignment="1" applyProtection="1"/>
    <xf numFmtId="43" fontId="7" fillId="0" borderId="7" xfId="1" applyFont="1" applyBorder="1" applyAlignment="1" applyProtection="1"/>
    <xf numFmtId="43" fontId="7" fillId="0" borderId="82" xfId="1" applyFont="1" applyBorder="1" applyAlignment="1" applyProtection="1"/>
    <xf numFmtId="43" fontId="7" fillId="0" borderId="83" xfId="1" applyFont="1" applyBorder="1" applyAlignment="1" applyProtection="1"/>
    <xf numFmtId="43" fontId="7" fillId="0" borderId="4" xfId="1" applyFont="1" applyBorder="1" applyAlignment="1" applyProtection="1"/>
    <xf numFmtId="166" fontId="5" fillId="0" borderId="83" xfId="2" applyNumberFormat="1" applyFont="1" applyBorder="1" applyAlignment="1" applyProtection="1"/>
    <xf numFmtId="43" fontId="5" fillId="0" borderId="4" xfId="1" applyFont="1" applyBorder="1" applyAlignment="1" applyProtection="1"/>
    <xf numFmtId="166" fontId="5" fillId="0" borderId="7" xfId="2" applyNumberFormat="1" applyFont="1" applyBorder="1" applyAlignment="1" applyProtection="1"/>
    <xf numFmtId="44" fontId="5" fillId="0" borderId="7" xfId="2" applyFont="1" applyBorder="1" applyAlignment="1" applyProtection="1"/>
    <xf numFmtId="44" fontId="7" fillId="0" borderId="83" xfId="2" applyFont="1" applyBorder="1" applyAlignment="1" applyProtection="1"/>
    <xf numFmtId="44" fontId="5" fillId="0" borderId="4" xfId="2" applyFont="1" applyBorder="1" applyAlignment="1" applyProtection="1"/>
    <xf numFmtId="44" fontId="5" fillId="0" borderId="10" xfId="2" applyFont="1" applyBorder="1" applyAlignment="1" applyProtection="1"/>
    <xf numFmtId="44" fontId="7" fillId="0" borderId="4" xfId="2" applyFont="1" applyBorder="1" applyAlignment="1" applyProtection="1"/>
    <xf numFmtId="166" fontId="5" fillId="0" borderId="4" xfId="2" applyNumberFormat="1" applyFont="1" applyBorder="1" applyAlignment="1" applyProtection="1"/>
    <xf numFmtId="167" fontId="7" fillId="0" borderId="83" xfId="1" applyNumberFormat="1" applyFont="1" applyBorder="1" applyAlignment="1" applyProtection="1"/>
    <xf numFmtId="166" fontId="5" fillId="0" borderId="82" xfId="2" applyNumberFormat="1" applyFont="1" applyBorder="1" applyAlignment="1" applyProtection="1"/>
    <xf numFmtId="167" fontId="7" fillId="0" borderId="82" xfId="1" applyNumberFormat="1" applyFont="1" applyBorder="1" applyAlignment="1" applyProtection="1"/>
    <xf numFmtId="167" fontId="7" fillId="0" borderId="4" xfId="1" applyNumberFormat="1" applyFont="1" applyBorder="1" applyAlignment="1" applyProtection="1"/>
    <xf numFmtId="167" fontId="7" fillId="0" borderId="7" xfId="1" applyNumberFormat="1" applyFont="1" applyBorder="1" applyAlignment="1" applyProtection="1"/>
    <xf numFmtId="44" fontId="5" fillId="0" borderId="82" xfId="2" applyFont="1" applyBorder="1" applyAlignment="1" applyProtection="1"/>
    <xf numFmtId="166" fontId="5" fillId="0" borderId="84" xfId="2" applyNumberFormat="1" applyFont="1" applyBorder="1" applyAlignment="1" applyProtection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_Analyst\Budget%202012\BOR%20Forms\LSUE_ElectronicSubmiss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_Analyst\Budget%202012\BOR%20Forms\final.HSC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5"/>
      <sheetName val="BOR-6"/>
      <sheetName val="ATH-1 Actual"/>
      <sheetName val="ATH-2-Actual"/>
      <sheetName val="ATH-1 10-11 Bgt"/>
      <sheetName val="ATH-2 10-11 Bgt"/>
      <sheetName val="ATH-1 11-12 Bgt"/>
      <sheetName val="ATH-2 11-12 Bgt"/>
      <sheetName val="BOR-ATH-3"/>
    </sheetNames>
    <sheetDataSet>
      <sheetData sheetId="0">
        <row r="2">
          <cell r="B2" t="str">
            <v>LSU Eunice</v>
          </cell>
        </row>
        <row r="7">
          <cell r="H7">
            <v>4773833</v>
          </cell>
          <cell r="J7">
            <v>5387935</v>
          </cell>
        </row>
        <row r="18">
          <cell r="H18">
            <v>957000</v>
          </cell>
          <cell r="J18">
            <v>960000</v>
          </cell>
        </row>
        <row r="22">
          <cell r="H22">
            <v>287550</v>
          </cell>
          <cell r="J22">
            <v>293550</v>
          </cell>
        </row>
        <row r="29">
          <cell r="H29">
            <v>-571415</v>
          </cell>
          <cell r="J29">
            <v>951415</v>
          </cell>
        </row>
        <row r="31">
          <cell r="H31">
            <v>6158180</v>
          </cell>
          <cell r="J31">
            <v>6001054</v>
          </cell>
        </row>
        <row r="37">
          <cell r="H37">
            <v>253270</v>
          </cell>
          <cell r="J37">
            <v>251562</v>
          </cell>
        </row>
        <row r="60">
          <cell r="H60">
            <v>0</v>
          </cell>
          <cell r="J60">
            <v>0</v>
          </cell>
        </row>
        <row r="68">
          <cell r="H68">
            <v>0</v>
          </cell>
          <cell r="J68">
            <v>0</v>
          </cell>
        </row>
        <row r="82">
          <cell r="H82">
            <v>1948366</v>
          </cell>
        </row>
        <row r="84">
          <cell r="H84">
            <v>1948366</v>
          </cell>
          <cell r="J84">
            <v>0</v>
          </cell>
        </row>
        <row r="95">
          <cell r="H95">
            <v>114592</v>
          </cell>
        </row>
      </sheetData>
      <sheetData sheetId="1">
        <row r="7">
          <cell r="H7">
            <v>4843442</v>
          </cell>
          <cell r="J7">
            <v>4733095</v>
          </cell>
        </row>
        <row r="8">
          <cell r="H8">
            <v>74935</v>
          </cell>
          <cell r="J8">
            <v>74695</v>
          </cell>
        </row>
        <row r="9">
          <cell r="H9">
            <v>1770323</v>
          </cell>
          <cell r="J9">
            <v>1951968</v>
          </cell>
        </row>
        <row r="12">
          <cell r="H12">
            <v>37142</v>
          </cell>
          <cell r="J12">
            <v>44461</v>
          </cell>
        </row>
        <row r="14">
          <cell r="H14">
            <v>100961</v>
          </cell>
          <cell r="J14">
            <v>100566</v>
          </cell>
        </row>
        <row r="16">
          <cell r="H16">
            <v>114034</v>
          </cell>
          <cell r="J16">
            <v>111663</v>
          </cell>
        </row>
        <row r="27">
          <cell r="H27">
            <v>3225</v>
          </cell>
          <cell r="J27">
            <v>2825</v>
          </cell>
        </row>
        <row r="29">
          <cell r="H29">
            <v>800</v>
          </cell>
          <cell r="J29">
            <v>650</v>
          </cell>
        </row>
        <row r="39">
          <cell r="H39">
            <v>56922</v>
          </cell>
          <cell r="J39">
            <v>59079</v>
          </cell>
        </row>
        <row r="44">
          <cell r="H44">
            <v>7001784</v>
          </cell>
          <cell r="J44">
            <v>7079002</v>
          </cell>
        </row>
      </sheetData>
      <sheetData sheetId="2">
        <row r="27">
          <cell r="F27">
            <v>0</v>
          </cell>
          <cell r="H27">
            <v>0</v>
          </cell>
          <cell r="J27">
            <v>0</v>
          </cell>
        </row>
        <row r="44">
          <cell r="H44">
            <v>0</v>
          </cell>
          <cell r="J44">
            <v>0</v>
          </cell>
        </row>
      </sheetData>
      <sheetData sheetId="3">
        <row r="27">
          <cell r="F27">
            <v>0</v>
          </cell>
          <cell r="H27">
            <v>0</v>
          </cell>
          <cell r="J27">
            <v>0</v>
          </cell>
        </row>
        <row r="44">
          <cell r="H44">
            <v>0</v>
          </cell>
          <cell r="J44">
            <v>0</v>
          </cell>
        </row>
      </sheetData>
      <sheetData sheetId="4">
        <row r="7">
          <cell r="H7">
            <v>371202</v>
          </cell>
          <cell r="J7">
            <v>371202</v>
          </cell>
        </row>
        <row r="8">
          <cell r="H8">
            <v>7500</v>
          </cell>
          <cell r="J8">
            <v>7500</v>
          </cell>
        </row>
        <row r="9">
          <cell r="H9">
            <v>135678</v>
          </cell>
          <cell r="J9">
            <v>153087</v>
          </cell>
        </row>
        <row r="12">
          <cell r="H12">
            <v>28750</v>
          </cell>
          <cell r="J12">
            <v>28750</v>
          </cell>
        </row>
        <row r="14">
          <cell r="H14">
            <v>7900</v>
          </cell>
          <cell r="J14">
            <v>7900</v>
          </cell>
        </row>
        <row r="16">
          <cell r="H16">
            <v>4716</v>
          </cell>
          <cell r="J16">
            <v>4716</v>
          </cell>
        </row>
        <row r="27">
          <cell r="H27">
            <v>0</v>
          </cell>
          <cell r="J27">
            <v>0</v>
          </cell>
        </row>
        <row r="31">
          <cell r="H31">
            <v>27500</v>
          </cell>
          <cell r="J31">
            <v>55000</v>
          </cell>
        </row>
        <row r="39">
          <cell r="H39">
            <v>4415</v>
          </cell>
          <cell r="J39">
            <v>4633</v>
          </cell>
        </row>
        <row r="43">
          <cell r="H43">
            <v>587661</v>
          </cell>
          <cell r="J43">
            <v>632788</v>
          </cell>
        </row>
      </sheetData>
      <sheetData sheetId="5">
        <row r="7">
          <cell r="H7">
            <v>671413</v>
          </cell>
          <cell r="J7">
            <v>679259</v>
          </cell>
        </row>
        <row r="8">
          <cell r="H8">
            <v>18234</v>
          </cell>
          <cell r="J8">
            <v>19800</v>
          </cell>
        </row>
        <row r="9">
          <cell r="H9">
            <v>245408</v>
          </cell>
          <cell r="J9">
            <v>280132</v>
          </cell>
        </row>
        <row r="12">
          <cell r="H12">
            <v>11300</v>
          </cell>
          <cell r="J12">
            <v>11300</v>
          </cell>
        </row>
        <row r="14">
          <cell r="H14">
            <v>48178</v>
          </cell>
          <cell r="J14">
            <v>48178</v>
          </cell>
        </row>
        <row r="16">
          <cell r="H16">
            <v>23545</v>
          </cell>
          <cell r="J16">
            <v>23545</v>
          </cell>
        </row>
        <row r="27">
          <cell r="H27">
            <v>0</v>
          </cell>
          <cell r="J27">
            <v>0</v>
          </cell>
        </row>
        <row r="39">
          <cell r="H39">
            <v>7985</v>
          </cell>
          <cell r="J39">
            <v>8479</v>
          </cell>
        </row>
        <row r="43">
          <cell r="H43">
            <v>1026063</v>
          </cell>
          <cell r="J43">
            <v>1070693</v>
          </cell>
        </row>
      </sheetData>
      <sheetData sheetId="6">
        <row r="7">
          <cell r="H7">
            <v>1102682</v>
          </cell>
          <cell r="J7">
            <v>1101087</v>
          </cell>
        </row>
        <row r="8">
          <cell r="H8">
            <v>26000</v>
          </cell>
          <cell r="J8">
            <v>25874</v>
          </cell>
        </row>
        <row r="9">
          <cell r="H9">
            <v>403040</v>
          </cell>
          <cell r="J9">
            <v>454098</v>
          </cell>
        </row>
        <row r="12">
          <cell r="H12">
            <v>24689</v>
          </cell>
          <cell r="J12">
            <v>25089</v>
          </cell>
        </row>
        <row r="14">
          <cell r="H14">
            <v>254640</v>
          </cell>
          <cell r="J14">
            <v>253472</v>
          </cell>
        </row>
        <row r="16">
          <cell r="H16">
            <v>262151</v>
          </cell>
          <cell r="J16">
            <v>262115</v>
          </cell>
        </row>
        <row r="27">
          <cell r="H27">
            <v>38600</v>
          </cell>
          <cell r="J27">
            <v>38600</v>
          </cell>
        </row>
        <row r="29">
          <cell r="H29">
            <v>84530</v>
          </cell>
          <cell r="J29">
            <v>85030</v>
          </cell>
        </row>
        <row r="39">
          <cell r="H39">
            <v>219122</v>
          </cell>
          <cell r="J39">
            <v>205779</v>
          </cell>
        </row>
        <row r="43">
          <cell r="H43">
            <v>2415454</v>
          </cell>
          <cell r="J43">
            <v>2451144</v>
          </cell>
        </row>
      </sheetData>
      <sheetData sheetId="7">
        <row r="27">
          <cell r="F27">
            <v>0</v>
          </cell>
          <cell r="H27">
            <v>0</v>
          </cell>
          <cell r="J27">
            <v>0</v>
          </cell>
        </row>
        <row r="29">
          <cell r="H29">
            <v>366431</v>
          </cell>
          <cell r="J29">
            <v>386360</v>
          </cell>
        </row>
        <row r="43">
          <cell r="H43">
            <v>366431</v>
          </cell>
          <cell r="J43">
            <v>386360</v>
          </cell>
        </row>
      </sheetData>
      <sheetData sheetId="8">
        <row r="7">
          <cell r="H7">
            <v>798595</v>
          </cell>
          <cell r="J7">
            <v>797906</v>
          </cell>
        </row>
        <row r="8">
          <cell r="H8">
            <v>4000</v>
          </cell>
          <cell r="J8">
            <v>2800</v>
          </cell>
        </row>
        <row r="9">
          <cell r="H9">
            <v>291894</v>
          </cell>
          <cell r="J9">
            <v>329063</v>
          </cell>
        </row>
        <row r="12">
          <cell r="H12">
            <v>2090</v>
          </cell>
          <cell r="J12">
            <v>1590</v>
          </cell>
        </row>
        <row r="14">
          <cell r="H14">
            <v>639043</v>
          </cell>
          <cell r="J14">
            <v>639543</v>
          </cell>
        </row>
        <row r="16">
          <cell r="H16">
            <v>155245</v>
          </cell>
          <cell r="J16">
            <v>155245</v>
          </cell>
        </row>
        <row r="27">
          <cell r="H27">
            <v>45000</v>
          </cell>
          <cell r="J27">
            <v>45000</v>
          </cell>
        </row>
        <row r="32">
          <cell r="H32">
            <v>205223</v>
          </cell>
          <cell r="J32">
            <v>94253</v>
          </cell>
        </row>
        <row r="39">
          <cell r="H39">
            <v>147727</v>
          </cell>
          <cell r="J39">
            <v>154147</v>
          </cell>
        </row>
        <row r="43">
          <cell r="H43">
            <v>2288817</v>
          </cell>
          <cell r="J43">
            <v>2219547</v>
          </cell>
        </row>
      </sheetData>
      <sheetData sheetId="9">
        <row r="27">
          <cell r="F27">
            <v>0</v>
          </cell>
          <cell r="H27">
            <v>0</v>
          </cell>
          <cell r="J27">
            <v>0</v>
          </cell>
        </row>
      </sheetData>
      <sheetData sheetId="10">
        <row r="27">
          <cell r="F27">
            <v>0</v>
          </cell>
          <cell r="H27">
            <v>0</v>
          </cell>
          <cell r="J27">
            <v>0</v>
          </cell>
        </row>
        <row r="39">
          <cell r="H39">
            <v>5982</v>
          </cell>
          <cell r="J39">
            <v>5982</v>
          </cell>
        </row>
        <row r="43">
          <cell r="H43">
            <v>5982</v>
          </cell>
          <cell r="J43">
            <v>5982</v>
          </cell>
        </row>
      </sheetData>
      <sheetData sheetId="11">
        <row r="21">
          <cell r="U21">
            <v>0</v>
          </cell>
          <cell r="V21">
            <v>0</v>
          </cell>
          <cell r="W21">
            <v>0</v>
          </cell>
        </row>
        <row r="23">
          <cell r="V23">
            <v>0</v>
          </cell>
          <cell r="W23">
            <v>0</v>
          </cell>
        </row>
        <row r="40">
          <cell r="AB40">
            <v>0</v>
          </cell>
          <cell r="AC40">
            <v>0</v>
          </cell>
        </row>
      </sheetData>
      <sheetData sheetId="12">
        <row r="27">
          <cell r="F27">
            <v>0</v>
          </cell>
          <cell r="H27">
            <v>0</v>
          </cell>
          <cell r="J27">
            <v>0</v>
          </cell>
        </row>
        <row r="43">
          <cell r="H43">
            <v>0</v>
          </cell>
          <cell r="J43">
            <v>0</v>
          </cell>
        </row>
      </sheetData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0-11 Bgt"/>
      <sheetName val="ATH-2 10-11 Bgt"/>
      <sheetName val="ATH-1 11-12 Bgt"/>
      <sheetName val="ATH-2 11-12 Bgt"/>
    </sheetNames>
    <sheetDataSet>
      <sheetData sheetId="0">
        <row r="7">
          <cell r="F7">
            <v>8188674.6900000013</v>
          </cell>
        </row>
        <row r="93">
          <cell r="F93">
            <v>202584</v>
          </cell>
        </row>
        <row r="95">
          <cell r="F95">
            <v>8646069</v>
          </cell>
          <cell r="H95">
            <v>926738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U13">
            <v>0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3"/>
  <sheetViews>
    <sheetView tabSelected="1" topLeftCell="A22" zoomScale="50" zoomScaleNormal="50" workbookViewId="0">
      <selection activeCell="B54" sqref="B54"/>
    </sheetView>
  </sheetViews>
  <sheetFormatPr defaultRowHeight="15.75"/>
  <cols>
    <col min="1" max="1" width="121.140625" style="75" customWidth="1"/>
    <col min="2" max="2" width="32.7109375" style="76" customWidth="1"/>
    <col min="3" max="4" width="32.85546875" style="76" customWidth="1"/>
    <col min="5" max="5" width="30.28515625" style="75" customWidth="1"/>
    <col min="6" max="6" width="25.140625" style="75" customWidth="1"/>
    <col min="7" max="16384" width="9.140625" style="75"/>
  </cols>
  <sheetData>
    <row r="1" spans="1:6" s="69" customFormat="1" ht="46.5">
      <c r="A1" s="1" t="s">
        <v>0</v>
      </c>
      <c r="D1" s="277" t="s">
        <v>1</v>
      </c>
      <c r="E1" s="4" t="s">
        <v>93</v>
      </c>
      <c r="F1" s="281"/>
    </row>
    <row r="2" spans="1:6" s="69" customFormat="1" ht="46.5">
      <c r="A2" s="1" t="s">
        <v>2</v>
      </c>
      <c r="B2" s="2"/>
      <c r="C2" s="2"/>
      <c r="D2" s="2"/>
      <c r="E2" s="67"/>
      <c r="F2" s="67"/>
    </row>
    <row r="3" spans="1:6" s="69" customFormat="1" ht="47.25" thickBot="1">
      <c r="A3" s="7" t="s">
        <v>3</v>
      </c>
      <c r="B3" s="8"/>
      <c r="C3" s="8"/>
      <c r="D3" s="8"/>
      <c r="E3" s="67"/>
      <c r="F3" s="67"/>
    </row>
    <row r="4" spans="1:6" s="70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71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70" customFormat="1" ht="26.25">
      <c r="A6" s="18" t="s">
        <v>14</v>
      </c>
      <c r="B6" s="28"/>
      <c r="C6" s="28"/>
      <c r="D6" s="28"/>
      <c r="E6" s="28"/>
      <c r="F6" s="20"/>
    </row>
    <row r="7" spans="1:6" s="70" customFormat="1" ht="26.25">
      <c r="A7" s="18" t="s">
        <v>15</v>
      </c>
      <c r="B7" s="19"/>
      <c r="C7" s="19"/>
      <c r="D7" s="19"/>
      <c r="E7" s="19"/>
      <c r="F7" s="21"/>
    </row>
    <row r="8" spans="1:6" s="70" customFormat="1" ht="26.25">
      <c r="A8" s="22" t="s">
        <v>16</v>
      </c>
      <c r="B8" s="23">
        <f>BOR!B8+LUMCON!B8+LOSFA!B8+'UL System'!B8+'LSU System'!B8+'SU System'!B8+'LCTC System'!B8</f>
        <v>1143070980.0599999</v>
      </c>
      <c r="C8" s="23">
        <f>BOR!C8+LUMCON!C8+LOSFA!C8+'UL System'!C8+'LSU System'!C8+'SU System'!C8+'LCTC System'!C8</f>
        <v>1145575821</v>
      </c>
      <c r="D8" s="23">
        <f>BOR!D8+LUMCON!D8+LOSFA!D8+'UL System'!D8+'LSU System'!D8+'SU System'!D8+'LCTC System'!D8</f>
        <v>1058273311</v>
      </c>
      <c r="E8" s="23">
        <f t="shared" ref="E8:E29" si="0">D8-C8</f>
        <v>-87302510</v>
      </c>
      <c r="F8" s="24">
        <f t="shared" ref="F8:F29" si="1">IF(ISBLANK(E8),"  ",IF(C8&gt;0,E8/C8,IF(E8&gt;0,1,0)))</f>
        <v>-7.6208408382599763E-2</v>
      </c>
    </row>
    <row r="9" spans="1:6" s="70" customFormat="1" ht="26.25">
      <c r="A9" s="22" t="s">
        <v>17</v>
      </c>
      <c r="B9" s="23">
        <v>0</v>
      </c>
      <c r="C9" s="23">
        <v>0</v>
      </c>
      <c r="D9" s="23">
        <v>0</v>
      </c>
      <c r="E9" s="23">
        <f t="shared" si="0"/>
        <v>0</v>
      </c>
      <c r="F9" s="24">
        <f t="shared" si="1"/>
        <v>0</v>
      </c>
    </row>
    <row r="10" spans="1:6" s="70" customFormat="1" ht="26.25">
      <c r="A10" s="25" t="s">
        <v>18</v>
      </c>
      <c r="B10" s="23">
        <f>SUM(B11:B29)</f>
        <v>140562658.53</v>
      </c>
      <c r="C10" s="23">
        <f>SUM(C11:C29)</f>
        <v>147008551</v>
      </c>
      <c r="D10" s="23">
        <f>SUM(D11:D29)</f>
        <v>231774247</v>
      </c>
      <c r="E10" s="23">
        <f t="shared" si="0"/>
        <v>84765696</v>
      </c>
      <c r="F10" s="24">
        <f t="shared" si="1"/>
        <v>0.57660384667011644</v>
      </c>
    </row>
    <row r="11" spans="1:6" s="70" customFormat="1" ht="26.25">
      <c r="A11" s="27" t="s">
        <v>19</v>
      </c>
      <c r="B11" s="23">
        <f>BOR!B11+LUMCON!B11+LOSFA!B11+'UL System'!B11+'LSU System'!B11+'SU System'!B11+'LCTC System'!B11</f>
        <v>699224.57</v>
      </c>
      <c r="C11" s="23">
        <f>BOR!C11+LUMCON!C11+LOSFA!C11+'UL System'!C11+'LSU System'!C11+'SU System'!C11+'LCTC System'!C11</f>
        <v>696369</v>
      </c>
      <c r="D11" s="23">
        <f>BOR!D11+LUMCON!D11+LOSFA!D11+'UL System'!D11+'LSU System'!D11+'SU System'!D11+'LCTC System'!D11</f>
        <v>113600</v>
      </c>
      <c r="E11" s="23">
        <f t="shared" si="0"/>
        <v>-582769</v>
      </c>
      <c r="F11" s="24">
        <f t="shared" si="1"/>
        <v>-0.8368680972300605</v>
      </c>
    </row>
    <row r="12" spans="1:6" s="70" customFormat="1" ht="26.25">
      <c r="A12" s="29" t="s">
        <v>20</v>
      </c>
      <c r="B12" s="23">
        <f>BOR!B12+LUMCON!B12+LOSFA!B12+'UL System'!B12+'LSU System'!B12+'SU System'!B12+'LCTC System'!B12</f>
        <v>43372291.960000001</v>
      </c>
      <c r="C12" s="23">
        <f>BOR!C12+LUMCON!C12+LOSFA!C12+'UL System'!C12+'LSU System'!C12+'SU System'!C12+'LCTC System'!C12</f>
        <v>43538581</v>
      </c>
      <c r="D12" s="23">
        <f>BOR!D12+LUMCON!D12+LOSFA!D12+'UL System'!D12+'LSU System'!D12+'SU System'!D12+'LCTC System'!D12</f>
        <v>43870050</v>
      </c>
      <c r="E12" s="23">
        <f t="shared" si="0"/>
        <v>331469</v>
      </c>
      <c r="F12" s="24">
        <f t="shared" si="1"/>
        <v>7.6132246937492057E-3</v>
      </c>
    </row>
    <row r="13" spans="1:6" s="70" customFormat="1" ht="26.25">
      <c r="A13" s="29" t="s">
        <v>21</v>
      </c>
      <c r="B13" s="23">
        <f>BOR!B13+LUMCON!B13+LOSFA!B13+'UL System'!B13+'LSU System'!B13+'SU System'!B13+'LCTC System'!B13</f>
        <v>25806917</v>
      </c>
      <c r="C13" s="23">
        <f>BOR!C13+LUMCON!C13+LOSFA!C13+'UL System'!C13+'LSU System'!C13+'SU System'!C13+'LCTC System'!C13</f>
        <v>25806917</v>
      </c>
      <c r="D13" s="23">
        <f>BOR!D13+LUMCON!D13+LOSFA!D13+'UL System'!D13+'LSU System'!D13+'SU System'!D13+'LCTC System'!D13</f>
        <v>26813669</v>
      </c>
      <c r="E13" s="23">
        <f t="shared" si="0"/>
        <v>1006752</v>
      </c>
      <c r="F13" s="24">
        <f t="shared" si="1"/>
        <v>3.9010936486524136E-2</v>
      </c>
    </row>
    <row r="14" spans="1:6" s="70" customFormat="1" ht="26.25">
      <c r="A14" s="29" t="s">
        <v>22</v>
      </c>
      <c r="B14" s="23">
        <f>BOR!B14+LUMCON!B14+LOSFA!B14+'UL System'!B14+'LSU System'!B14+'SU System'!B14+'LCTC System'!B14</f>
        <v>700805</v>
      </c>
      <c r="C14" s="23">
        <f>BOR!C14+LUMCON!C14+LOSFA!C14+'UL System'!C14+'LSU System'!C14+'SU System'!C14+'LCTC System'!C14</f>
        <v>700805</v>
      </c>
      <c r="D14" s="23">
        <f>BOR!D14+LUMCON!D14+LOSFA!D14+'UL System'!D14+'LSU System'!D14+'SU System'!D14+'LCTC System'!D14</f>
        <v>700805</v>
      </c>
      <c r="E14" s="23">
        <f t="shared" si="0"/>
        <v>0</v>
      </c>
      <c r="F14" s="24">
        <f t="shared" si="1"/>
        <v>0</v>
      </c>
    </row>
    <row r="15" spans="1:6" s="70" customFormat="1" ht="26.25">
      <c r="A15" s="29" t="s">
        <v>23</v>
      </c>
      <c r="B15" s="23">
        <f>BOR!B15+LUMCON!B15+LOSFA!B15+'UL System'!B15+'LSU System'!B15+'SU System'!B15+'LCTC System'!B15</f>
        <v>0</v>
      </c>
      <c r="C15" s="23">
        <f>BOR!C15+LUMCON!C15+LOSFA!C15+'UL System'!C15+'LSU System'!C15+'SU System'!C15+'LCTC System'!C15</f>
        <v>0</v>
      </c>
      <c r="D15" s="23">
        <f>BOR!D15+LUMCON!D15+LOSFA!D15+'UL System'!D15+'LSU System'!D15+'SU System'!D15+'LCTC System'!D15</f>
        <v>150000</v>
      </c>
      <c r="E15" s="23">
        <f t="shared" si="0"/>
        <v>150000</v>
      </c>
      <c r="F15" s="24">
        <f t="shared" si="1"/>
        <v>1</v>
      </c>
    </row>
    <row r="16" spans="1:6" s="70" customFormat="1" ht="26.25">
      <c r="A16" s="29" t="s">
        <v>24</v>
      </c>
      <c r="B16" s="23">
        <f>BOR!B16+LUMCON!B16+LOSFA!B16+'UL System'!B16+'LSU System'!B16+'SU System'!B16+'LCTC System'!B16</f>
        <v>50000</v>
      </c>
      <c r="C16" s="23">
        <f>BOR!C16+LUMCON!C16+LOSFA!C16+'UL System'!C16+'LSU System'!C16+'SU System'!C16+'LCTC System'!C16</f>
        <v>50000</v>
      </c>
      <c r="D16" s="23">
        <f>BOR!D16+LUMCON!D16+LOSFA!D16+'UL System'!D16+'LSU System'!D16+'SU System'!D16+'LCTC System'!D16</f>
        <v>50000</v>
      </c>
      <c r="E16" s="23">
        <f t="shared" si="0"/>
        <v>0</v>
      </c>
      <c r="F16" s="24">
        <f t="shared" si="1"/>
        <v>0</v>
      </c>
    </row>
    <row r="17" spans="1:6" s="70" customFormat="1" ht="26.25">
      <c r="A17" s="29" t="s">
        <v>25</v>
      </c>
      <c r="B17" s="23">
        <f>BOR!B17+LUMCON!B17+LOSFA!B17+'UL System'!B17+'LSU System'!B17+'SU System'!B17+'LCTC System'!B17</f>
        <v>750000</v>
      </c>
      <c r="C17" s="23">
        <f>BOR!C17+LUMCON!C17+LOSFA!C17+'UL System'!C17+'LSU System'!C17+'SU System'!C17+'LCTC System'!C17</f>
        <v>750000</v>
      </c>
      <c r="D17" s="23">
        <f>BOR!D17+LUMCON!D17+LOSFA!D17+'UL System'!D17+'LSU System'!D17+'SU System'!D17+'LCTC System'!D17</f>
        <v>750000</v>
      </c>
      <c r="E17" s="23">
        <f t="shared" si="0"/>
        <v>0</v>
      </c>
      <c r="F17" s="24">
        <f t="shared" si="1"/>
        <v>0</v>
      </c>
    </row>
    <row r="18" spans="1:6" s="70" customFormat="1" ht="26.25">
      <c r="A18" s="29" t="s">
        <v>26</v>
      </c>
      <c r="B18" s="23">
        <f>BOR!B18+LUMCON!B18+LOSFA!B18+'UL System'!B18+'LSU System'!B18+'SU System'!B18+'LCTC System'!B18</f>
        <v>750000</v>
      </c>
      <c r="C18" s="23">
        <f>BOR!C18+LUMCON!C18+LOSFA!C18+'UL System'!C18+'LSU System'!C18+'SU System'!C18+'LCTC System'!C18</f>
        <v>750000</v>
      </c>
      <c r="D18" s="23">
        <f>BOR!D18+LUMCON!D18+LOSFA!D18+'UL System'!D18+'LSU System'!D18+'SU System'!D18+'LCTC System'!D18</f>
        <v>750000</v>
      </c>
      <c r="E18" s="23">
        <f t="shared" si="0"/>
        <v>0</v>
      </c>
      <c r="F18" s="24">
        <f t="shared" si="1"/>
        <v>0</v>
      </c>
    </row>
    <row r="19" spans="1:6" s="70" customFormat="1" ht="26.25">
      <c r="A19" s="29" t="s">
        <v>27</v>
      </c>
      <c r="B19" s="23">
        <f>BOR!B19+LUMCON!B19+LOSFA!B19+'UL System'!B19+'LSU System'!B19+'SU System'!B19+'LCTC System'!B19</f>
        <v>3001837</v>
      </c>
      <c r="C19" s="23">
        <f>BOR!C19+LUMCON!C19+LOSFA!C19+'UL System'!C19+'LSU System'!C19+'SU System'!C19+'LCTC System'!C19</f>
        <v>3523950</v>
      </c>
      <c r="D19" s="23">
        <f>BOR!D19+LUMCON!D19+LOSFA!D19+'UL System'!D19+'LSU System'!D19+'SU System'!D19+'LCTC System'!D19</f>
        <v>3200000</v>
      </c>
      <c r="E19" s="23">
        <f t="shared" si="0"/>
        <v>-323950</v>
      </c>
      <c r="F19" s="24">
        <f t="shared" si="1"/>
        <v>-9.1928092055789667E-2</v>
      </c>
    </row>
    <row r="20" spans="1:6" s="70" customFormat="1" ht="26.25">
      <c r="A20" s="29" t="s">
        <v>28</v>
      </c>
      <c r="B20" s="23">
        <f>BOR!B20+LUMCON!B20+LOSFA!B20+'UL System'!B20+'LSU System'!B20+'SU System'!B20+'LCTC System'!B20</f>
        <v>210000</v>
      </c>
      <c r="C20" s="23">
        <f>BOR!C20+LUMCON!C20+LOSFA!C20+'UL System'!C20+'LSU System'!C20+'SU System'!C20+'LCTC System'!C20</f>
        <v>210000</v>
      </c>
      <c r="D20" s="23">
        <f>BOR!D20+LUMCON!D20+LOSFA!D20+'UL System'!D20+'LSU System'!D20+'SU System'!D20+'LCTC System'!D20</f>
        <v>210000</v>
      </c>
      <c r="E20" s="23">
        <f t="shared" si="0"/>
        <v>0</v>
      </c>
      <c r="F20" s="24">
        <f t="shared" si="1"/>
        <v>0</v>
      </c>
    </row>
    <row r="21" spans="1:6" s="70" customFormat="1" ht="26.25">
      <c r="A21" s="29" t="s">
        <v>29</v>
      </c>
      <c r="B21" s="23">
        <f>BOR!B21+LUMCON!B21+LOSFA!B21+'UL System'!B21+'LSU System'!B21+'SU System'!B21+'LCTC System'!B21</f>
        <v>0</v>
      </c>
      <c r="C21" s="23">
        <f>BOR!C21+LUMCON!C21+LOSFA!C21+'UL System'!C21+'LSU System'!C21+'SU System'!C21+'LCTC System'!C21</f>
        <v>0</v>
      </c>
      <c r="D21" s="23">
        <f>BOR!D21+LUMCON!D21+LOSFA!D21+'UL System'!D21+'LSU System'!D21+'SU System'!D21+'LCTC System'!D21</f>
        <v>0</v>
      </c>
      <c r="E21" s="23">
        <f t="shared" si="0"/>
        <v>0</v>
      </c>
      <c r="F21" s="24">
        <f t="shared" si="1"/>
        <v>0</v>
      </c>
    </row>
    <row r="22" spans="1:6" s="70" customFormat="1" ht="26.25">
      <c r="A22" s="29" t="s">
        <v>30</v>
      </c>
      <c r="B22" s="23">
        <f>BOR!B22+LUMCON!B22+LOSFA!B22+'UL System'!B22+'LSU System'!B22+'SU System'!B22+'LCTC System'!B22</f>
        <v>30572300</v>
      </c>
      <c r="C22" s="23">
        <f>BOR!C22+LUMCON!C22+LOSFA!C22+'UL System'!C22+'LSU System'!C22+'SU System'!C22+'LCTC System'!C22</f>
        <v>36000000</v>
      </c>
      <c r="D22" s="23">
        <f>BOR!D22+LUMCON!D22+LOSFA!D22+'UL System'!D22+'LSU System'!D22+'SU System'!D22+'LCTC System'!D22</f>
        <v>29730000</v>
      </c>
      <c r="E22" s="23">
        <f t="shared" si="0"/>
        <v>-6270000</v>
      </c>
      <c r="F22" s="24">
        <f t="shared" si="1"/>
        <v>-0.17416666666666666</v>
      </c>
    </row>
    <row r="23" spans="1:6" s="70" customFormat="1" ht="26.25">
      <c r="A23" s="256" t="s">
        <v>31</v>
      </c>
      <c r="B23" s="23">
        <f>BOR!B23+LUMCON!B23+LOSFA!B23+'UL System'!B23+'LSU System'!B23+'SU System'!B23+'LCTC System'!B23</f>
        <v>67354</v>
      </c>
      <c r="C23" s="23">
        <f>BOR!C23+LUMCON!C23+LOSFA!C23+'UL System'!C23+'LSU System'!C23+'SU System'!C23+'LCTC System'!C23</f>
        <v>400000</v>
      </c>
      <c r="D23" s="23">
        <f>BOR!D23+LUMCON!D23+LOSFA!D23+'UL System'!D23+'LSU System'!D23+'SU System'!D23+'LCTC System'!D23</f>
        <v>400000</v>
      </c>
      <c r="E23" s="23">
        <f t="shared" si="0"/>
        <v>0</v>
      </c>
      <c r="F23" s="24">
        <f t="shared" si="1"/>
        <v>0</v>
      </c>
    </row>
    <row r="24" spans="1:6" s="70" customFormat="1" ht="26.25">
      <c r="A24" s="256" t="s">
        <v>32</v>
      </c>
      <c r="B24" s="23">
        <f>BOR!B24+LUMCON!B24+LOSFA!B24+'UL System'!B24+'LSU System'!B24+'SU System'!B24+'LCTC System'!B24</f>
        <v>10000000</v>
      </c>
      <c r="C24" s="23">
        <f>BOR!C24+LUMCON!C24+LOSFA!C24+'UL System'!C24+'LSU System'!C24+'SU System'!C24+'LCTC System'!C24</f>
        <v>10000000</v>
      </c>
      <c r="D24" s="23">
        <f>BOR!D24+LUMCON!D24+LOSFA!D24+'UL System'!D24+'LSU System'!D24+'SU System'!D24+'LCTC System'!D24</f>
        <v>10000000</v>
      </c>
      <c r="E24" s="23">
        <f t="shared" si="0"/>
        <v>0</v>
      </c>
      <c r="F24" s="24">
        <f t="shared" si="1"/>
        <v>0</v>
      </c>
    </row>
    <row r="25" spans="1:6" s="70" customFormat="1" ht="26.25">
      <c r="A25" s="256" t="s">
        <v>33</v>
      </c>
      <c r="B25" s="23">
        <f>BOR!B25+LUMCON!B25+LOSFA!B25+'UL System'!B25+'LSU System'!B25+'SU System'!B25+'LCTC System'!B25</f>
        <v>60000</v>
      </c>
      <c r="C25" s="23">
        <f>BOR!C25+LUMCON!C25+LOSFA!C25+'UL System'!C25+'LSU System'!C25+'SU System'!C25+'LCTC System'!C25</f>
        <v>60000</v>
      </c>
      <c r="D25" s="23">
        <f>BOR!D25+LUMCON!D25+LOSFA!D25+'UL System'!D25+'LSU System'!D25+'SU System'!D25+'LCTC System'!D25</f>
        <v>60000</v>
      </c>
      <c r="E25" s="23">
        <f t="shared" si="0"/>
        <v>0</v>
      </c>
      <c r="F25" s="24">
        <f t="shared" si="1"/>
        <v>0</v>
      </c>
    </row>
    <row r="26" spans="1:6" s="70" customFormat="1" ht="26.25">
      <c r="A26" s="256" t="s">
        <v>34</v>
      </c>
      <c r="B26" s="23">
        <f>BOR!B26+LUMCON!B26+LOSFA!B26+'UL System'!B26+'LSU System'!B26+'SU System'!B26+'LCTC System'!B26</f>
        <v>0</v>
      </c>
      <c r="C26" s="23">
        <f>BOR!C26+LUMCON!C26+LOSFA!C26+'UL System'!C26+'LSU System'!C26+'SU System'!C26+'LCTC System'!C26</f>
        <v>0</v>
      </c>
      <c r="D26" s="23">
        <f>BOR!D26+LUMCON!D26+LOSFA!D26+'UL System'!D26+'LSU System'!D26+'SU System'!D26+'LCTC System'!D26</f>
        <v>1465980</v>
      </c>
      <c r="E26" s="23">
        <f t="shared" si="0"/>
        <v>1465980</v>
      </c>
      <c r="F26" s="24">
        <f t="shared" si="1"/>
        <v>1</v>
      </c>
    </row>
    <row r="27" spans="1:6" s="70" customFormat="1" ht="26.25">
      <c r="A27" s="256" t="s">
        <v>35</v>
      </c>
      <c r="B27" s="23">
        <f>BOR!B27+LUMCON!B27+LOSFA!B27+'UL System'!B27+'LSU System'!B27+'SU System'!B27+'LCTC System'!B27</f>
        <v>16038929</v>
      </c>
      <c r="C27" s="23">
        <f>BOR!C27+LUMCON!C27+LOSFA!C27+'UL System'!C27+'LSU System'!C27+'SU System'!C27+'LCTC System'!C27</f>
        <v>16038929</v>
      </c>
      <c r="D27" s="23">
        <f>BOR!D27+LUMCON!D27+LOSFA!D27+'UL System'!D27+'LSU System'!D27+'SU System'!D27+'LCTC System'!D27</f>
        <v>15924186</v>
      </c>
      <c r="E27" s="23">
        <f t="shared" si="0"/>
        <v>-114743</v>
      </c>
      <c r="F27" s="24">
        <f t="shared" si="1"/>
        <v>-7.1540312947329585E-3</v>
      </c>
    </row>
    <row r="28" spans="1:6" s="70" customFormat="1" ht="26.25">
      <c r="A28" s="256" t="s">
        <v>36</v>
      </c>
      <c r="B28" s="23">
        <f>BOR!B28+LUMCON!B28+LOSFA!B28+'UL System'!B28+'LSU System'!B28+'SU System'!B28+'LCTC System'!B28</f>
        <v>8483000</v>
      </c>
      <c r="C28" s="23">
        <f>BOR!C28+LUMCON!C28+LOSFA!C28+'UL System'!C28+'LSU System'!C28+'SU System'!C28+'LCTC System'!C28</f>
        <v>8483000</v>
      </c>
      <c r="D28" s="23">
        <f>BOR!D28+LUMCON!D28+LOSFA!D28+'UL System'!D28+'LSU System'!D28+'SU System'!D28+'LCTC System'!D28</f>
        <v>97385957</v>
      </c>
      <c r="E28" s="23">
        <f t="shared" si="0"/>
        <v>88902957</v>
      </c>
      <c r="F28" s="24">
        <f t="shared" si="1"/>
        <v>10.480131675114936</v>
      </c>
    </row>
    <row r="29" spans="1:6" s="70" customFormat="1" ht="26.25">
      <c r="A29" s="267" t="s">
        <v>144</v>
      </c>
      <c r="B29" s="28">
        <f>BOR!B29</f>
        <v>0</v>
      </c>
      <c r="C29" s="28">
        <f>BOR!C29</f>
        <v>0</v>
      </c>
      <c r="D29" s="28">
        <f>BOR!D29</f>
        <v>200000</v>
      </c>
      <c r="E29" s="23">
        <f t="shared" si="0"/>
        <v>200000</v>
      </c>
      <c r="F29" s="24">
        <f t="shared" si="1"/>
        <v>1</v>
      </c>
    </row>
    <row r="30" spans="1:6" s="70" customFormat="1" ht="26.25">
      <c r="A30" s="31" t="s">
        <v>37</v>
      </c>
      <c r="B30" s="28"/>
      <c r="C30" s="28"/>
      <c r="D30" s="28"/>
      <c r="E30" s="28"/>
      <c r="F30" s="20"/>
    </row>
    <row r="31" spans="1:6" s="70" customFormat="1" ht="26.25">
      <c r="A31" s="27" t="s">
        <v>38</v>
      </c>
      <c r="B31" s="23">
        <f>BOR!B31+LUMCON!B30+LOSFA!B30+'UL System'!B30+'LSU System'!B30+'SU System'!B30+'LCTC System'!B30</f>
        <v>0</v>
      </c>
      <c r="C31" s="23">
        <f>BOR!C31+LUMCON!C30+LOSFA!C30+'UL System'!C30+'LSU System'!C30+'SU System'!C30+'LCTC System'!C30</f>
        <v>0</v>
      </c>
      <c r="D31" s="23">
        <f>BOR!D31+LUMCON!D30+LOSFA!D30+'UL System'!D30+'LSU System'!D30+'SU System'!D30+'LCTC System'!D30</f>
        <v>0</v>
      </c>
      <c r="E31" s="23">
        <f>D31-C31</f>
        <v>0</v>
      </c>
      <c r="F31" s="24">
        <f>IF(ISBLANK(E31),"  ",IF(C31&gt;0,E31/C31,IF(E31&gt;0,1,0)))</f>
        <v>0</v>
      </c>
    </row>
    <row r="32" spans="1:6" s="70" customFormat="1" ht="26.25">
      <c r="A32" s="32" t="s">
        <v>39</v>
      </c>
      <c r="B32" s="28"/>
      <c r="C32" s="28"/>
      <c r="D32" s="28"/>
      <c r="E32" s="28"/>
      <c r="F32" s="20"/>
    </row>
    <row r="33" spans="1:10" s="70" customFormat="1" ht="26.25">
      <c r="A33" s="27" t="s">
        <v>38</v>
      </c>
      <c r="B33" s="23">
        <f>BOR!B33+LUMCON!B32+LOSFA!B32+'UL System'!B32+'LSU System'!B32+'SU System'!B32+'LCTC System'!B32</f>
        <v>0</v>
      </c>
      <c r="C33" s="23">
        <f>BOR!C33+LUMCON!C32+LOSFA!C32+'UL System'!C32+'LSU System'!C32+'SU System'!C32+'LCTC System'!C32</f>
        <v>0</v>
      </c>
      <c r="D33" s="23">
        <f>BOR!D33+LUMCON!D32+LOSFA!D32+'UL System'!D32+'LSU System'!D32+'SU System'!D32+'LCTC System'!D32</f>
        <v>0</v>
      </c>
      <c r="E33" s="23">
        <f>D33-C33</f>
        <v>0</v>
      </c>
      <c r="F33" s="24">
        <f>IF(ISBLANK(E33),"  ",IF(C33&gt;0,E33/C33,IF(E33&gt;0,1,0)))</f>
        <v>0</v>
      </c>
    </row>
    <row r="34" spans="1:10" s="70" customFormat="1" ht="26.25">
      <c r="A34" s="29" t="s">
        <v>40</v>
      </c>
      <c r="B34" s="28"/>
      <c r="C34" s="28"/>
      <c r="D34" s="28"/>
      <c r="E34" s="255"/>
      <c r="F34" s="24" t="s">
        <v>41</v>
      </c>
    </row>
    <row r="35" spans="1:10" s="72" customFormat="1" ht="26.25">
      <c r="A35" s="257" t="s">
        <v>42</v>
      </c>
      <c r="B35" s="34">
        <f>B34+B33+B31+B10+B8</f>
        <v>1283633638.5899999</v>
      </c>
      <c r="C35" s="34">
        <f>C34+C33+C31+C10+C8</f>
        <v>1292584372</v>
      </c>
      <c r="D35" s="34">
        <f>D34+D33+D31+D10+D8</f>
        <v>1290047558</v>
      </c>
      <c r="E35" s="42">
        <f>D35-C35</f>
        <v>-2536814</v>
      </c>
      <c r="F35" s="35">
        <f>IF(ISBLANK(E35),"  ",IF(C35&gt;0,E35/C35,IF(E35&gt;0,1,0)))</f>
        <v>-1.9625906478157543E-3</v>
      </c>
    </row>
    <row r="36" spans="1:10" s="70" customFormat="1" ht="26.25">
      <c r="A36" s="31" t="s">
        <v>43</v>
      </c>
      <c r="B36" s="28"/>
      <c r="C36" s="28"/>
      <c r="D36" s="28"/>
      <c r="E36" s="28"/>
      <c r="F36" s="20"/>
    </row>
    <row r="37" spans="1:10" s="70" customFormat="1" ht="26.25">
      <c r="A37" s="37" t="s">
        <v>44</v>
      </c>
      <c r="B37" s="23">
        <f>BOR!B37+LUMCON!B36+LOSFA!B36+'UL System'!B36+'LSU System'!B36+'SU System'!B36+'LCTC System'!B36</f>
        <v>0</v>
      </c>
      <c r="C37" s="23">
        <f>BOR!C37+LUMCON!C36+LOSFA!C36+'UL System'!C36+'LSU System'!C36+'SU System'!C36+'LCTC System'!C36</f>
        <v>0</v>
      </c>
      <c r="D37" s="23">
        <f>BOR!D37+LUMCON!D36+LOSFA!D36+'UL System'!D36+'LSU System'!D36+'SU System'!D36+'LCTC System'!D36</f>
        <v>0</v>
      </c>
      <c r="E37" s="23">
        <f t="shared" ref="E37:E42" si="2">D37-C37</f>
        <v>0</v>
      </c>
      <c r="F37" s="24">
        <f t="shared" ref="F37:F42" si="3">IF(ISBLANK(E37),"  ",IF(C37&gt;0,E37/C37,IF(E37&gt;0,1,0)))</f>
        <v>0</v>
      </c>
    </row>
    <row r="38" spans="1:10" s="70" customFormat="1" ht="26.25">
      <c r="A38" s="258" t="s">
        <v>45</v>
      </c>
      <c r="B38" s="23">
        <f>BOR!B38+LUMCON!B37+LOSFA!B37+'UL System'!B37+'LSU System'!B37+'SU System'!B37+'LCTC System'!B37</f>
        <v>0</v>
      </c>
      <c r="C38" s="23">
        <f>BOR!C38+LUMCON!C37+LOSFA!C37+'UL System'!C37+'LSU System'!C37+'SU System'!C37+'LCTC System'!C37</f>
        <v>0</v>
      </c>
      <c r="D38" s="23">
        <f>BOR!D38+LUMCON!D37+LOSFA!D37+'UL System'!D37+'LSU System'!D37+'SU System'!D37+'LCTC System'!D37</f>
        <v>0</v>
      </c>
      <c r="E38" s="23">
        <f t="shared" si="2"/>
        <v>0</v>
      </c>
      <c r="F38" s="24">
        <f t="shared" si="3"/>
        <v>0</v>
      </c>
    </row>
    <row r="39" spans="1:10" s="70" customFormat="1" ht="26.25">
      <c r="A39" s="258" t="s">
        <v>46</v>
      </c>
      <c r="B39" s="23">
        <f>BOR!B39+LUMCON!B38+LOSFA!B38+'UL System'!B38+'LSU System'!B38+'SU System'!B38+'LCTC System'!B38</f>
        <v>62451011</v>
      </c>
      <c r="C39" s="23">
        <f>BOR!C39+LUMCON!C38+LOSFA!C38+'UL System'!C38+'LSU System'!C38+'SU System'!C38+'LCTC System'!C38</f>
        <v>0</v>
      </c>
      <c r="D39" s="23">
        <f>BOR!D39+LUMCON!D38+LOSFA!D38+'UL System'!D38+'LSU System'!D38+'SU System'!D38+'LCTC System'!D38</f>
        <v>0</v>
      </c>
      <c r="E39" s="23">
        <f t="shared" si="2"/>
        <v>0</v>
      </c>
      <c r="F39" s="24">
        <f t="shared" si="3"/>
        <v>0</v>
      </c>
    </row>
    <row r="40" spans="1:10" s="70" customFormat="1" ht="26.25">
      <c r="A40" s="258" t="s">
        <v>47</v>
      </c>
      <c r="B40" s="23">
        <f>BOR!B40+LUMCON!B39+LOSFA!B39+'UL System'!B39+'LSU System'!B39+'SU System'!B39+'LCTC System'!B39</f>
        <v>0</v>
      </c>
      <c r="C40" s="23">
        <f>BOR!C40+LUMCON!C39+LOSFA!C39+'UL System'!C39+'LSU System'!C39+'SU System'!C39+'LCTC System'!C39</f>
        <v>0</v>
      </c>
      <c r="D40" s="23">
        <f>BOR!D40+LUMCON!D39+LOSFA!D39+'UL System'!D39+'LSU System'!D39+'SU System'!D39+'LCTC System'!D39</f>
        <v>0</v>
      </c>
      <c r="E40" s="23">
        <f t="shared" si="2"/>
        <v>0</v>
      </c>
      <c r="F40" s="24">
        <f t="shared" si="3"/>
        <v>0</v>
      </c>
    </row>
    <row r="41" spans="1:10" s="70" customFormat="1" ht="26.25">
      <c r="A41" s="39" t="s">
        <v>48</v>
      </c>
      <c r="B41" s="23">
        <f>BOR!B41+LUMCON!B40+LOSFA!B40+'UL System'!B40+'LSU System'!B40+'SU System'!B40+'LCTC System'!B40</f>
        <v>0</v>
      </c>
      <c r="C41" s="23">
        <f>BOR!C41+LUMCON!C40+LOSFA!C40+'UL System'!C40+'LSU System'!C40+'SU System'!C40+'LCTC System'!C40</f>
        <v>0</v>
      </c>
      <c r="D41" s="23">
        <f>BOR!D41+LUMCON!D40+LOSFA!D40+'UL System'!D40+'LSU System'!D40+'SU System'!D40+'LCTC System'!D40</f>
        <v>0</v>
      </c>
      <c r="E41" s="23">
        <f t="shared" si="2"/>
        <v>0</v>
      </c>
      <c r="F41" s="24">
        <f t="shared" si="3"/>
        <v>0</v>
      </c>
    </row>
    <row r="42" spans="1:10" s="72" customFormat="1" ht="26.25">
      <c r="A42" s="31" t="s">
        <v>49</v>
      </c>
      <c r="B42" s="40">
        <f>SUM(B37:B41)</f>
        <v>62451011</v>
      </c>
      <c r="C42" s="40">
        <f>SUM(C37:C41)</f>
        <v>0</v>
      </c>
      <c r="D42" s="40">
        <f>SUM(D37:D41)</f>
        <v>0</v>
      </c>
      <c r="E42" s="23">
        <f t="shared" si="2"/>
        <v>0</v>
      </c>
      <c r="F42" s="24">
        <f t="shared" si="3"/>
        <v>0</v>
      </c>
      <c r="J42" s="72" t="s">
        <v>50</v>
      </c>
    </row>
    <row r="43" spans="1:10" s="70" customFormat="1" ht="26.25">
      <c r="A43" s="29" t="s">
        <v>50</v>
      </c>
      <c r="B43" s="28"/>
      <c r="C43" s="28"/>
      <c r="D43" s="28"/>
      <c r="E43" s="28"/>
      <c r="F43" s="20"/>
    </row>
    <row r="44" spans="1:10" s="72" customFormat="1" ht="26.25">
      <c r="A44" s="41" t="s">
        <v>51</v>
      </c>
      <c r="B44" s="42">
        <f>BOR!B44+LUMCON!B43+LOSFA!B43+'UL System'!B43+'LSU System'!B43+'SU System'!B43+'LCTC System'!B43</f>
        <v>440881088.59000003</v>
      </c>
      <c r="C44" s="42">
        <f>BOR!C44+LUMCON!C43+LOSFA!C43+'UL System'!C43+'LSU System'!C43+'SU System'!C43+'LCTC System'!C43</f>
        <v>463664813</v>
      </c>
      <c r="D44" s="42">
        <f>BOR!D44+LUMCON!D43+LOSFA!D43+'UL System'!D43+'LSU System'!D43+'SU System'!D43+'LCTC System'!D43</f>
        <v>434180190</v>
      </c>
      <c r="E44" s="42">
        <f>D44-C44</f>
        <v>-29484623</v>
      </c>
      <c r="F44" s="35">
        <f>IF(ISBLANK(E44),"  ",IF(C44&gt;0,E44/C44,IF(E44&gt;0,1,0)))</f>
        <v>-6.359038290878459E-2</v>
      </c>
    </row>
    <row r="45" spans="1:10" s="70" customFormat="1" ht="26.25">
      <c r="A45" s="29" t="s">
        <v>50</v>
      </c>
      <c r="B45" s="34"/>
      <c r="C45" s="34"/>
      <c r="D45" s="34"/>
      <c r="E45" s="34"/>
      <c r="F45" s="269"/>
    </row>
    <row r="46" spans="1:10" s="72" customFormat="1" ht="26.25">
      <c r="A46" s="41" t="s">
        <v>52</v>
      </c>
      <c r="B46" s="42">
        <f>BOR!B46+LUMCON!B45+LOSFA!B45+'UL System'!B45+'LSU System'!B45+'SU System'!B45+'LCTC System'!B45</f>
        <v>289592480</v>
      </c>
      <c r="C46" s="42">
        <f>BOR!C46+LUMCON!C45+LOSFA!C45+'UL System'!C45+'LSU System'!C45+'SU System'!C45+'LCTC System'!C45</f>
        <v>289592480</v>
      </c>
      <c r="D46" s="42">
        <f>BOR!D46+LUMCON!D45+LOSFA!D45+'UL System'!D45+'LSU System'!D45+'SU System'!D45+'LCTC System'!D45</f>
        <v>0</v>
      </c>
      <c r="E46" s="42">
        <f>D46-C46</f>
        <v>-289592480</v>
      </c>
      <c r="F46" s="35">
        <f>IF(ISBLANK(E46),"  ",IF(C46&gt;0,E46/C46,IF(E46&gt;0,1,0)))</f>
        <v>-1</v>
      </c>
    </row>
    <row r="47" spans="1:10" s="70" customFormat="1" ht="26.25">
      <c r="A47" s="29" t="s">
        <v>50</v>
      </c>
      <c r="B47" s="34"/>
      <c r="C47" s="34"/>
      <c r="D47" s="34"/>
      <c r="E47" s="34"/>
      <c r="F47" s="269"/>
    </row>
    <row r="48" spans="1:10" s="72" customFormat="1" ht="26.25">
      <c r="A48" s="31" t="s">
        <v>53</v>
      </c>
      <c r="B48" s="42">
        <f>BOR!B48+LUMCON!B47+LOSFA!B47+'UL System'!B47+'LSU System'!B47+'SU System'!B47+'LCTC System'!B47</f>
        <v>905503818.50999999</v>
      </c>
      <c r="C48" s="42">
        <f>BOR!C48+LUMCON!C47+LOSFA!C47+'UL System'!C47+'LSU System'!C47+'SU System'!C47+'LCTC System'!C47</f>
        <v>823163674</v>
      </c>
      <c r="D48" s="42">
        <f>BOR!D48+LUMCON!D47+LOSFA!D47+'UL System'!D47+'LSU System'!D47+'SU System'!D47+'LCTC System'!D47</f>
        <v>1130093055</v>
      </c>
      <c r="E48" s="42">
        <f>D48-C48</f>
        <v>306929381</v>
      </c>
      <c r="F48" s="35">
        <f>IF(ISBLANK(E48),"  ",IF(C48&gt;0,E48/C48,IF(E48&gt;0,1,0)))</f>
        <v>0.37286555601820692</v>
      </c>
    </row>
    <row r="49" spans="1:6" s="70" customFormat="1" ht="26.25">
      <c r="A49" s="29" t="s">
        <v>50</v>
      </c>
      <c r="B49" s="34"/>
      <c r="C49" s="34"/>
      <c r="D49" s="34"/>
      <c r="E49" s="34"/>
      <c r="F49" s="269"/>
    </row>
    <row r="50" spans="1:6" s="72" customFormat="1" ht="26.25">
      <c r="A50" s="43" t="s">
        <v>54</v>
      </c>
      <c r="B50" s="42">
        <f>BOR!B50+LUMCON!B49+LOSFA!B49+'UL System'!B49+'LSU System'!B49+'SU System'!B49+'LCTC System'!B49</f>
        <v>146754005.80000001</v>
      </c>
      <c r="C50" s="42">
        <f>BOR!C50+LUMCON!C49+LOSFA!C49+'UL System'!C49+'LSU System'!C49+'SU System'!C49+'LCTC System'!C49</f>
        <v>168437899</v>
      </c>
      <c r="D50" s="42">
        <f>BOR!D50+LUMCON!D49+LOSFA!D49+'UL System'!D49+'LSU System'!D49+'SU System'!D49+'LCTC System'!D49</f>
        <v>158783006</v>
      </c>
      <c r="E50" s="42">
        <f>D50-C50</f>
        <v>-9654893</v>
      </c>
      <c r="F50" s="35">
        <f>IF(ISBLANK(E50),"  ",IF(C50&gt;0,E50/C50,IF(E50&gt;0,1,0)))</f>
        <v>-5.7320193717210872E-2</v>
      </c>
    </row>
    <row r="51" spans="1:6" s="70" customFormat="1" ht="26.25">
      <c r="A51" s="31"/>
      <c r="B51" s="40"/>
      <c r="C51" s="40"/>
      <c r="D51" s="40"/>
      <c r="E51" s="40"/>
      <c r="F51" s="270"/>
    </row>
    <row r="52" spans="1:6" s="72" customFormat="1" ht="26.25">
      <c r="A52" s="31" t="s">
        <v>55</v>
      </c>
      <c r="B52" s="42">
        <f>BOR!B52+LUMCON!B51+LOSFA!B51+'UL System'!B51+'LSU System'!B51+'SU System'!B51+'LCTC System'!B51</f>
        <v>10000</v>
      </c>
      <c r="C52" s="42">
        <f>BOR!C52+LUMCON!C51+LOSFA!C51+'UL System'!C51+'LSU System'!C51+'SU System'!C51+'LCTC System'!C51</f>
        <v>10000</v>
      </c>
      <c r="D52" s="42">
        <f>BOR!D52+LUMCON!D51+LOSFA!D51+'UL System'!D51+'LSU System'!D51+'SU System'!D51+'LCTC System'!D51</f>
        <v>0</v>
      </c>
      <c r="E52" s="42">
        <f>D52-C52</f>
        <v>-10000</v>
      </c>
      <c r="F52" s="35">
        <f>IF(ISBLANK(E52),"  ",IF(C52&gt;0,E52/C52,IF(E52&gt;0,1,0)))</f>
        <v>-1</v>
      </c>
    </row>
    <row r="53" spans="1:6" s="70" customFormat="1" ht="26.25">
      <c r="A53" s="29"/>
      <c r="B53" s="28"/>
      <c r="C53" s="28"/>
      <c r="D53" s="28"/>
      <c r="E53" s="34"/>
      <c r="F53" s="269"/>
    </row>
    <row r="54" spans="1:6" s="72" customFormat="1" ht="26.25">
      <c r="A54" s="46" t="s">
        <v>56</v>
      </c>
      <c r="B54" s="40">
        <f>B52+B50+B48+B46+B44-B42+B35</f>
        <v>3003924020.4899998</v>
      </c>
      <c r="C54" s="40">
        <f>C52+C50+C48+C46+C44-C42+C35</f>
        <v>3037453238</v>
      </c>
      <c r="D54" s="40">
        <f>D52+D50+D48+D46+D44-D42+D35</f>
        <v>3013103809</v>
      </c>
      <c r="E54" s="42">
        <f>D54-C54</f>
        <v>-24349429</v>
      </c>
      <c r="F54" s="35">
        <f>IF(ISBLANK(E54),"  ",IF(C54&gt;0,E54/C54,IF(E54&gt;0,1,0)))</f>
        <v>-8.0163963334075206E-3</v>
      </c>
    </row>
    <row r="55" spans="1:6" s="70" customFormat="1" ht="26.25">
      <c r="A55" s="47"/>
      <c r="B55" s="28"/>
      <c r="C55" s="28"/>
      <c r="D55" s="28"/>
      <c r="E55" s="28"/>
      <c r="F55" s="20" t="s">
        <v>50</v>
      </c>
    </row>
    <row r="56" spans="1:6" s="70" customFormat="1" ht="26.25">
      <c r="A56" s="48"/>
      <c r="B56" s="19"/>
      <c r="C56" s="19"/>
      <c r="D56" s="19"/>
      <c r="E56" s="19"/>
      <c r="F56" s="21" t="s">
        <v>50</v>
      </c>
    </row>
    <row r="57" spans="1:6" s="70" customFormat="1" ht="26.25">
      <c r="A57" s="46" t="s">
        <v>57</v>
      </c>
      <c r="B57" s="19"/>
      <c r="C57" s="19"/>
      <c r="D57" s="19"/>
      <c r="E57" s="19"/>
      <c r="F57" s="21"/>
    </row>
    <row r="58" spans="1:6" s="70" customFormat="1" ht="26.25">
      <c r="A58" s="27" t="s">
        <v>58</v>
      </c>
      <c r="B58" s="23">
        <f>BOR!B58+LUMCON!B57+LOSFA!B57+'UL System'!B57+'LSU System'!B57+'SU System'!B57+'LCTC System'!B57</f>
        <v>882918123.20000005</v>
      </c>
      <c r="C58" s="23">
        <f>BOR!C58+LUMCON!C57+LOSFA!C57+'UL System'!C57+'LSU System'!C57+'SU System'!C57+'LCTC System'!C57</f>
        <v>918662452.68000007</v>
      </c>
      <c r="D58" s="23">
        <f>BOR!D58+LUMCON!D57+LOSFA!D57+'UL System'!D57+'LSU System'!D57+'SU System'!D57+'LCTC System'!D57</f>
        <v>911119322.99000001</v>
      </c>
      <c r="E58" s="23">
        <f t="shared" ref="E58:E71" si="4">D58-C58</f>
        <v>-7543129.6900000572</v>
      </c>
      <c r="F58" s="24">
        <f t="shared" ref="F58:F71" si="5">IF(ISBLANK(E58),"  ",IF(C58&gt;0,E58/C58,IF(E58&gt;0,1,0)))</f>
        <v>-8.2109916085005962E-3</v>
      </c>
    </row>
    <row r="59" spans="1:6" s="70" customFormat="1" ht="26.25">
      <c r="A59" s="29" t="s">
        <v>59</v>
      </c>
      <c r="B59" s="23">
        <f>BOR!B59+LUMCON!B58+LOSFA!B58+'UL System'!B58+'LSU System'!B58+'SU System'!B58+'LCTC System'!B58</f>
        <v>187035995.49999997</v>
      </c>
      <c r="C59" s="23">
        <f>BOR!C59+LUMCON!C58+LOSFA!C58+'UL System'!C58+'LSU System'!C58+'SU System'!C58+'LCTC System'!C58</f>
        <v>187265735.03999999</v>
      </c>
      <c r="D59" s="23">
        <f>BOR!D59+LUMCON!D58+LOSFA!D58+'UL System'!D58+'LSU System'!D58+'SU System'!D58+'LCTC System'!D58</f>
        <v>187999968.06999999</v>
      </c>
      <c r="E59" s="23">
        <f t="shared" si="4"/>
        <v>734233.03000000119</v>
      </c>
      <c r="F59" s="24">
        <f t="shared" si="5"/>
        <v>3.9208082025426003E-3</v>
      </c>
    </row>
    <row r="60" spans="1:6" s="70" customFormat="1" ht="26.25">
      <c r="A60" s="29" t="s">
        <v>60</v>
      </c>
      <c r="B60" s="23">
        <f>BOR!B60+LUMCON!B59+LOSFA!B59+'UL System'!B59+'LSU System'!B59+'SU System'!B59+'LCTC System'!B59</f>
        <v>60142158.960000001</v>
      </c>
      <c r="C60" s="23">
        <f>BOR!C60+LUMCON!C59+LOSFA!C59+'UL System'!C59+'LSU System'!C59+'SU System'!C59+'LCTC System'!C59</f>
        <v>61084354</v>
      </c>
      <c r="D60" s="23">
        <f>BOR!D60+LUMCON!D59+LOSFA!D59+'UL System'!D59+'LSU System'!D59+'SU System'!D59+'LCTC System'!D59</f>
        <v>62101312.5</v>
      </c>
      <c r="E60" s="23">
        <f t="shared" si="4"/>
        <v>1016958.5</v>
      </c>
      <c r="F60" s="24">
        <f t="shared" si="5"/>
        <v>1.6648428499383E-2</v>
      </c>
    </row>
    <row r="61" spans="1:6" s="70" customFormat="1" ht="26.25">
      <c r="A61" s="29" t="s">
        <v>61</v>
      </c>
      <c r="B61" s="23">
        <f>BOR!B61+LUMCON!B60+LOSFA!B60+'UL System'!B60+'LSU System'!B60+'SU System'!B60+'LCTC System'!B60</f>
        <v>204800505.16</v>
      </c>
      <c r="C61" s="23">
        <f>BOR!C61+LUMCON!C60+LOSFA!C60+'UL System'!C60+'LSU System'!C60+'SU System'!C60+'LCTC System'!C60</f>
        <v>204519879.45999998</v>
      </c>
      <c r="D61" s="23">
        <f>BOR!D61+LUMCON!D60+LOSFA!D60+'UL System'!D60+'LSU System'!D60+'SU System'!D60+'LCTC System'!D60</f>
        <v>200520225.49000001</v>
      </c>
      <c r="E61" s="23">
        <f t="shared" si="4"/>
        <v>-3999653.969999969</v>
      </c>
      <c r="F61" s="24">
        <f t="shared" si="5"/>
        <v>-1.9556309052011844E-2</v>
      </c>
    </row>
    <row r="62" spans="1:6" s="70" customFormat="1" ht="26.25">
      <c r="A62" s="29" t="s">
        <v>62</v>
      </c>
      <c r="B62" s="23">
        <f>BOR!B62+LUMCON!B61+LOSFA!B61+'UL System'!B61+'LSU System'!B61+'SU System'!B61+'LCTC System'!B61</f>
        <v>97556307.200000003</v>
      </c>
      <c r="C62" s="23">
        <f>BOR!C62+LUMCON!C61+LOSFA!C61+'UL System'!C61+'LSU System'!C61+'SU System'!C61+'LCTC System'!C61</f>
        <v>100232596.28</v>
      </c>
      <c r="D62" s="23">
        <f>BOR!D62+LUMCON!D61+LOSFA!D61+'UL System'!D61+'LSU System'!D61+'SU System'!D61+'LCTC System'!D61</f>
        <v>101012506.37</v>
      </c>
      <c r="E62" s="23">
        <f t="shared" si="4"/>
        <v>779910.09000000358</v>
      </c>
      <c r="F62" s="24">
        <f t="shared" si="5"/>
        <v>7.7810025774581642E-3</v>
      </c>
    </row>
    <row r="63" spans="1:6" s="70" customFormat="1" ht="26.25">
      <c r="A63" s="29" t="s">
        <v>63</v>
      </c>
      <c r="B63" s="23">
        <f>BOR!B63+LUMCON!B62+LOSFA!B62+'UL System'!B62+'LSU System'!B62+'SU System'!B62+'LCTC System'!B62</f>
        <v>348962498.88</v>
      </c>
      <c r="C63" s="23">
        <f>BOR!C63+LUMCON!C62+LOSFA!C62+'UL System'!C62+'LSU System'!C62+'SU System'!C62+'LCTC System'!C62-1</f>
        <v>362706691.91999996</v>
      </c>
      <c r="D63" s="23">
        <f>BOR!D63+LUMCON!D62+LOSFA!D62+'UL System'!D62+'LSU System'!D62+'SU System'!D62+'LCTC System'!D62</f>
        <v>361134970.81</v>
      </c>
      <c r="E63" s="23">
        <f t="shared" si="4"/>
        <v>-1571721.1099999547</v>
      </c>
      <c r="F63" s="24">
        <f t="shared" si="5"/>
        <v>-4.3333115848511001E-3</v>
      </c>
    </row>
    <row r="64" spans="1:6" s="70" customFormat="1" ht="26.25">
      <c r="A64" s="29" t="s">
        <v>64</v>
      </c>
      <c r="B64" s="23">
        <f>BOR!B64+LUMCON!B63+LOSFA!B63+'UL System'!B63+'LSU System'!B63+'SU System'!B63+'LCTC System'!B63</f>
        <v>314698334.62</v>
      </c>
      <c r="C64" s="23">
        <f>BOR!C64+LUMCON!C63+LOSFA!C63+'UL System'!C63+'LSU System'!C63+'SU System'!C63+'LCTC System'!C63</f>
        <v>318129529</v>
      </c>
      <c r="D64" s="23">
        <f>BOR!D64+LUMCON!D63+LOSFA!D63+'UL System'!D63+'LSU System'!D63+'SU System'!D63+'LCTC System'!D63</f>
        <v>340678573.34000003</v>
      </c>
      <c r="E64" s="23">
        <f t="shared" si="4"/>
        <v>22549044.340000033</v>
      </c>
      <c r="F64" s="24">
        <f t="shared" si="5"/>
        <v>7.0880073317557496E-2</v>
      </c>
    </row>
    <row r="65" spans="1:6" s="70" customFormat="1" ht="26.25">
      <c r="A65" s="29" t="s">
        <v>65</v>
      </c>
      <c r="B65" s="23">
        <f>BOR!B65+LUMCON!B64+LOSFA!B64+'UL System'!B64+'LSU System'!B64+'SU System'!B64+'LCTC System'!B64</f>
        <v>256494739.21000001</v>
      </c>
      <c r="C65" s="23">
        <f>BOR!C65+LUMCON!C64+LOSFA!C64+'UL System'!C64+'LSU System'!C64+'SU System'!C64+'LCTC System'!C64</f>
        <v>248913799</v>
      </c>
      <c r="D65" s="23">
        <f>BOR!D65+LUMCON!D64+LOSFA!D64+'UL System'!D64+'LSU System'!D64+'SU System'!D64+'LCTC System'!D64</f>
        <v>244055281.73000002</v>
      </c>
      <c r="E65" s="23">
        <f t="shared" si="4"/>
        <v>-4858517.2699999809</v>
      </c>
      <c r="F65" s="24">
        <f t="shared" si="5"/>
        <v>-1.951887476515507E-2</v>
      </c>
    </row>
    <row r="66" spans="1:6" s="72" customFormat="1" ht="26.25">
      <c r="A66" s="49" t="s">
        <v>66</v>
      </c>
      <c r="B66" s="264">
        <f>SUM(B58:B65)</f>
        <v>2352608662.73</v>
      </c>
      <c r="C66" s="264">
        <f>SUM(C58:C65)</f>
        <v>2401515037.3800001</v>
      </c>
      <c r="D66" s="264">
        <f>SUM(D58:D65)</f>
        <v>2408622161.3000002</v>
      </c>
      <c r="E66" s="42">
        <f t="shared" si="4"/>
        <v>7107123.9200000763</v>
      </c>
      <c r="F66" s="35">
        <f t="shared" si="5"/>
        <v>2.9594334448781096E-3</v>
      </c>
    </row>
    <row r="67" spans="1:6" s="70" customFormat="1" ht="26.25">
      <c r="A67" s="29" t="s">
        <v>67</v>
      </c>
      <c r="B67" s="23">
        <f>BOR!B67+LUMCON!B66+LOSFA!B66+'UL System'!B66+'LSU System'!B66+'SU System'!B66+'LCTC System'!B66</f>
        <v>500499289.78999996</v>
      </c>
      <c r="C67" s="23">
        <f>BOR!C67+LUMCON!C66+LOSFA!C66+'UL System'!C66+'LSU System'!C66+'SU System'!C66+'LCTC System'!C66-1</f>
        <v>518202056</v>
      </c>
      <c r="D67" s="23">
        <f>BOR!D67+LUMCON!D66+LOSFA!D66+'UL System'!D66+'LSU System'!D66+'SU System'!D66+'LCTC System'!D66</f>
        <v>501614134</v>
      </c>
      <c r="E67" s="23">
        <f t="shared" si="4"/>
        <v>-16587922</v>
      </c>
      <c r="F67" s="24">
        <f t="shared" si="5"/>
        <v>-3.2010529112991404E-2</v>
      </c>
    </row>
    <row r="68" spans="1:6" s="70" customFormat="1" ht="26.25">
      <c r="A68" s="29" t="s">
        <v>68</v>
      </c>
      <c r="B68" s="23">
        <f>BOR!B68+LUMCON!B67+LOSFA!B67+'UL System'!B67+'LSU System'!B67+'SU System'!B67+'LCTC System'!B67-6</f>
        <v>11364592</v>
      </c>
      <c r="C68" s="23">
        <f>BOR!C68+LUMCON!C67+LOSFA!C67+'UL System'!C67+'LSU System'!C67+'SU System'!C67+'LCTC System'!C67</f>
        <v>10312442</v>
      </c>
      <c r="D68" s="23">
        <f>BOR!D68+LUMCON!D67+LOSFA!D67+'UL System'!D67+'LSU System'!D67+'SU System'!D67+'LCTC System'!D67-2</f>
        <v>12287200.84</v>
      </c>
      <c r="E68" s="23">
        <f t="shared" si="4"/>
        <v>1974758.8399999999</v>
      </c>
      <c r="F68" s="24">
        <f t="shared" si="5"/>
        <v>0.19149284330520355</v>
      </c>
    </row>
    <row r="69" spans="1:6" s="70" customFormat="1" ht="26.25">
      <c r="A69" s="29" t="s">
        <v>69</v>
      </c>
      <c r="B69" s="23">
        <f>BOR!B69+LUMCON!B68+LOSFA!B68+'UL System'!B68+'LSU System'!B68+'SU System'!B68+'LCTC System'!B68</f>
        <v>38196642.899999999</v>
      </c>
      <c r="C69" s="23">
        <f>BOR!C69+LUMCON!C68+LOSFA!C68+'UL System'!C68+'LSU System'!C68+'SU System'!C68+'LCTC System'!C68</f>
        <v>34989863</v>
      </c>
      <c r="D69" s="23">
        <f>BOR!D69+LUMCON!D68+LOSFA!D68+'UL System'!D68+'LSU System'!D68+'SU System'!D68+'LCTC System'!D68</f>
        <v>30272768</v>
      </c>
      <c r="E69" s="23">
        <f t="shared" si="4"/>
        <v>-4717095</v>
      </c>
      <c r="F69" s="24">
        <f t="shared" si="5"/>
        <v>-0.13481318860836922</v>
      </c>
    </row>
    <row r="70" spans="1:6" s="70" customFormat="1" ht="26.25">
      <c r="A70" s="29" t="s">
        <v>70</v>
      </c>
      <c r="B70" s="23">
        <f>BOR!B70+LUMCON!B69+LOSFA!B69+'UL System'!B69+'LSU System'!B69+'SU System'!B69+'LCTC System'!B69</f>
        <v>58996877.5</v>
      </c>
      <c r="C70" s="23">
        <f>BOR!C70+LUMCON!C69+LOSFA!C69+'UL System'!C69+'LSU System'!C69+'SU System'!C69+'LCTC System'!C69</f>
        <v>72433840</v>
      </c>
      <c r="D70" s="23">
        <f>BOR!D70+LUMCON!D69+LOSFA!D69+'UL System'!D69+'LSU System'!D69+'SU System'!D69+'LCTC System'!D69</f>
        <v>60307545</v>
      </c>
      <c r="E70" s="23">
        <f t="shared" si="4"/>
        <v>-12126295</v>
      </c>
      <c r="F70" s="24">
        <f t="shared" si="5"/>
        <v>-0.16741201350087198</v>
      </c>
    </row>
    <row r="71" spans="1:6" s="72" customFormat="1" ht="26.25">
      <c r="A71" s="259" t="s">
        <v>71</v>
      </c>
      <c r="B71" s="260">
        <f>SUM(B66:B70)</f>
        <v>2961666064.9200001</v>
      </c>
      <c r="C71" s="260">
        <f>SUM(C66:C70)</f>
        <v>3037453238.3800001</v>
      </c>
      <c r="D71" s="260">
        <f>SUM(D66:D70)</f>
        <v>3013103809.1400003</v>
      </c>
      <c r="E71" s="42">
        <f t="shared" si="4"/>
        <v>-24349429.239999771</v>
      </c>
      <c r="F71" s="35">
        <f t="shared" si="5"/>
        <v>-8.0163964114181169E-3</v>
      </c>
    </row>
    <row r="72" spans="1:6" s="70" customFormat="1" ht="26.25">
      <c r="A72" s="48"/>
      <c r="B72" s="19"/>
      <c r="C72" s="19"/>
      <c r="D72" s="19"/>
      <c r="E72" s="40"/>
      <c r="F72" s="271"/>
    </row>
    <row r="73" spans="1:6" s="70" customFormat="1" ht="26.25">
      <c r="A73" s="46" t="s">
        <v>72</v>
      </c>
      <c r="B73" s="19"/>
      <c r="C73" s="19"/>
      <c r="D73" s="19"/>
      <c r="E73" s="19"/>
      <c r="F73" s="21"/>
    </row>
    <row r="74" spans="1:6" s="70" customFormat="1" ht="26.25">
      <c r="A74" s="27" t="s">
        <v>73</v>
      </c>
      <c r="B74" s="23">
        <f>BOR!B74+LUMCON!B73+LOSFA!B73+'UL System'!B73+'LSU System'!B73+'SU System'!B73+'LCTC System'!B73</f>
        <v>1337997098.9899998</v>
      </c>
      <c r="C74" s="23">
        <f>BOR!C74+LUMCON!C73+LOSFA!C73+'UL System'!C73+'LSU System'!C73+'SU System'!C73+'LCTC System'!C73</f>
        <v>1358033182.5</v>
      </c>
      <c r="D74" s="23">
        <f>BOR!D74+LUMCON!D73+LOSFA!D73+'UL System'!D73+'LSU System'!D73+'SU System'!D73+'LCTC System'!D73</f>
        <v>1332653191</v>
      </c>
      <c r="E74" s="23">
        <f t="shared" ref="E74:E92" si="6">D74-C74</f>
        <v>-25379991.5</v>
      </c>
      <c r="F74" s="24">
        <f t="shared" ref="F74:F92" si="7">IF(ISBLANK(E74),"  ",IF(C74&gt;0,E74/C74,IF(E74&gt;0,1,0)))</f>
        <v>-1.8688785978909613E-2</v>
      </c>
    </row>
    <row r="75" spans="1:6" s="70" customFormat="1" ht="26.25">
      <c r="A75" s="29" t="s">
        <v>74</v>
      </c>
      <c r="B75" s="23">
        <f>BOR!B75+LUMCON!B74+LOSFA!B74+'UL System'!B74+'LSU System'!B74+'SU System'!B74+'LCTC System'!B74</f>
        <v>78775219.220000014</v>
      </c>
      <c r="C75" s="23">
        <f>BOR!C75+LUMCON!C74+LOSFA!C74+'UL System'!C74+'LSU System'!C74+'SU System'!C74+'LCTC System'!C74</f>
        <v>78204071.5</v>
      </c>
      <c r="D75" s="23">
        <f>BOR!D75+LUMCON!D74+LOSFA!D74+'UL System'!D74+'LSU System'!D74+'SU System'!D74+'LCTC System'!D74</f>
        <v>74625101</v>
      </c>
      <c r="E75" s="23">
        <f t="shared" si="6"/>
        <v>-3578970.5</v>
      </c>
      <c r="F75" s="24">
        <f t="shared" si="7"/>
        <v>-4.5764503450437359E-2</v>
      </c>
    </row>
    <row r="76" spans="1:6" s="70" customFormat="1" ht="26.25">
      <c r="A76" s="29" t="s">
        <v>75</v>
      </c>
      <c r="B76" s="23">
        <f>BOR!B76+LUMCON!B75+LOSFA!B75+'UL System'!B75+'LSU System'!B75+'SU System'!B75+'LCTC System'!B75</f>
        <v>443198935.15000004</v>
      </c>
      <c r="C76" s="23">
        <f>BOR!C76+LUMCON!C75+LOSFA!C75+'UL System'!C75+'LSU System'!C75+'SU System'!C75+'LCTC System'!C75</f>
        <v>452492696.88</v>
      </c>
      <c r="D76" s="23">
        <f>BOR!D76+LUMCON!D75+LOSFA!D75+'UL System'!D75+'LSU System'!D75+'SU System'!D75+'LCTC System'!D75</f>
        <v>490046150.87</v>
      </c>
      <c r="E76" s="23">
        <f t="shared" si="6"/>
        <v>37553453.99000001</v>
      </c>
      <c r="F76" s="24">
        <f t="shared" si="7"/>
        <v>8.2992397996556166E-2</v>
      </c>
    </row>
    <row r="77" spans="1:6" s="72" customFormat="1" ht="26.25">
      <c r="A77" s="49" t="s">
        <v>76</v>
      </c>
      <c r="B77" s="260">
        <f>SUM(B74:B76)</f>
        <v>1859971253.3599999</v>
      </c>
      <c r="C77" s="260">
        <f>SUM(C74:C76)</f>
        <v>1888729950.8800001</v>
      </c>
      <c r="D77" s="260">
        <f>SUM(D74:D76)</f>
        <v>1897324442.8699999</v>
      </c>
      <c r="E77" s="42">
        <f t="shared" si="6"/>
        <v>8594491.9899997711</v>
      </c>
      <c r="F77" s="35">
        <f t="shared" si="7"/>
        <v>4.5504080591274639E-3</v>
      </c>
    </row>
    <row r="78" spans="1:6" s="70" customFormat="1" ht="26.25">
      <c r="A78" s="29" t="s">
        <v>77</v>
      </c>
      <c r="B78" s="23">
        <f>BOR!B78+LUMCON!B77+LOSFA!B77+'UL System'!B77+'LSU System'!B77+'SU System'!B77+'LCTC System'!B77</f>
        <v>9720418.8899999987</v>
      </c>
      <c r="C78" s="23">
        <f>BOR!C78+LUMCON!C77+LOSFA!C77+'UL System'!C77+'LSU System'!C77+'SU System'!C77+'LCTC System'!C77</f>
        <v>10887551</v>
      </c>
      <c r="D78" s="23">
        <f>BOR!D78+LUMCON!D77+LOSFA!D77+'UL System'!D77+'LSU System'!D77+'SU System'!D77+'LCTC System'!D77</f>
        <v>11604220</v>
      </c>
      <c r="E78" s="23">
        <f t="shared" si="6"/>
        <v>716669</v>
      </c>
      <c r="F78" s="24">
        <f t="shared" si="7"/>
        <v>6.5824628513795252E-2</v>
      </c>
    </row>
    <row r="79" spans="1:6" s="70" customFormat="1" ht="26.25">
      <c r="A79" s="29" t="s">
        <v>78</v>
      </c>
      <c r="B79" s="23">
        <f>BOR!B79+LUMCON!B78+LOSFA!B78+'UL System'!B78+'LSU System'!B78+'SU System'!B78+'LCTC System'!B78</f>
        <v>219330245.77999997</v>
      </c>
      <c r="C79" s="23">
        <f>BOR!C79+LUMCON!C78+LOSFA!C78+'UL System'!C78+'LSU System'!C78+'SU System'!C78+'LCTC System'!C78</f>
        <v>231312189.5</v>
      </c>
      <c r="D79" s="23">
        <f>BOR!D79+LUMCON!D78+LOSFA!D78+'UL System'!D78+'LSU System'!D78+'SU System'!D78+'LCTC System'!D78</f>
        <v>225349564.94999999</v>
      </c>
      <c r="E79" s="23">
        <f t="shared" si="6"/>
        <v>-5962624.5500000119</v>
      </c>
      <c r="F79" s="24">
        <f t="shared" si="7"/>
        <v>-2.5777390127553187E-2</v>
      </c>
    </row>
    <row r="80" spans="1:6" s="70" customFormat="1" ht="26.25">
      <c r="A80" s="29" t="s">
        <v>79</v>
      </c>
      <c r="B80" s="23">
        <f>BOR!B80+LUMCON!B79+LOSFA!B79+'UL System'!B79+'LSU System'!B79+'SU System'!B79+'LCTC System'!B79</f>
        <v>151980059.13999999</v>
      </c>
      <c r="C80" s="23">
        <f>BOR!C80+LUMCON!C79+LOSFA!C79+'UL System'!C79+'LSU System'!C79+'SU System'!C79+'LCTC System'!C79</f>
        <v>149970551</v>
      </c>
      <c r="D80" s="23">
        <f>BOR!D80+LUMCON!D79+LOSFA!D79+'UL System'!D79+'LSU System'!D79+'SU System'!D79+'LCTC System'!D79</f>
        <v>147627559.55000001</v>
      </c>
      <c r="E80" s="23">
        <f t="shared" si="6"/>
        <v>-2342991.4499999881</v>
      </c>
      <c r="F80" s="24">
        <f t="shared" si="7"/>
        <v>-1.562301021351844E-2</v>
      </c>
    </row>
    <row r="81" spans="1:6" s="72" customFormat="1" ht="26.25">
      <c r="A81" s="32" t="s">
        <v>80</v>
      </c>
      <c r="B81" s="260">
        <f>SUM(B78:B80)</f>
        <v>381030723.80999994</v>
      </c>
      <c r="C81" s="260">
        <f>SUM(C78:C80)</f>
        <v>392170291.5</v>
      </c>
      <c r="D81" s="260">
        <f>SUM(D78:D80)</f>
        <v>384581344.5</v>
      </c>
      <c r="E81" s="42">
        <f t="shared" si="6"/>
        <v>-7588947</v>
      </c>
      <c r="F81" s="35">
        <f t="shared" si="7"/>
        <v>-1.9351152202206016E-2</v>
      </c>
    </row>
    <row r="82" spans="1:6" s="70" customFormat="1" ht="26.25">
      <c r="A82" s="29" t="s">
        <v>81</v>
      </c>
      <c r="B82" s="23">
        <f>BOR!B82+LUMCON!B81+LOSFA!B81+'UL System'!B81+'LSU System'!B81+'SU System'!B81+'LCTC System'!B81</f>
        <v>32452880.640000001</v>
      </c>
      <c r="C82" s="23">
        <f>BOR!C82+LUMCON!C81+LOSFA!C81+'UL System'!C81+'LSU System'!C81+'SU System'!C81+'LCTC System'!C81</f>
        <v>36483360</v>
      </c>
      <c r="D82" s="23">
        <f>BOR!D82+LUMCON!D81+LOSFA!D81+'UL System'!D81+'LSU System'!D81+'SU System'!D81+'LCTC System'!D81</f>
        <v>28986425</v>
      </c>
      <c r="E82" s="23">
        <f t="shared" si="6"/>
        <v>-7496935</v>
      </c>
      <c r="F82" s="24">
        <f t="shared" si="7"/>
        <v>-0.20548915998965009</v>
      </c>
    </row>
    <row r="83" spans="1:6" s="70" customFormat="1" ht="26.25">
      <c r="A83" s="29" t="s">
        <v>82</v>
      </c>
      <c r="B83" s="23">
        <f>BOR!B83+LUMCON!B82+LOSFA!B82+'UL System'!B82+'LSU System'!B82+'SU System'!B82+'LCTC System'!B82</f>
        <v>562248973.28999996</v>
      </c>
      <c r="C83" s="23">
        <f>BOR!C83+LUMCON!C82+LOSFA!C82+'UL System'!C82+'LSU System'!C82+'SU System'!C82+'LCTC System'!C82</f>
        <v>588720908</v>
      </c>
      <c r="D83" s="23">
        <f>BOR!D83+LUMCON!D82+LOSFA!D82+'UL System'!D82+'LSU System'!D82+'SU System'!D82+'LCTC System'!D82</f>
        <v>589517418.79000008</v>
      </c>
      <c r="E83" s="23">
        <f t="shared" si="6"/>
        <v>796510.79000008106</v>
      </c>
      <c r="F83" s="24">
        <f t="shared" si="7"/>
        <v>1.3529514226120894E-3</v>
      </c>
    </row>
    <row r="84" spans="1:6" s="70" customFormat="1" ht="26.25">
      <c r="A84" s="29" t="s">
        <v>83</v>
      </c>
      <c r="B84" s="23">
        <f>BOR!B84+LUMCON!B83+LOSFA!B83+'UL System'!B83+'LSU System'!B83+'SU System'!B83+'LCTC System'!B83</f>
        <v>260552</v>
      </c>
      <c r="C84" s="23">
        <f>BOR!C84+LUMCON!C83+LOSFA!C83+'UL System'!C83+'LSU System'!C83+'SU System'!C83+'LCTC System'!C83</f>
        <v>336095</v>
      </c>
      <c r="D84" s="23">
        <f>BOR!D84+LUMCON!D83+LOSFA!D83+'UL System'!D83+'LSU System'!D83+'SU System'!D83+'LCTC System'!D83</f>
        <v>337311</v>
      </c>
      <c r="E84" s="23">
        <f t="shared" si="6"/>
        <v>1216</v>
      </c>
      <c r="F84" s="24">
        <f t="shared" si="7"/>
        <v>3.6180246656451302E-3</v>
      </c>
    </row>
    <row r="85" spans="1:6" s="70" customFormat="1" ht="26.25">
      <c r="A85" s="29" t="s">
        <v>84</v>
      </c>
      <c r="B85" s="23">
        <f>BOR!B85+LUMCON!B84+LOSFA!B84+'UL System'!B84+'LSU System'!B84+'SU System'!B84+'LCTC System'!B84+3</f>
        <v>73370168.519999996</v>
      </c>
      <c r="C85" s="23">
        <f>BOR!C85+LUMCON!C84+LOSFA!C84+'UL System'!C84+'LSU System'!C84+'SU System'!C84+'LCTC System'!C84-2</f>
        <v>74995939</v>
      </c>
      <c r="D85" s="23">
        <f>BOR!D85+LUMCON!D84+LOSFA!D84+'UL System'!D84+'LSU System'!D84+'SU System'!D84+'LCTC System'!D84-3</f>
        <v>71735483.980000004</v>
      </c>
      <c r="E85" s="23">
        <f t="shared" si="6"/>
        <v>-3260455.0199999958</v>
      </c>
      <c r="F85" s="24">
        <f t="shared" si="7"/>
        <v>-4.3475087631078206E-2</v>
      </c>
    </row>
    <row r="86" spans="1:6" s="72" customFormat="1" ht="26.25">
      <c r="A86" s="32" t="s">
        <v>85</v>
      </c>
      <c r="B86" s="264">
        <f>SUM(B82:B85)</f>
        <v>668332574.44999993</v>
      </c>
      <c r="C86" s="264">
        <f>SUM(C82:C85)</f>
        <v>700536302</v>
      </c>
      <c r="D86" s="264">
        <f>SUM(D82:D85)</f>
        <v>690576638.7700001</v>
      </c>
      <c r="E86" s="42">
        <f t="shared" si="6"/>
        <v>-9959663.2299998999</v>
      </c>
      <c r="F86" s="35">
        <f t="shared" si="7"/>
        <v>-1.421719788334381E-2</v>
      </c>
    </row>
    <row r="87" spans="1:6" s="70" customFormat="1" ht="26.25">
      <c r="A87" s="29" t="s">
        <v>86</v>
      </c>
      <c r="B87" s="23">
        <f>BOR!B87+LUMCON!B86+LOSFA!B86+'UL System'!B86+'LSU System'!B86+'SU System'!B86+'LCTC System'!B86</f>
        <v>30656440.810000002</v>
      </c>
      <c r="C87" s="23">
        <f>BOR!C87+LUMCON!C86+LOSFA!C86+'UL System'!C86+'LSU System'!C86+'SU System'!C86+'LCTC System'!C86</f>
        <v>31558709</v>
      </c>
      <c r="D87" s="23">
        <f>BOR!D87+LUMCON!D86+LOSFA!D86+'UL System'!D86+'LSU System'!D86+'SU System'!D86+'LCTC System'!D86</f>
        <v>24720290</v>
      </c>
      <c r="E87" s="23">
        <f t="shared" si="6"/>
        <v>-6838419</v>
      </c>
      <c r="F87" s="24">
        <f t="shared" si="7"/>
        <v>-0.21668880688370365</v>
      </c>
    </row>
    <row r="88" spans="1:6" s="70" customFormat="1" ht="26.25">
      <c r="A88" s="29" t="s">
        <v>87</v>
      </c>
      <c r="B88" s="23">
        <f>BOR!B88+LUMCON!B87+LOSFA!B87+'UL System'!B87+'LSU System'!B87+'SU System'!B87+'LCTC System'!B87</f>
        <v>16304067.710000001</v>
      </c>
      <c r="C88" s="23">
        <f>BOR!C88+LUMCON!C87+LOSFA!C87+'UL System'!C87+'LSU System'!C87+'SU System'!C87+'LCTC System'!C87</f>
        <v>15698616</v>
      </c>
      <c r="D88" s="23">
        <f>BOR!D88+LUMCON!D87+LOSFA!D87+'UL System'!D87+'LSU System'!D87+'SU System'!D87+'LCTC System'!D87</f>
        <v>13429023</v>
      </c>
      <c r="E88" s="23">
        <f t="shared" si="6"/>
        <v>-2269593</v>
      </c>
      <c r="F88" s="24">
        <f t="shared" si="7"/>
        <v>-0.14457280820169116</v>
      </c>
    </row>
    <row r="89" spans="1:6" s="70" customFormat="1" ht="26.25">
      <c r="A89" s="258" t="s">
        <v>88</v>
      </c>
      <c r="B89" s="23">
        <f>BOR!B89+LUMCON!B88+LOSFA!B88+'UL System'!B88+'LSU System'!B88+'SU System'!B88+'LCTC System'!B88</f>
        <v>5267177.78</v>
      </c>
      <c r="C89" s="23">
        <f>BOR!C89+LUMCON!C88+LOSFA!C88+'UL System'!C88+'LSU System'!C88+'SU System'!C88+'LCTC System'!C88</f>
        <v>5760775</v>
      </c>
      <c r="D89" s="23">
        <f>BOR!D89+LUMCON!D88+LOSFA!D88+'UL System'!D88+'LSU System'!D88+'SU System'!D88+'LCTC System'!D88</f>
        <v>2472070</v>
      </c>
      <c r="E89" s="23">
        <f t="shared" si="6"/>
        <v>-3288705</v>
      </c>
      <c r="F89" s="24">
        <f t="shared" si="7"/>
        <v>-0.57087891820111014</v>
      </c>
    </row>
    <row r="90" spans="1:6" s="72" customFormat="1" ht="26.25">
      <c r="A90" s="261" t="s">
        <v>89</v>
      </c>
      <c r="B90" s="260">
        <f>SUM(B87:B89)</f>
        <v>52227686.300000004</v>
      </c>
      <c r="C90" s="260">
        <f>SUM(C87:C89)</f>
        <v>53018100</v>
      </c>
      <c r="D90" s="260">
        <f>SUM(D87:D89)</f>
        <v>40621383</v>
      </c>
      <c r="E90" s="42">
        <f t="shared" si="6"/>
        <v>-12396717</v>
      </c>
      <c r="F90" s="35">
        <f t="shared" si="7"/>
        <v>-0.23382046885874824</v>
      </c>
    </row>
    <row r="91" spans="1:6" s="70" customFormat="1" ht="26.25">
      <c r="A91" s="258" t="s">
        <v>90</v>
      </c>
      <c r="B91" s="23">
        <f>BOR!B91+LUMCON!B90+LOSFA!B90+'UL System'!B90+'LSU System'!B90+'SU System'!B90+'LCTC System'!B90</f>
        <v>103827</v>
      </c>
      <c r="C91" s="23">
        <f>BOR!C91+LUMCON!C90+LOSFA!C90+'UL System'!C90+'LSU System'!C90+'SU System'!C90+'LCTC System'!C90</f>
        <v>2998594</v>
      </c>
      <c r="D91" s="23">
        <f>BOR!D91+LUMCON!D90+LOSFA!D90+'UL System'!D90+'LSU System'!D90+'SU System'!D90+'LCTC System'!D90</f>
        <v>0</v>
      </c>
      <c r="E91" s="23">
        <f t="shared" si="6"/>
        <v>-2998594</v>
      </c>
      <c r="F91" s="24">
        <f t="shared" si="7"/>
        <v>-1</v>
      </c>
    </row>
    <row r="92" spans="1:6" s="72" customFormat="1" ht="27" thickBot="1">
      <c r="A92" s="262" t="s">
        <v>71</v>
      </c>
      <c r="B92" s="268">
        <f>B91+B77+B81+B86+B90</f>
        <v>2961666064.9200001</v>
      </c>
      <c r="C92" s="268">
        <f>C91+C77+C81+C86+C90</f>
        <v>3037453238.3800001</v>
      </c>
      <c r="D92" s="268">
        <f>D91+D77+D81+D86+D90</f>
        <v>3013103809.1399999</v>
      </c>
      <c r="E92" s="272">
        <f t="shared" si="6"/>
        <v>-24349429.240000248</v>
      </c>
      <c r="F92" s="273">
        <f t="shared" si="7"/>
        <v>-8.0163964114182747E-3</v>
      </c>
    </row>
    <row r="93" spans="1:6" s="74" customFormat="1" ht="32.25" thickBot="1">
      <c r="A93" s="57"/>
      <c r="B93" s="58"/>
      <c r="C93" s="58"/>
      <c r="D93" s="58"/>
      <c r="E93" s="73"/>
      <c r="F93" s="73"/>
    </row>
    <row r="94" spans="1:6" s="13" customFormat="1" ht="26.25">
      <c r="A94" s="160" t="s">
        <v>139</v>
      </c>
      <c r="B94" s="252"/>
      <c r="C94" s="252"/>
      <c r="D94" s="252"/>
      <c r="E94" s="161"/>
      <c r="F94" s="163"/>
    </row>
    <row r="95" spans="1:6" s="13" customFormat="1" ht="26.25">
      <c r="A95" s="164" t="s">
        <v>121</v>
      </c>
      <c r="B95" s="23">
        <f>'LSU System'!B94</f>
        <v>329991</v>
      </c>
      <c r="C95" s="23">
        <f>'LSU System'!C94</f>
        <v>127407</v>
      </c>
      <c r="D95" s="23">
        <f>'LSU System'!D94</f>
        <v>0</v>
      </c>
      <c r="E95" s="19">
        <f>D95-C95</f>
        <v>-127407</v>
      </c>
      <c r="F95" s="24">
        <f>IF(ISBLANK(E95),"  ",IF(C95&gt;0,E95/C95,IF(E95&gt;0,1,0)))</f>
        <v>-1</v>
      </c>
    </row>
    <row r="96" spans="1:6" s="13" customFormat="1" ht="26.25">
      <c r="A96" s="168" t="s">
        <v>45</v>
      </c>
      <c r="B96" s="23">
        <f>'LSU System'!B95</f>
        <v>0</v>
      </c>
      <c r="C96" s="23">
        <f>'LSU System'!C95</f>
        <v>0</v>
      </c>
      <c r="D96" s="23">
        <f>'LSU System'!D95</f>
        <v>0</v>
      </c>
      <c r="E96" s="28">
        <f>D96-C96</f>
        <v>0</v>
      </c>
      <c r="F96" s="24">
        <f>IF(ISBLANK(E96),"  ",IF(C96&gt;0,E96/C96,IF(E96&gt;0,1,0)))</f>
        <v>0</v>
      </c>
    </row>
    <row r="97" spans="1:10" s="13" customFormat="1" ht="26.25">
      <c r="A97" s="168" t="s">
        <v>122</v>
      </c>
      <c r="B97" s="23">
        <f>'LSU System'!B96</f>
        <v>41927964</v>
      </c>
      <c r="C97" s="23">
        <f>'LSU System'!C96</f>
        <v>-127407</v>
      </c>
      <c r="D97" s="23">
        <f>'LSU System'!D96</f>
        <v>0</v>
      </c>
      <c r="E97" s="28">
        <f>D97-C97</f>
        <v>127407</v>
      </c>
      <c r="F97" s="24">
        <f>IF(ISBLANK(E97),"  ",IF(C97&gt;0,E97/C97,IF(E97&gt;0,1,0)))</f>
        <v>1</v>
      </c>
    </row>
    <row r="98" spans="1:10" s="13" customFormat="1" ht="26.25" hidden="1">
      <c r="A98" s="168" t="s">
        <v>47</v>
      </c>
      <c r="B98" s="253">
        <v>0</v>
      </c>
      <c r="C98" s="253">
        <v>0</v>
      </c>
      <c r="D98" s="253"/>
      <c r="E98" s="169">
        <v>0</v>
      </c>
      <c r="F98" s="167">
        <v>0</v>
      </c>
    </row>
    <row r="99" spans="1:10" s="13" customFormat="1" ht="26.25" hidden="1">
      <c r="A99" s="170" t="s">
        <v>48</v>
      </c>
      <c r="B99" s="253">
        <v>0</v>
      </c>
      <c r="C99" s="253">
        <v>0</v>
      </c>
      <c r="D99" s="253"/>
      <c r="E99" s="169">
        <v>0</v>
      </c>
      <c r="F99" s="167">
        <v>0</v>
      </c>
    </row>
    <row r="100" spans="1:10" s="36" customFormat="1" ht="27" thickBot="1">
      <c r="A100" s="171" t="s">
        <v>49</v>
      </c>
      <c r="B100" s="254">
        <f>SUM(B95:B97)</f>
        <v>42257955</v>
      </c>
      <c r="C100" s="254">
        <f>SUM(C95:C97)</f>
        <v>0</v>
      </c>
      <c r="D100" s="254">
        <f>SUM(D95:D97)</f>
        <v>0</v>
      </c>
      <c r="E100" s="266">
        <f>D100-C100</f>
        <v>0</v>
      </c>
      <c r="F100" s="265">
        <f>IF(ISBLANK(E100),"  ",IF(C100&gt;0,E100/C100,IF(E100&gt;0,1,0)))</f>
        <v>0</v>
      </c>
      <c r="J100" s="36" t="s">
        <v>50</v>
      </c>
    </row>
    <row r="101" spans="1:10" s="36" customFormat="1" ht="26.25">
      <c r="A101" s="175"/>
      <c r="B101" s="176"/>
      <c r="C101" s="176"/>
      <c r="D101" s="176"/>
      <c r="E101" s="176"/>
      <c r="F101" s="177"/>
    </row>
    <row r="102" spans="1:10" s="60" customFormat="1" ht="31.5">
      <c r="A102" s="61" t="s">
        <v>91</v>
      </c>
      <c r="B102" s="62"/>
      <c r="C102" s="62"/>
      <c r="D102" s="62"/>
      <c r="E102" s="59"/>
      <c r="F102" s="59"/>
    </row>
    <row r="103" spans="1:10" s="60" customFormat="1" ht="31.5">
      <c r="A103" s="61" t="s">
        <v>92</v>
      </c>
      <c r="B103" s="62"/>
      <c r="C103" s="62"/>
      <c r="D103" s="62"/>
      <c r="E103" s="59"/>
      <c r="F103" s="59"/>
    </row>
  </sheetData>
  <pageMargins left="0.7" right="0.7" top="0.28999999999999998" bottom="0.32" header="0.3" footer="0.3"/>
  <pageSetup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zoomScale="50" zoomScaleNormal="50" workbookViewId="0">
      <selection activeCell="K7" sqref="K7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5.425781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4" t="s">
        <v>105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104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29326601</v>
      </c>
      <c r="C8" s="23">
        <v>29326602</v>
      </c>
      <c r="D8" s="23">
        <v>26984614</v>
      </c>
      <c r="E8" s="23">
        <v>-2341988</v>
      </c>
      <c r="F8" s="24">
        <v>-7.9858825785544471E-2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55">
        <v>1819737.1800000002</v>
      </c>
      <c r="C10" s="26">
        <v>1824636</v>
      </c>
      <c r="D10" s="26">
        <v>1809176</v>
      </c>
      <c r="E10" s="26">
        <v>-15460</v>
      </c>
      <c r="F10" s="24">
        <v>-8.4729228185786102E-3</v>
      </c>
    </row>
    <row r="11" spans="1:6" s="13" customFormat="1" ht="26.25">
      <c r="A11" s="27" t="s">
        <v>19</v>
      </c>
      <c r="B11" s="28">
        <v>25265</v>
      </c>
      <c r="C11" s="28">
        <v>25265</v>
      </c>
      <c r="D11" s="28">
        <v>0</v>
      </c>
      <c r="E11" s="26">
        <v>-25265</v>
      </c>
      <c r="F11" s="24">
        <v>-1</v>
      </c>
    </row>
    <row r="12" spans="1:6" s="13" customFormat="1" ht="26.25">
      <c r="A12" s="29" t="s">
        <v>20</v>
      </c>
      <c r="B12" s="28">
        <v>1268868.1800000002</v>
      </c>
      <c r="C12" s="28">
        <v>1273767</v>
      </c>
      <c r="D12" s="28">
        <v>1283572</v>
      </c>
      <c r="E12" s="26">
        <v>9805</v>
      </c>
      <c r="F12" s="24">
        <v>7.6976401492580672E-3</v>
      </c>
    </row>
    <row r="13" spans="1:6" s="13" customFormat="1" ht="26.25">
      <c r="A13" s="29" t="s">
        <v>21</v>
      </c>
      <c r="B13" s="28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8">
        <v>525604</v>
      </c>
      <c r="C14" s="28">
        <v>525604</v>
      </c>
      <c r="D14" s="28">
        <v>525604</v>
      </c>
      <c r="E14" s="26">
        <v>0</v>
      </c>
      <c r="F14" s="24">
        <v>0</v>
      </c>
    </row>
    <row r="15" spans="1:6" s="13" customFormat="1" ht="26.25">
      <c r="A15" s="29" t="s">
        <v>23</v>
      </c>
      <c r="B15" s="28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8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8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8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4">
        <v>31146338.18</v>
      </c>
      <c r="C34" s="34">
        <v>31151238</v>
      </c>
      <c r="D34" s="34">
        <v>28793790</v>
      </c>
      <c r="E34" s="34">
        <v>-2357448</v>
      </c>
      <c r="F34" s="35">
        <v>-7.567750597905612E-2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13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13" customFormat="1" ht="26.25">
      <c r="A38" s="38" t="s">
        <v>46</v>
      </c>
      <c r="B38" s="23">
        <v>3560956</v>
      </c>
      <c r="C38" s="23">
        <v>0</v>
      </c>
      <c r="D38" s="23">
        <v>0</v>
      </c>
      <c r="E38" s="26">
        <v>0</v>
      </c>
      <c r="F38" s="24">
        <v>0</v>
      </c>
    </row>
    <row r="39" spans="1:10" s="13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13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3560956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9210526</v>
      </c>
      <c r="C45" s="42">
        <v>9210526</v>
      </c>
      <c r="D45" s="42">
        <v>0</v>
      </c>
      <c r="E45" s="42">
        <v>-9210526</v>
      </c>
      <c r="F45" s="35">
        <v>-1</v>
      </c>
    </row>
    <row r="46" spans="1:10" s="13" customFormat="1" ht="26.25">
      <c r="A46" s="29" t="s">
        <v>50</v>
      </c>
      <c r="B46" s="28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27579975.93</v>
      </c>
      <c r="C47" s="40">
        <v>25694054</v>
      </c>
      <c r="D47" s="40">
        <v>36159830</v>
      </c>
      <c r="E47" s="40">
        <v>10465776</v>
      </c>
      <c r="F47" s="35">
        <v>0.40732287711390347</v>
      </c>
    </row>
    <row r="48" spans="1:10" s="13" customFormat="1" ht="26.25">
      <c r="A48" s="29" t="s">
        <v>50</v>
      </c>
      <c r="B48" s="28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8"/>
      <c r="C52" s="28"/>
      <c r="D52" s="28"/>
      <c r="E52" s="28"/>
      <c r="F52" s="20"/>
    </row>
    <row r="53" spans="1:6" s="36" customFormat="1" ht="26.25">
      <c r="A53" s="46" t="s">
        <v>56</v>
      </c>
      <c r="B53" s="40">
        <v>64375884.109999999</v>
      </c>
      <c r="C53" s="40">
        <v>66055818</v>
      </c>
      <c r="D53" s="40">
        <v>64953620</v>
      </c>
      <c r="E53" s="40">
        <v>-1102198</v>
      </c>
      <c r="F53" s="35">
        <v>-1.6685858011780279E-2</v>
      </c>
    </row>
    <row r="54" spans="1:6" s="13" customFormat="1" ht="26.25">
      <c r="A54" s="47"/>
      <c r="B54" s="28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28151016.300000001</v>
      </c>
      <c r="C57" s="19">
        <v>27462716</v>
      </c>
      <c r="D57" s="19">
        <v>26674266.399999999</v>
      </c>
      <c r="E57" s="19">
        <v>-788449.60000000149</v>
      </c>
      <c r="F57" s="24">
        <v>-2.8709818795781213E-2</v>
      </c>
    </row>
    <row r="58" spans="1:6" s="13" customFormat="1" ht="26.25">
      <c r="A58" s="29" t="s">
        <v>59</v>
      </c>
      <c r="B58" s="28">
        <v>2902739.3499999996</v>
      </c>
      <c r="C58" s="28">
        <v>3407156</v>
      </c>
      <c r="D58" s="28">
        <v>3629828.6</v>
      </c>
      <c r="E58" s="28">
        <v>222672.60000000009</v>
      </c>
      <c r="F58" s="24">
        <v>6.5354389408644659E-2</v>
      </c>
    </row>
    <row r="59" spans="1:6" s="13" customFormat="1" ht="26.25">
      <c r="A59" s="29" t="s">
        <v>60</v>
      </c>
      <c r="B59" s="28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13" customFormat="1" ht="26.25">
      <c r="A60" s="29" t="s">
        <v>61</v>
      </c>
      <c r="B60" s="28">
        <v>5773254.1200000001</v>
      </c>
      <c r="C60" s="28">
        <v>5587631</v>
      </c>
      <c r="D60" s="28">
        <v>6074896</v>
      </c>
      <c r="E60" s="28">
        <v>487265</v>
      </c>
      <c r="F60" s="24">
        <v>8.7204219462595156E-2</v>
      </c>
    </row>
    <row r="61" spans="1:6" s="13" customFormat="1" ht="26.25">
      <c r="A61" s="29" t="s">
        <v>62</v>
      </c>
      <c r="B61" s="28">
        <v>3939502.54</v>
      </c>
      <c r="C61" s="28">
        <v>3963163</v>
      </c>
      <c r="D61" s="28">
        <v>3850010</v>
      </c>
      <c r="E61" s="28">
        <v>-113153</v>
      </c>
      <c r="F61" s="24">
        <v>-2.8551185000465537E-2</v>
      </c>
    </row>
    <row r="62" spans="1:6" s="13" customFormat="1" ht="26.25">
      <c r="A62" s="29" t="s">
        <v>63</v>
      </c>
      <c r="B62" s="28">
        <v>7518402.7400000002</v>
      </c>
      <c r="C62" s="28">
        <v>7321028</v>
      </c>
      <c r="D62" s="28">
        <v>7899753</v>
      </c>
      <c r="E62" s="28">
        <v>578725</v>
      </c>
      <c r="F62" s="24">
        <v>7.9049690835767877E-2</v>
      </c>
    </row>
    <row r="63" spans="1:6" s="13" customFormat="1" ht="26.25">
      <c r="A63" s="29" t="s">
        <v>64</v>
      </c>
      <c r="B63" s="28">
        <v>4619411.41</v>
      </c>
      <c r="C63" s="28">
        <v>4635000</v>
      </c>
      <c r="D63" s="28">
        <v>4663440</v>
      </c>
      <c r="E63" s="28">
        <v>28440</v>
      </c>
      <c r="F63" s="24">
        <v>6.1359223300970871E-3</v>
      </c>
    </row>
    <row r="64" spans="1:6" s="13" customFormat="1" ht="26.25">
      <c r="A64" s="29" t="s">
        <v>65</v>
      </c>
      <c r="B64" s="28">
        <v>5987646.7000000002</v>
      </c>
      <c r="C64" s="28">
        <v>8003496</v>
      </c>
      <c r="D64" s="28">
        <v>6530334</v>
      </c>
      <c r="E64" s="28">
        <v>-1473162</v>
      </c>
      <c r="F64" s="24">
        <v>-0.18406481367642341</v>
      </c>
    </row>
    <row r="65" spans="1:6" s="36" customFormat="1" ht="26.25">
      <c r="A65" s="49" t="s">
        <v>66</v>
      </c>
      <c r="B65" s="34">
        <v>58891973.159999996</v>
      </c>
      <c r="C65" s="34">
        <v>60380190</v>
      </c>
      <c r="D65" s="34">
        <v>59322528</v>
      </c>
      <c r="E65" s="34">
        <v>-1057662</v>
      </c>
      <c r="F65" s="35">
        <v>-1.7516705396256618E-2</v>
      </c>
    </row>
    <row r="66" spans="1:6" s="13" customFormat="1" ht="26.25">
      <c r="A66" s="29" t="s">
        <v>67</v>
      </c>
      <c r="B66" s="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8">
        <v>1665922.7799999998</v>
      </c>
      <c r="C67" s="28">
        <v>2006631</v>
      </c>
      <c r="D67" s="28">
        <v>1962095</v>
      </c>
      <c r="E67" s="28">
        <v>-44536</v>
      </c>
      <c r="F67" s="24">
        <v>-2.2194414418993825E-2</v>
      </c>
    </row>
    <row r="68" spans="1:6" s="13" customFormat="1" ht="26.25">
      <c r="A68" s="29" t="s">
        <v>69</v>
      </c>
      <c r="B68" s="28">
        <v>3258321.9</v>
      </c>
      <c r="C68" s="28">
        <v>3087393</v>
      </c>
      <c r="D68" s="28">
        <v>3087393</v>
      </c>
      <c r="E68" s="28">
        <v>0</v>
      </c>
      <c r="F68" s="24">
        <v>0</v>
      </c>
    </row>
    <row r="69" spans="1:6" s="13" customFormat="1" ht="26.25">
      <c r="A69" s="29" t="s">
        <v>70</v>
      </c>
      <c r="B69" s="28">
        <v>559666.5</v>
      </c>
      <c r="C69" s="28">
        <v>581604</v>
      </c>
      <c r="D69" s="28">
        <v>581604</v>
      </c>
      <c r="E69" s="28">
        <v>0</v>
      </c>
      <c r="F69" s="24">
        <v>0</v>
      </c>
    </row>
    <row r="70" spans="1:6" s="36" customFormat="1" ht="26.25">
      <c r="A70" s="50" t="s">
        <v>71</v>
      </c>
      <c r="B70" s="260">
        <v>64375884.339999996</v>
      </c>
      <c r="C70" s="51">
        <v>66055818</v>
      </c>
      <c r="D70" s="51">
        <v>64953620</v>
      </c>
      <c r="E70" s="51">
        <v>-1102198</v>
      </c>
      <c r="F70" s="35">
        <v>-1.6685858011780279E-2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35850525.609999992</v>
      </c>
      <c r="C73" s="23">
        <v>35108919</v>
      </c>
      <c r="D73" s="23">
        <v>34049643</v>
      </c>
      <c r="E73" s="19">
        <v>-1059276</v>
      </c>
      <c r="F73" s="24">
        <v>-3.0171136855566529E-2</v>
      </c>
    </row>
    <row r="74" spans="1:6" s="13" customFormat="1" ht="26.25">
      <c r="A74" s="29" t="s">
        <v>74</v>
      </c>
      <c r="B74" s="255">
        <v>652680.86</v>
      </c>
      <c r="C74" s="23">
        <v>649927</v>
      </c>
      <c r="D74" s="23">
        <v>691112</v>
      </c>
      <c r="E74" s="28">
        <v>41185</v>
      </c>
      <c r="F74" s="24">
        <v>6.3368655248974115E-2</v>
      </c>
    </row>
    <row r="75" spans="1:6" s="13" customFormat="1" ht="26.25">
      <c r="A75" s="29" t="s">
        <v>75</v>
      </c>
      <c r="B75" s="19">
        <v>12319211.699999999</v>
      </c>
      <c r="C75" s="23">
        <v>12623499</v>
      </c>
      <c r="D75" s="23">
        <v>14131329</v>
      </c>
      <c r="E75" s="28">
        <v>1507830</v>
      </c>
      <c r="F75" s="24">
        <v>0.11944628030627641</v>
      </c>
    </row>
    <row r="76" spans="1:6" s="36" customFormat="1" ht="26.25">
      <c r="A76" s="49" t="s">
        <v>76</v>
      </c>
      <c r="B76" s="260">
        <v>48822418.169999987</v>
      </c>
      <c r="C76" s="51">
        <v>48382345</v>
      </c>
      <c r="D76" s="51">
        <v>48872084</v>
      </c>
      <c r="E76" s="34">
        <v>489739</v>
      </c>
      <c r="F76" s="35">
        <v>1.0122266706998184E-2</v>
      </c>
    </row>
    <row r="77" spans="1:6" s="13" customFormat="1" ht="26.25">
      <c r="A77" s="29" t="s">
        <v>77</v>
      </c>
      <c r="B77" s="255">
        <v>106899.04</v>
      </c>
      <c r="C77" s="26">
        <v>133057</v>
      </c>
      <c r="D77" s="26">
        <v>129252</v>
      </c>
      <c r="E77" s="28">
        <v>-3805</v>
      </c>
      <c r="F77" s="24">
        <v>-2.8596766799191323E-2</v>
      </c>
    </row>
    <row r="78" spans="1:6" s="13" customFormat="1" ht="26.25">
      <c r="A78" s="29" t="s">
        <v>78</v>
      </c>
      <c r="B78" s="23">
        <v>3177394.69</v>
      </c>
      <c r="C78" s="23">
        <v>4188606</v>
      </c>
      <c r="D78" s="23">
        <v>3638280</v>
      </c>
      <c r="E78" s="28">
        <v>-550326</v>
      </c>
      <c r="F78" s="24">
        <v>-0.13138643262221369</v>
      </c>
    </row>
    <row r="79" spans="1:6" s="13" customFormat="1" ht="26.25">
      <c r="A79" s="29" t="s">
        <v>79</v>
      </c>
      <c r="B79" s="19">
        <v>516477.51</v>
      </c>
      <c r="C79" s="19">
        <v>733139</v>
      </c>
      <c r="D79" s="19">
        <v>698910</v>
      </c>
      <c r="E79" s="28">
        <v>-34229</v>
      </c>
      <c r="F79" s="24">
        <v>-4.6688281485502747E-2</v>
      </c>
    </row>
    <row r="80" spans="1:6" s="36" customFormat="1" ht="26.25">
      <c r="A80" s="32" t="s">
        <v>80</v>
      </c>
      <c r="B80" s="260">
        <v>3800771.24</v>
      </c>
      <c r="C80" s="51">
        <v>5054802</v>
      </c>
      <c r="D80" s="51">
        <v>4466442</v>
      </c>
      <c r="E80" s="34">
        <v>-588360</v>
      </c>
      <c r="F80" s="35">
        <v>-0.11639625053562928</v>
      </c>
    </row>
    <row r="81" spans="1:6" s="13" customFormat="1" ht="26.25">
      <c r="A81" s="29" t="s">
        <v>81</v>
      </c>
      <c r="B81" s="19">
        <v>153920.32000000001</v>
      </c>
      <c r="C81" s="19">
        <v>100543</v>
      </c>
      <c r="D81" s="19">
        <v>165543</v>
      </c>
      <c r="E81" s="28">
        <v>65000</v>
      </c>
      <c r="F81" s="24">
        <v>0.64648956168007721</v>
      </c>
    </row>
    <row r="82" spans="1:6" s="13" customFormat="1" ht="26.25">
      <c r="A82" s="29" t="s">
        <v>82</v>
      </c>
      <c r="B82" s="28">
        <v>8810050.6799999997</v>
      </c>
      <c r="C82" s="28">
        <v>8607497</v>
      </c>
      <c r="D82" s="28">
        <v>8635937</v>
      </c>
      <c r="E82" s="28">
        <v>28440</v>
      </c>
      <c r="F82" s="24">
        <v>3.3040964173440897E-3</v>
      </c>
    </row>
    <row r="83" spans="1:6" s="13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28">
        <v>1665922.7799999998</v>
      </c>
      <c r="C84" s="28">
        <v>2006631</v>
      </c>
      <c r="D84" s="28">
        <v>1962095</v>
      </c>
      <c r="E84" s="28">
        <v>-44536</v>
      </c>
      <c r="F84" s="24">
        <v>-2.2194414418993825E-2</v>
      </c>
    </row>
    <row r="85" spans="1:6" s="36" customFormat="1" ht="26.25">
      <c r="A85" s="32" t="s">
        <v>85</v>
      </c>
      <c r="B85" s="34">
        <v>10629893.779999999</v>
      </c>
      <c r="C85" s="34">
        <v>10714671</v>
      </c>
      <c r="D85" s="34">
        <v>10763575</v>
      </c>
      <c r="E85" s="34">
        <v>48904</v>
      </c>
      <c r="F85" s="35">
        <v>4.5642092043703441E-3</v>
      </c>
    </row>
    <row r="86" spans="1:6" s="13" customFormat="1" ht="26.25">
      <c r="A86" s="29" t="s">
        <v>86</v>
      </c>
      <c r="B86" s="28">
        <v>237189.26999999996</v>
      </c>
      <c r="C86" s="28">
        <v>4000</v>
      </c>
      <c r="D86" s="28">
        <v>751519</v>
      </c>
      <c r="E86" s="28">
        <v>747519</v>
      </c>
      <c r="F86" s="24">
        <v>186.87975</v>
      </c>
    </row>
    <row r="87" spans="1:6" s="13" customFormat="1" ht="26.25">
      <c r="A87" s="29" t="s">
        <v>87</v>
      </c>
      <c r="B87" s="28">
        <v>86686.06</v>
      </c>
      <c r="C87" s="28">
        <v>100000</v>
      </c>
      <c r="D87" s="28">
        <v>100000</v>
      </c>
      <c r="E87" s="28">
        <v>0</v>
      </c>
      <c r="F87" s="24">
        <v>0</v>
      </c>
    </row>
    <row r="88" spans="1:6" s="13" customFormat="1" ht="26.25">
      <c r="A88" s="38" t="s">
        <v>88</v>
      </c>
      <c r="B88" s="28">
        <v>798925.82000000007</v>
      </c>
      <c r="C88" s="28">
        <v>1800000</v>
      </c>
      <c r="D88" s="28">
        <v>0</v>
      </c>
      <c r="E88" s="28">
        <v>-1800000</v>
      </c>
      <c r="F88" s="24">
        <v>-1</v>
      </c>
    </row>
    <row r="89" spans="1:6" s="36" customFormat="1" ht="26.25">
      <c r="A89" s="52" t="s">
        <v>89</v>
      </c>
      <c r="B89" s="260">
        <v>1122801.1499999999</v>
      </c>
      <c r="C89" s="51">
        <v>1904000</v>
      </c>
      <c r="D89" s="51">
        <v>851519</v>
      </c>
      <c r="E89" s="51">
        <v>-1052481</v>
      </c>
      <c r="F89" s="35">
        <v>-0.55277363445378147</v>
      </c>
    </row>
    <row r="90" spans="1:6" s="13" customFormat="1" ht="26.25">
      <c r="A90" s="38" t="s">
        <v>90</v>
      </c>
      <c r="B90" s="28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36" customFormat="1" ht="27" thickBot="1">
      <c r="A91" s="53" t="s">
        <v>71</v>
      </c>
      <c r="B91" s="263">
        <v>64375884.339999989</v>
      </c>
      <c r="C91" s="54">
        <v>66055818</v>
      </c>
      <c r="D91" s="55">
        <v>64953620</v>
      </c>
      <c r="E91" s="54">
        <v>-1102198</v>
      </c>
      <c r="F91" s="56">
        <v>-1.6685858011780279E-2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2" bottom="0.3" header="0.3" footer="0.3"/>
  <pageSetup scale="3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zoomScale="50" zoomScaleNormal="50" workbookViewId="0">
      <selection activeCell="B8" sqref="B8:B91"/>
    </sheetView>
  </sheetViews>
  <sheetFormatPr defaultColWidth="31.85546875" defaultRowHeight="15.75"/>
  <cols>
    <col min="1" max="1" width="104.7109375" style="65" customWidth="1"/>
    <col min="2" max="4" width="31.85546875" style="66"/>
    <col min="5" max="16384" width="31.85546875" style="65"/>
  </cols>
  <sheetData>
    <row r="1" spans="1:6" s="6" customFormat="1" ht="46.5">
      <c r="A1" s="1" t="s">
        <v>0</v>
      </c>
      <c r="D1" s="277" t="s">
        <v>1</v>
      </c>
      <c r="E1" s="4" t="s">
        <v>102</v>
      </c>
      <c r="F1" s="278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97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43425014</v>
      </c>
      <c r="C8" s="23">
        <v>43425014</v>
      </c>
      <c r="D8" s="23">
        <v>42229896</v>
      </c>
      <c r="E8" s="23">
        <v>-1195118</v>
      </c>
      <c r="F8" s="24">
        <v>-2.75214188762265E-2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55">
        <v>1998970</v>
      </c>
      <c r="C10" s="26">
        <v>2006567</v>
      </c>
      <c r="D10" s="26">
        <v>1990421</v>
      </c>
      <c r="E10" s="26">
        <v>-16146</v>
      </c>
      <c r="F10" s="24">
        <v>-8.0465790576641598E-3</v>
      </c>
    </row>
    <row r="11" spans="1:6" s="13" customFormat="1" ht="26.25">
      <c r="A11" s="122" t="s">
        <v>19</v>
      </c>
      <c r="B11" s="28">
        <v>31350</v>
      </c>
      <c r="C11" s="28">
        <v>31350</v>
      </c>
      <c r="D11" s="28">
        <v>0</v>
      </c>
      <c r="E11" s="26">
        <v>-31350</v>
      </c>
      <c r="F11" s="24">
        <v>-1</v>
      </c>
    </row>
    <row r="12" spans="1:6" s="13" customFormat="1" ht="26.25">
      <c r="A12" s="27" t="s">
        <v>20</v>
      </c>
      <c r="B12" s="28">
        <v>1967620</v>
      </c>
      <c r="C12" s="28">
        <v>1975217</v>
      </c>
      <c r="D12" s="28">
        <v>1990421</v>
      </c>
      <c r="E12" s="26">
        <v>15204</v>
      </c>
      <c r="F12" s="24">
        <v>7.697382110421285E-3</v>
      </c>
    </row>
    <row r="13" spans="1:6" s="13" customFormat="1" ht="26.25">
      <c r="A13" s="29" t="s">
        <v>21</v>
      </c>
      <c r="B13" s="28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8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13" customFormat="1" ht="26.25">
      <c r="A15" s="29" t="s">
        <v>23</v>
      </c>
      <c r="B15" s="28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8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8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8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4">
        <v>45423984</v>
      </c>
      <c r="C34" s="34">
        <v>45431581</v>
      </c>
      <c r="D34" s="34">
        <v>44220317</v>
      </c>
      <c r="E34" s="34">
        <v>-1211264</v>
      </c>
      <c r="F34" s="35">
        <v>-2.666127775742605E-2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13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13" customFormat="1" ht="26.25">
      <c r="A38" s="38" t="s">
        <v>46</v>
      </c>
      <c r="B38" s="23">
        <v>5059234</v>
      </c>
      <c r="C38" s="23">
        <v>0</v>
      </c>
      <c r="D38" s="23">
        <v>0</v>
      </c>
      <c r="E38" s="26">
        <v>0</v>
      </c>
      <c r="F38" s="24">
        <v>0</v>
      </c>
    </row>
    <row r="39" spans="1:10" s="13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13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5059234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12955497</v>
      </c>
      <c r="C45" s="42">
        <v>12955497</v>
      </c>
      <c r="D45" s="42">
        <v>0</v>
      </c>
      <c r="E45" s="42">
        <v>-12955497</v>
      </c>
      <c r="F45" s="35">
        <v>-1</v>
      </c>
    </row>
    <row r="46" spans="1:10" s="13" customFormat="1" ht="26.25">
      <c r="A46" s="29" t="s">
        <v>50</v>
      </c>
      <c r="B46" s="28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45056989</v>
      </c>
      <c r="C47" s="40">
        <v>40906170</v>
      </c>
      <c r="D47" s="40">
        <v>55934830</v>
      </c>
      <c r="E47" s="40">
        <v>15028660</v>
      </c>
      <c r="F47" s="35">
        <v>0.36739347633865505</v>
      </c>
    </row>
    <row r="48" spans="1:10" s="13" customFormat="1" ht="26.25">
      <c r="A48" s="29" t="s">
        <v>50</v>
      </c>
      <c r="B48" s="28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8"/>
      <c r="C52" s="28"/>
      <c r="D52" s="28"/>
      <c r="E52" s="28"/>
      <c r="F52" s="20"/>
    </row>
    <row r="53" spans="1:6" s="36" customFormat="1" ht="26.25">
      <c r="A53" s="46" t="s">
        <v>56</v>
      </c>
      <c r="B53" s="40">
        <v>98377236</v>
      </c>
      <c r="C53" s="40">
        <v>99293248</v>
      </c>
      <c r="D53" s="40">
        <v>100155147</v>
      </c>
      <c r="E53" s="40">
        <v>861899</v>
      </c>
      <c r="F53" s="35">
        <v>8.6803384657131982E-3</v>
      </c>
    </row>
    <row r="54" spans="1:6" s="13" customFormat="1" ht="26.25">
      <c r="A54" s="47"/>
      <c r="B54" s="28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34717051</v>
      </c>
      <c r="C57" s="19">
        <v>38059291</v>
      </c>
      <c r="D57" s="19">
        <v>37435791</v>
      </c>
      <c r="E57" s="19">
        <v>-623500</v>
      </c>
      <c r="F57" s="24">
        <v>-1.6382333554243036E-2</v>
      </c>
    </row>
    <row r="58" spans="1:6" s="13" customFormat="1" ht="26.25">
      <c r="A58" s="29" t="s">
        <v>59</v>
      </c>
      <c r="B58" s="28">
        <v>11056340</v>
      </c>
      <c r="C58" s="28">
        <v>11564490</v>
      </c>
      <c r="D58" s="28">
        <v>11641678</v>
      </c>
      <c r="E58" s="28">
        <v>77188</v>
      </c>
      <c r="F58" s="24">
        <v>6.6745701712743058E-3</v>
      </c>
    </row>
    <row r="59" spans="1:6" s="13" customFormat="1" ht="26.25">
      <c r="A59" s="29" t="s">
        <v>60</v>
      </c>
      <c r="B59" s="28">
        <v>189219</v>
      </c>
      <c r="C59" s="28">
        <v>205123</v>
      </c>
      <c r="D59" s="28">
        <v>209697</v>
      </c>
      <c r="E59" s="28">
        <v>4574</v>
      </c>
      <c r="F59" s="24">
        <v>2.229881583245175E-2</v>
      </c>
    </row>
    <row r="60" spans="1:6" s="13" customFormat="1" ht="26.25">
      <c r="A60" s="29" t="s">
        <v>61</v>
      </c>
      <c r="B60" s="28">
        <v>10252505</v>
      </c>
      <c r="C60" s="28">
        <v>10350970</v>
      </c>
      <c r="D60" s="28">
        <v>9865437</v>
      </c>
      <c r="E60" s="28">
        <v>-485533</v>
      </c>
      <c r="F60" s="24">
        <v>-4.6907004850753116E-2</v>
      </c>
    </row>
    <row r="61" spans="1:6" s="13" customFormat="1" ht="26.25">
      <c r="A61" s="29" t="s">
        <v>62</v>
      </c>
      <c r="B61" s="28">
        <v>4101801</v>
      </c>
      <c r="C61" s="28">
        <v>3609489</v>
      </c>
      <c r="D61" s="28">
        <v>3619059</v>
      </c>
      <c r="E61" s="28">
        <v>9570</v>
      </c>
      <c r="F61" s="24">
        <v>2.6513448302515953E-3</v>
      </c>
    </row>
    <row r="62" spans="1:6" s="13" customFormat="1" ht="26.25">
      <c r="A62" s="29" t="s">
        <v>63</v>
      </c>
      <c r="B62" s="28">
        <v>8896431</v>
      </c>
      <c r="C62" s="28">
        <v>8528198</v>
      </c>
      <c r="D62" s="28">
        <v>8507890</v>
      </c>
      <c r="E62" s="28">
        <v>-20308</v>
      </c>
      <c r="F62" s="24">
        <v>-2.3812767949337012E-3</v>
      </c>
    </row>
    <row r="63" spans="1:6" s="13" customFormat="1" ht="26.25">
      <c r="A63" s="29" t="s">
        <v>64</v>
      </c>
      <c r="B63" s="28">
        <v>12901459</v>
      </c>
      <c r="C63" s="28">
        <v>10966709</v>
      </c>
      <c r="D63" s="28">
        <v>12799809</v>
      </c>
      <c r="E63" s="28">
        <v>1833100</v>
      </c>
      <c r="F63" s="24">
        <v>0.16715133044927152</v>
      </c>
    </row>
    <row r="64" spans="1:6" s="13" customFormat="1" ht="26.25">
      <c r="A64" s="29" t="s">
        <v>65</v>
      </c>
      <c r="B64" s="28">
        <v>10934539</v>
      </c>
      <c r="C64" s="28">
        <v>11106317</v>
      </c>
      <c r="D64" s="28">
        <v>11173125</v>
      </c>
      <c r="E64" s="28">
        <v>66808</v>
      </c>
      <c r="F64" s="24">
        <v>6.0153154281477831E-3</v>
      </c>
    </row>
    <row r="65" spans="1:6" s="36" customFormat="1" ht="26.25">
      <c r="A65" s="49" t="s">
        <v>66</v>
      </c>
      <c r="B65" s="34">
        <v>93049345</v>
      </c>
      <c r="C65" s="34">
        <v>94390587</v>
      </c>
      <c r="D65" s="34">
        <v>95252486</v>
      </c>
      <c r="E65" s="34">
        <v>861899</v>
      </c>
      <c r="F65" s="35">
        <v>9.1311965249246726E-3</v>
      </c>
    </row>
    <row r="66" spans="1:6" s="13" customFormat="1" ht="26.25">
      <c r="A66" s="29" t="s">
        <v>67</v>
      </c>
      <c r="B66" s="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8">
        <v>0</v>
      </c>
      <c r="C67" s="28">
        <v>0</v>
      </c>
      <c r="D67" s="28">
        <v>0</v>
      </c>
      <c r="E67" s="28">
        <v>0</v>
      </c>
      <c r="F67" s="24">
        <v>0</v>
      </c>
    </row>
    <row r="68" spans="1:6" s="13" customFormat="1" ht="26.25">
      <c r="A68" s="29" t="s">
        <v>69</v>
      </c>
      <c r="B68" s="28">
        <v>5327891</v>
      </c>
      <c r="C68" s="28">
        <v>4902661</v>
      </c>
      <c r="D68" s="28">
        <v>4902661</v>
      </c>
      <c r="E68" s="28">
        <v>0</v>
      </c>
      <c r="F68" s="24">
        <v>0</v>
      </c>
    </row>
    <row r="69" spans="1:6" s="13" customFormat="1" ht="26.25">
      <c r="A69" s="29" t="s">
        <v>70</v>
      </c>
      <c r="B69" s="28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50" t="s">
        <v>71</v>
      </c>
      <c r="B70" s="260">
        <v>98377236</v>
      </c>
      <c r="C70" s="51">
        <v>99293248</v>
      </c>
      <c r="D70" s="51">
        <v>100155147</v>
      </c>
      <c r="E70" s="51">
        <v>861899</v>
      </c>
      <c r="F70" s="35">
        <v>8.6803384657131982E-3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47689577</v>
      </c>
      <c r="C73" s="23">
        <v>48741090</v>
      </c>
      <c r="D73" s="23">
        <v>48252779</v>
      </c>
      <c r="E73" s="19">
        <v>-488311</v>
      </c>
      <c r="F73" s="24">
        <v>-1.0018466964936567E-2</v>
      </c>
    </row>
    <row r="74" spans="1:6" s="13" customFormat="1" ht="26.25">
      <c r="A74" s="29" t="s">
        <v>74</v>
      </c>
      <c r="B74" s="255">
        <v>1646447</v>
      </c>
      <c r="C74" s="23">
        <v>1783579</v>
      </c>
      <c r="D74" s="23">
        <v>1767331</v>
      </c>
      <c r="E74" s="28">
        <v>-16248</v>
      </c>
      <c r="F74" s="24">
        <v>-9.1097731022847881E-3</v>
      </c>
    </row>
    <row r="75" spans="1:6" s="13" customFormat="1" ht="26.25">
      <c r="A75" s="29" t="s">
        <v>75</v>
      </c>
      <c r="B75" s="19">
        <v>16664868</v>
      </c>
      <c r="C75" s="23">
        <v>17562694</v>
      </c>
      <c r="D75" s="23">
        <v>18970477</v>
      </c>
      <c r="E75" s="28">
        <v>1407783</v>
      </c>
      <c r="F75" s="24">
        <v>8.0157577191745183E-2</v>
      </c>
    </row>
    <row r="76" spans="1:6" s="36" customFormat="1" ht="26.25">
      <c r="A76" s="49" t="s">
        <v>76</v>
      </c>
      <c r="B76" s="260">
        <v>66000892</v>
      </c>
      <c r="C76" s="51">
        <v>68087363</v>
      </c>
      <c r="D76" s="51">
        <v>68990587</v>
      </c>
      <c r="E76" s="34">
        <v>903224</v>
      </c>
      <c r="F76" s="35">
        <v>1.3265662822042322E-2</v>
      </c>
    </row>
    <row r="77" spans="1:6" s="13" customFormat="1" ht="26.25">
      <c r="A77" s="29" t="s">
        <v>77</v>
      </c>
      <c r="B77" s="255">
        <v>286242</v>
      </c>
      <c r="C77" s="26">
        <v>369193</v>
      </c>
      <c r="D77" s="26">
        <v>332918</v>
      </c>
      <c r="E77" s="28">
        <v>-36275</v>
      </c>
      <c r="F77" s="24">
        <v>-9.8254842318245467E-2</v>
      </c>
    </row>
    <row r="78" spans="1:6" s="13" customFormat="1" ht="26.25">
      <c r="A78" s="29" t="s">
        <v>78</v>
      </c>
      <c r="B78" s="23">
        <v>6598894</v>
      </c>
      <c r="C78" s="23">
        <v>6422323</v>
      </c>
      <c r="D78" s="23">
        <v>6494960</v>
      </c>
      <c r="E78" s="28">
        <v>72637</v>
      </c>
      <c r="F78" s="24">
        <v>1.1310082037293983E-2</v>
      </c>
    </row>
    <row r="79" spans="1:6" s="13" customFormat="1" ht="26.25">
      <c r="A79" s="29" t="s">
        <v>79</v>
      </c>
      <c r="B79" s="19">
        <v>1978358</v>
      </c>
      <c r="C79" s="19">
        <v>1912622</v>
      </c>
      <c r="D79" s="19">
        <v>1594092</v>
      </c>
      <c r="E79" s="28">
        <v>-318530</v>
      </c>
      <c r="F79" s="24">
        <v>-0.16654101019438236</v>
      </c>
    </row>
    <row r="80" spans="1:6" s="36" customFormat="1" ht="26.25">
      <c r="A80" s="32" t="s">
        <v>80</v>
      </c>
      <c r="B80" s="260">
        <v>8863494</v>
      </c>
      <c r="C80" s="51">
        <v>8704138</v>
      </c>
      <c r="D80" s="51">
        <v>8421970</v>
      </c>
      <c r="E80" s="34">
        <v>-282168</v>
      </c>
      <c r="F80" s="35">
        <v>-3.2417684554174118E-2</v>
      </c>
    </row>
    <row r="81" spans="1:6" s="13" customFormat="1" ht="26.25">
      <c r="A81" s="29" t="s">
        <v>81</v>
      </c>
      <c r="B81" s="19">
        <v>145184</v>
      </c>
      <c r="C81" s="19">
        <v>152920</v>
      </c>
      <c r="D81" s="19">
        <v>154320</v>
      </c>
      <c r="E81" s="28">
        <v>1400</v>
      </c>
      <c r="F81" s="24">
        <v>9.1551137849856142E-3</v>
      </c>
    </row>
    <row r="82" spans="1:6" s="13" customFormat="1" ht="26.25">
      <c r="A82" s="29" t="s">
        <v>82</v>
      </c>
      <c r="B82" s="28">
        <v>18975792</v>
      </c>
      <c r="C82" s="28">
        <v>16216783</v>
      </c>
      <c r="D82" s="28">
        <v>17994973</v>
      </c>
      <c r="E82" s="28">
        <v>1778190</v>
      </c>
      <c r="F82" s="24">
        <v>0.1096512175071961</v>
      </c>
    </row>
    <row r="83" spans="1:6" s="13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28">
        <v>2551575</v>
      </c>
      <c r="C84" s="28">
        <v>2679542</v>
      </c>
      <c r="D84" s="28">
        <v>2683946</v>
      </c>
      <c r="E84" s="28">
        <v>4404</v>
      </c>
      <c r="F84" s="24">
        <v>1.6435644598965047E-3</v>
      </c>
    </row>
    <row r="85" spans="1:6" s="36" customFormat="1" ht="26.25">
      <c r="A85" s="32" t="s">
        <v>85</v>
      </c>
      <c r="B85" s="34">
        <v>21672551</v>
      </c>
      <c r="C85" s="34">
        <v>19049245</v>
      </c>
      <c r="D85" s="34">
        <v>20833239</v>
      </c>
      <c r="E85" s="34">
        <v>1783994</v>
      </c>
      <c r="F85" s="35">
        <v>9.3651690657556241E-2</v>
      </c>
    </row>
    <row r="86" spans="1:6" s="13" customFormat="1" ht="26.25">
      <c r="A86" s="29" t="s">
        <v>86</v>
      </c>
      <c r="B86" s="28">
        <v>934966</v>
      </c>
      <c r="C86" s="28">
        <v>2522213</v>
      </c>
      <c r="D86" s="28">
        <v>879062</v>
      </c>
      <c r="E86" s="28">
        <v>-1643151</v>
      </c>
      <c r="F86" s="24">
        <v>-0.65147194150533683</v>
      </c>
    </row>
    <row r="87" spans="1:6" s="13" customFormat="1" ht="26.25">
      <c r="A87" s="29" t="s">
        <v>87</v>
      </c>
      <c r="B87" s="28">
        <v>905333</v>
      </c>
      <c r="C87" s="28">
        <v>930289</v>
      </c>
      <c r="D87" s="28">
        <v>1030289</v>
      </c>
      <c r="E87" s="28">
        <v>100000</v>
      </c>
      <c r="F87" s="24">
        <v>0.10749347783323247</v>
      </c>
    </row>
    <row r="88" spans="1:6" s="13" customFormat="1" ht="26.25">
      <c r="A88" s="38" t="s">
        <v>88</v>
      </c>
      <c r="B88" s="28">
        <v>0</v>
      </c>
      <c r="C88" s="28">
        <v>0</v>
      </c>
      <c r="D88" s="28">
        <v>0</v>
      </c>
      <c r="E88" s="28">
        <v>0</v>
      </c>
      <c r="F88" s="24">
        <v>0</v>
      </c>
    </row>
    <row r="89" spans="1:6" s="36" customFormat="1" ht="26.25">
      <c r="A89" s="52" t="s">
        <v>89</v>
      </c>
      <c r="B89" s="260">
        <v>1840299</v>
      </c>
      <c r="C89" s="51">
        <v>3452502</v>
      </c>
      <c r="D89" s="51">
        <v>1909351</v>
      </c>
      <c r="E89" s="51">
        <v>-1543151</v>
      </c>
      <c r="F89" s="35">
        <v>-0.44696599741289073</v>
      </c>
    </row>
    <row r="90" spans="1:6" s="13" customFormat="1" ht="26.25">
      <c r="A90" s="38" t="s">
        <v>90</v>
      </c>
      <c r="B90" s="28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36" customFormat="1" ht="27" thickBot="1">
      <c r="A91" s="53" t="s">
        <v>71</v>
      </c>
      <c r="B91" s="263">
        <v>98377236</v>
      </c>
      <c r="C91" s="54">
        <v>99293248</v>
      </c>
      <c r="D91" s="55">
        <v>100155147</v>
      </c>
      <c r="E91" s="54">
        <v>861899</v>
      </c>
      <c r="F91" s="56">
        <v>8.6803384657131982E-3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28999999999999998" bottom="0.3" header="0.3" footer="0.3"/>
  <pageSetup scale="3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zoomScale="50" zoomScaleNormal="50" workbookViewId="0">
      <selection activeCell="B8" sqref="B8:B91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4.28515625" style="65" customWidth="1"/>
    <col min="6" max="6" width="28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4" t="s">
        <v>96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38994843</v>
      </c>
      <c r="C8" s="23">
        <v>38994843</v>
      </c>
      <c r="D8" s="23">
        <v>35703648</v>
      </c>
      <c r="E8" s="23">
        <v>-3291195</v>
      </c>
      <c r="F8" s="24">
        <v>-8.4400775764118349E-2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55">
        <v>1998425</v>
      </c>
      <c r="C10" s="26">
        <v>2005674</v>
      </c>
      <c r="D10" s="26">
        <v>1899424</v>
      </c>
      <c r="E10" s="26">
        <v>-106250</v>
      </c>
      <c r="F10" s="24">
        <v>-5.2974710745614689E-2</v>
      </c>
    </row>
    <row r="11" spans="1:6" s="13" customFormat="1" ht="26.25">
      <c r="A11" s="27" t="s">
        <v>19</v>
      </c>
      <c r="B11" s="28">
        <v>30759</v>
      </c>
      <c r="C11" s="28">
        <v>30759</v>
      </c>
      <c r="D11" s="28">
        <v>0</v>
      </c>
      <c r="E11" s="26">
        <v>-30759</v>
      </c>
      <c r="F11" s="24">
        <v>-1</v>
      </c>
    </row>
    <row r="12" spans="1:6" s="13" customFormat="1" ht="26.25">
      <c r="A12" s="29" t="s">
        <v>20</v>
      </c>
      <c r="B12" s="28">
        <v>1877666</v>
      </c>
      <c r="C12" s="28">
        <v>1884915</v>
      </c>
      <c r="D12" s="28">
        <v>1899424</v>
      </c>
      <c r="E12" s="26">
        <v>14509</v>
      </c>
      <c r="F12" s="24">
        <v>7.6974293270518834E-3</v>
      </c>
    </row>
    <row r="13" spans="1:6" s="13" customFormat="1" ht="26.25">
      <c r="A13" s="29" t="s">
        <v>21</v>
      </c>
      <c r="B13" s="28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8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13" customFormat="1" ht="26.25">
      <c r="A15" s="29" t="s">
        <v>23</v>
      </c>
      <c r="B15" s="28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8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8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8">
        <v>90000</v>
      </c>
      <c r="C28" s="28">
        <v>90000</v>
      </c>
      <c r="D28" s="28">
        <v>0</v>
      </c>
      <c r="E28" s="26">
        <v>-90000</v>
      </c>
      <c r="F28" s="24">
        <v>-1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8"/>
      <c r="C33" s="28">
        <v>0</v>
      </c>
      <c r="D33" s="28">
        <v>0</v>
      </c>
      <c r="E33" s="26">
        <v>0</v>
      </c>
      <c r="F33" s="24">
        <v>0</v>
      </c>
    </row>
    <row r="34" spans="1:10" s="36" customFormat="1" ht="26.25">
      <c r="A34" s="33" t="s">
        <v>42</v>
      </c>
      <c r="B34" s="34">
        <v>40993268</v>
      </c>
      <c r="C34" s="34">
        <v>41000517</v>
      </c>
      <c r="D34" s="34">
        <v>37603072</v>
      </c>
      <c r="E34" s="34">
        <v>-3397445</v>
      </c>
      <c r="F34" s="35">
        <v>-8.2863467307009817E-2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13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13" customFormat="1" ht="26.25">
      <c r="A38" s="77" t="s">
        <v>94</v>
      </c>
      <c r="B38" s="78">
        <v>4532222</v>
      </c>
      <c r="C38" s="23">
        <v>0</v>
      </c>
      <c r="D38" s="23">
        <v>0</v>
      </c>
      <c r="E38" s="26">
        <v>0</v>
      </c>
      <c r="F38" s="24">
        <v>0</v>
      </c>
    </row>
    <row r="39" spans="1:10" s="13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13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4532222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11698812</v>
      </c>
      <c r="C45" s="42">
        <v>11698812</v>
      </c>
      <c r="D45" s="42">
        <v>0</v>
      </c>
      <c r="E45" s="42">
        <v>-11698812</v>
      </c>
      <c r="F45" s="35">
        <v>-1</v>
      </c>
    </row>
    <row r="46" spans="1:10" s="13" customFormat="1" ht="26.25">
      <c r="A46" s="29" t="s">
        <v>50</v>
      </c>
      <c r="B46" s="28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35094987</v>
      </c>
      <c r="C47" s="40">
        <v>30580897</v>
      </c>
      <c r="D47" s="79">
        <v>43171843</v>
      </c>
      <c r="E47" s="40">
        <v>12590946</v>
      </c>
      <c r="F47" s="35">
        <v>0.41172585617746921</v>
      </c>
    </row>
    <row r="48" spans="1:10" s="13" customFormat="1" ht="26.25">
      <c r="A48" s="29" t="s">
        <v>50</v>
      </c>
      <c r="B48" s="28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8"/>
      <c r="C52" s="28"/>
      <c r="D52" s="28"/>
      <c r="E52" s="28"/>
      <c r="F52" s="20"/>
    </row>
    <row r="53" spans="1:6" s="36" customFormat="1" ht="26.25">
      <c r="A53" s="46" t="s">
        <v>56</v>
      </c>
      <c r="B53" s="40">
        <v>83254842</v>
      </c>
      <c r="C53" s="40">
        <v>83280226</v>
      </c>
      <c r="D53" s="40">
        <v>80774915</v>
      </c>
      <c r="E53" s="40">
        <v>-2505311</v>
      </c>
      <c r="F53" s="35">
        <v>-3.0082903473388749E-2</v>
      </c>
    </row>
    <row r="54" spans="1:6" s="13" customFormat="1" ht="26.25">
      <c r="A54" s="47"/>
      <c r="B54" s="28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36461276.390000001</v>
      </c>
      <c r="C57" s="19">
        <v>38588110</v>
      </c>
      <c r="D57" s="19">
        <v>37503868</v>
      </c>
      <c r="E57" s="19">
        <v>-1084242</v>
      </c>
      <c r="F57" s="24">
        <v>-2.8097825988367919E-2</v>
      </c>
    </row>
    <row r="58" spans="1:6" s="13" customFormat="1" ht="26.25">
      <c r="A58" s="29" t="s">
        <v>59</v>
      </c>
      <c r="B58" s="28">
        <v>3857864</v>
      </c>
      <c r="C58" s="80">
        <v>4254656</v>
      </c>
      <c r="D58" s="28">
        <v>3929727</v>
      </c>
      <c r="E58" s="28">
        <v>-324929</v>
      </c>
      <c r="F58" s="24">
        <v>-7.6370216534544746E-2</v>
      </c>
    </row>
    <row r="59" spans="1:6" s="13" customFormat="1" ht="26.25">
      <c r="A59" s="29" t="s">
        <v>60</v>
      </c>
      <c r="B59" s="28">
        <v>227727</v>
      </c>
      <c r="C59" s="28">
        <v>203532</v>
      </c>
      <c r="D59" s="28">
        <v>205967</v>
      </c>
      <c r="E59" s="28">
        <v>2435</v>
      </c>
      <c r="F59" s="24">
        <v>1.1963720692569228E-2</v>
      </c>
    </row>
    <row r="60" spans="1:6" s="13" customFormat="1" ht="26.25">
      <c r="A60" s="29" t="s">
        <v>61</v>
      </c>
      <c r="B60" s="28">
        <v>6294455</v>
      </c>
      <c r="C60" s="28">
        <v>6176583</v>
      </c>
      <c r="D60" s="28">
        <v>5709150</v>
      </c>
      <c r="E60" s="28">
        <v>-467433</v>
      </c>
      <c r="F60" s="24">
        <v>-7.567825122725623E-2</v>
      </c>
    </row>
    <row r="61" spans="1:6" s="13" customFormat="1" ht="26.25">
      <c r="A61" s="29" t="s">
        <v>62</v>
      </c>
      <c r="B61" s="28">
        <v>4465594</v>
      </c>
      <c r="C61" s="28">
        <v>4309417</v>
      </c>
      <c r="D61" s="28">
        <v>4590815</v>
      </c>
      <c r="E61" s="28">
        <v>281398</v>
      </c>
      <c r="F61" s="24">
        <v>6.5298391870640501E-2</v>
      </c>
    </row>
    <row r="62" spans="1:6" s="13" customFormat="1" ht="26.25">
      <c r="A62" s="29" t="s">
        <v>63</v>
      </c>
      <c r="B62" s="28">
        <v>12143860.939999999</v>
      </c>
      <c r="C62" s="81">
        <v>11512444</v>
      </c>
      <c r="D62" s="28">
        <v>11473580</v>
      </c>
      <c r="E62" s="28">
        <v>-38864</v>
      </c>
      <c r="F62" s="24">
        <v>-3.3758253243186243E-3</v>
      </c>
    </row>
    <row r="63" spans="1:6" s="13" customFormat="1" ht="26.25">
      <c r="A63" s="29" t="s">
        <v>64</v>
      </c>
      <c r="B63" s="28">
        <v>5237273</v>
      </c>
      <c r="C63" s="28">
        <v>5440785</v>
      </c>
      <c r="D63" s="28">
        <v>5740785</v>
      </c>
      <c r="E63" s="28">
        <v>300000</v>
      </c>
      <c r="F63" s="24">
        <v>5.5139102169999364E-2</v>
      </c>
    </row>
    <row r="64" spans="1:6" s="13" customFormat="1" ht="26.25">
      <c r="A64" s="29" t="s">
        <v>65</v>
      </c>
      <c r="B64" s="28">
        <v>9749718.6999999993</v>
      </c>
      <c r="C64" s="28">
        <v>9424700</v>
      </c>
      <c r="D64" s="28">
        <v>9326025</v>
      </c>
      <c r="E64" s="28">
        <v>-98675</v>
      </c>
      <c r="F64" s="24">
        <v>-1.0469829278385519E-2</v>
      </c>
    </row>
    <row r="65" spans="1:6" s="36" customFormat="1" ht="26.25">
      <c r="A65" s="49" t="s">
        <v>66</v>
      </c>
      <c r="B65" s="34">
        <v>78437760.030000001</v>
      </c>
      <c r="C65" s="34">
        <v>79910226</v>
      </c>
      <c r="D65" s="34">
        <v>78479915</v>
      </c>
      <c r="E65" s="34">
        <v>-1430311</v>
      </c>
      <c r="F65" s="35">
        <v>-1.7898973280340867E-2</v>
      </c>
    </row>
    <row r="66" spans="1:6" s="13" customFormat="1" ht="26.25">
      <c r="A66" s="29" t="s">
        <v>67</v>
      </c>
      <c r="B66" s="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8">
        <v>38947</v>
      </c>
      <c r="C67" s="28">
        <v>45000</v>
      </c>
      <c r="D67" s="28">
        <v>45000</v>
      </c>
      <c r="E67" s="28">
        <v>0</v>
      </c>
      <c r="F67" s="24">
        <v>0</v>
      </c>
    </row>
    <row r="68" spans="1:6" s="13" customFormat="1" ht="26.25">
      <c r="A68" s="29" t="s">
        <v>69</v>
      </c>
      <c r="B68" s="28">
        <v>4703135</v>
      </c>
      <c r="C68" s="28">
        <v>3250000</v>
      </c>
      <c r="D68" s="28">
        <v>2250000</v>
      </c>
      <c r="E68" s="28">
        <v>-1000000</v>
      </c>
      <c r="F68" s="24">
        <v>-0.30769230769230771</v>
      </c>
    </row>
    <row r="69" spans="1:6" s="13" customFormat="1" ht="26.25">
      <c r="A69" s="29" t="s">
        <v>70</v>
      </c>
      <c r="B69" s="28">
        <v>75000</v>
      </c>
      <c r="C69" s="28">
        <v>75000</v>
      </c>
      <c r="D69" s="28">
        <v>0</v>
      </c>
      <c r="E69" s="28">
        <v>-75000</v>
      </c>
      <c r="F69" s="24">
        <v>-1</v>
      </c>
    </row>
    <row r="70" spans="1:6" s="36" customFormat="1" ht="26.25">
      <c r="A70" s="50" t="s">
        <v>71</v>
      </c>
      <c r="B70" s="260">
        <v>83254842.030000001</v>
      </c>
      <c r="C70" s="51">
        <v>83280226</v>
      </c>
      <c r="D70" s="51">
        <v>80774915</v>
      </c>
      <c r="E70" s="51">
        <v>-2505311</v>
      </c>
      <c r="F70" s="35">
        <v>-3.0082903473388749E-2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42824449</v>
      </c>
      <c r="C73" s="23">
        <v>43598103</v>
      </c>
      <c r="D73" s="23">
        <v>41690494</v>
      </c>
      <c r="E73" s="19">
        <v>-1907609</v>
      </c>
      <c r="F73" s="24">
        <v>-4.3754403717978278E-2</v>
      </c>
    </row>
    <row r="74" spans="1:6" s="13" customFormat="1" ht="26.25">
      <c r="A74" s="29" t="s">
        <v>74</v>
      </c>
      <c r="B74" s="255">
        <v>658569</v>
      </c>
      <c r="C74" s="23">
        <v>537200</v>
      </c>
      <c r="D74" s="23">
        <v>543045</v>
      </c>
      <c r="E74" s="28">
        <v>5845</v>
      </c>
      <c r="F74" s="24">
        <v>1.0880491437081162E-2</v>
      </c>
    </row>
    <row r="75" spans="1:6" s="13" customFormat="1" ht="26.25">
      <c r="A75" s="29" t="s">
        <v>75</v>
      </c>
      <c r="B75" s="19">
        <v>15560521</v>
      </c>
      <c r="C75" s="23">
        <v>16784390</v>
      </c>
      <c r="D75" s="23">
        <v>17485804</v>
      </c>
      <c r="E75" s="28">
        <v>701414</v>
      </c>
      <c r="F75" s="24">
        <v>4.1789662895106702E-2</v>
      </c>
    </row>
    <row r="76" spans="1:6" s="36" customFormat="1" ht="26.25">
      <c r="A76" s="49" t="s">
        <v>76</v>
      </c>
      <c r="B76" s="260">
        <v>59043539</v>
      </c>
      <c r="C76" s="51">
        <v>60919693</v>
      </c>
      <c r="D76" s="51">
        <v>59719345</v>
      </c>
      <c r="E76" s="34">
        <v>-1200348</v>
      </c>
      <c r="F76" s="35">
        <v>-1.9703776248511298E-2</v>
      </c>
    </row>
    <row r="77" spans="1:6" s="13" customFormat="1" ht="26.25">
      <c r="A77" s="29" t="s">
        <v>77</v>
      </c>
      <c r="B77" s="255">
        <v>340768</v>
      </c>
      <c r="C77" s="26">
        <v>432675</v>
      </c>
      <c r="D77" s="26">
        <v>425675</v>
      </c>
      <c r="E77" s="28">
        <v>-7000</v>
      </c>
      <c r="F77" s="24">
        <v>-1.6178424914774368E-2</v>
      </c>
    </row>
    <row r="78" spans="1:6" s="13" customFormat="1" ht="26.25">
      <c r="A78" s="29" t="s">
        <v>78</v>
      </c>
      <c r="B78" s="23">
        <v>9001697</v>
      </c>
      <c r="C78" s="23">
        <v>7985422</v>
      </c>
      <c r="D78" s="23">
        <v>8583196</v>
      </c>
      <c r="E78" s="28">
        <v>597774</v>
      </c>
      <c r="F78" s="24">
        <v>7.4858160282574929E-2</v>
      </c>
    </row>
    <row r="79" spans="1:6" s="13" customFormat="1" ht="26.25">
      <c r="A79" s="29" t="s">
        <v>79</v>
      </c>
      <c r="B79" s="19">
        <v>1455152</v>
      </c>
      <c r="C79" s="19">
        <v>1909915</v>
      </c>
      <c r="D79" s="19">
        <v>1695650</v>
      </c>
      <c r="E79" s="28">
        <v>-214265</v>
      </c>
      <c r="F79" s="24">
        <v>-0.11218562082605771</v>
      </c>
    </row>
    <row r="80" spans="1:6" s="36" customFormat="1" ht="26.25">
      <c r="A80" s="32" t="s">
        <v>80</v>
      </c>
      <c r="B80" s="260">
        <v>10797617</v>
      </c>
      <c r="C80" s="51">
        <v>10328012</v>
      </c>
      <c r="D80" s="51">
        <v>10704521</v>
      </c>
      <c r="E80" s="34">
        <v>376509</v>
      </c>
      <c r="F80" s="35">
        <v>3.6455128053685455E-2</v>
      </c>
    </row>
    <row r="81" spans="1:6" s="13" customFormat="1" ht="26.25">
      <c r="A81" s="29" t="s">
        <v>81</v>
      </c>
      <c r="B81" s="19">
        <v>902387.03</v>
      </c>
      <c r="C81" s="19">
        <v>945959</v>
      </c>
      <c r="D81" s="19">
        <v>701038</v>
      </c>
      <c r="E81" s="28">
        <v>-244921</v>
      </c>
      <c r="F81" s="24">
        <v>-0.25891291271609024</v>
      </c>
    </row>
    <row r="82" spans="1:6" s="13" customFormat="1" ht="26.25">
      <c r="A82" s="29" t="s">
        <v>82</v>
      </c>
      <c r="B82" s="81">
        <v>10709349</v>
      </c>
      <c r="C82" s="28">
        <v>9003022</v>
      </c>
      <c r="D82" s="28">
        <v>8190426</v>
      </c>
      <c r="E82" s="28">
        <v>-812596</v>
      </c>
      <c r="F82" s="24">
        <v>-9.0258137767518509E-2</v>
      </c>
    </row>
    <row r="83" spans="1:6" s="13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28">
        <v>113947</v>
      </c>
      <c r="C84" s="28">
        <v>120000</v>
      </c>
      <c r="D84" s="28">
        <v>45000</v>
      </c>
      <c r="E84" s="28">
        <v>-75000</v>
      </c>
      <c r="F84" s="24">
        <v>-0.625</v>
      </c>
    </row>
    <row r="85" spans="1:6" s="36" customFormat="1" ht="26.25">
      <c r="A85" s="32" t="s">
        <v>85</v>
      </c>
      <c r="B85" s="34">
        <v>11725683.029999999</v>
      </c>
      <c r="C85" s="34">
        <v>10068981</v>
      </c>
      <c r="D85" s="34">
        <v>8936464</v>
      </c>
      <c r="E85" s="34">
        <v>-1132517</v>
      </c>
      <c r="F85" s="35">
        <v>-0.11247583047380862</v>
      </c>
    </row>
    <row r="86" spans="1:6" s="13" customFormat="1" ht="26.25">
      <c r="A86" s="29" t="s">
        <v>86</v>
      </c>
      <c r="B86" s="28">
        <v>709469</v>
      </c>
      <c r="C86" s="81">
        <v>983541</v>
      </c>
      <c r="D86" s="28">
        <v>434588</v>
      </c>
      <c r="E86" s="28">
        <v>-548953</v>
      </c>
      <c r="F86" s="24">
        <v>-0.55813941665878697</v>
      </c>
    </row>
    <row r="87" spans="1:6" s="13" customFormat="1" ht="26.25">
      <c r="A87" s="29" t="s">
        <v>87</v>
      </c>
      <c r="B87" s="28">
        <v>978534</v>
      </c>
      <c r="C87" s="28">
        <v>980000</v>
      </c>
      <c r="D87" s="28">
        <v>980000</v>
      </c>
      <c r="E87" s="28">
        <v>0</v>
      </c>
      <c r="F87" s="24">
        <v>0</v>
      </c>
    </row>
    <row r="88" spans="1:6" s="13" customFormat="1" ht="26.25">
      <c r="A88" s="38" t="s">
        <v>88</v>
      </c>
      <c r="B88" s="28">
        <v>0</v>
      </c>
      <c r="C88" s="28">
        <v>0</v>
      </c>
      <c r="D88" s="28">
        <v>0</v>
      </c>
      <c r="E88" s="28">
        <v>0</v>
      </c>
      <c r="F88" s="24">
        <v>0</v>
      </c>
    </row>
    <row r="89" spans="1:6" s="36" customFormat="1" ht="26.25">
      <c r="A89" s="52" t="s">
        <v>89</v>
      </c>
      <c r="B89" s="260">
        <v>1688003</v>
      </c>
      <c r="C89" s="51">
        <v>1963541</v>
      </c>
      <c r="D89" s="51">
        <v>1414588</v>
      </c>
      <c r="E89" s="51">
        <v>-548953</v>
      </c>
      <c r="F89" s="35">
        <v>-0.27957297555793337</v>
      </c>
    </row>
    <row r="90" spans="1:6" s="13" customFormat="1" ht="26.25">
      <c r="A90" s="38" t="s">
        <v>90</v>
      </c>
      <c r="B90" s="28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36" customFormat="1" ht="27" thickBot="1">
      <c r="A91" s="53" t="s">
        <v>71</v>
      </c>
      <c r="B91" s="263">
        <v>83254842.030000001</v>
      </c>
      <c r="C91" s="54">
        <v>83280226</v>
      </c>
      <c r="D91" s="55">
        <v>80774915</v>
      </c>
      <c r="E91" s="54">
        <v>-2505311</v>
      </c>
      <c r="F91" s="56">
        <v>-3.0082903473388749E-2</v>
      </c>
    </row>
    <row r="92" spans="1:6" s="60" customFormat="1" ht="31.5">
      <c r="A92" s="57"/>
      <c r="B92" s="58" t="s">
        <v>50</v>
      </c>
      <c r="C92" s="58" t="s">
        <v>50</v>
      </c>
      <c r="D92" s="58" t="s">
        <v>50</v>
      </c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" bottom="0.32" header="0.3" footer="0.3"/>
  <pageSetup scale="3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zoomScale="50" zoomScaleNormal="50" workbookViewId="0">
      <selection activeCell="B8" sqref="B8:B91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4.5703125" style="65" customWidth="1"/>
    <col min="6" max="6" width="28.28515625" style="65" customWidth="1"/>
    <col min="7" max="16384" width="9.140625" style="65"/>
  </cols>
  <sheetData>
    <row r="1" spans="1:8" s="6" customFormat="1" ht="46.5">
      <c r="A1" s="1" t="s">
        <v>0</v>
      </c>
      <c r="D1" s="277" t="s">
        <v>1</v>
      </c>
      <c r="E1" s="289" t="s">
        <v>117</v>
      </c>
      <c r="F1" s="279"/>
      <c r="G1" s="156"/>
      <c r="H1" s="156"/>
    </row>
    <row r="2" spans="1:8" s="6" customFormat="1" ht="46.5">
      <c r="A2" s="1" t="s">
        <v>2</v>
      </c>
      <c r="B2" s="2"/>
      <c r="C2" s="2"/>
      <c r="D2" s="2"/>
      <c r="E2" s="3"/>
      <c r="F2" s="3"/>
    </row>
    <row r="3" spans="1:8" s="6" customFormat="1" ht="47.25" thickBot="1">
      <c r="A3" s="7" t="s">
        <v>3</v>
      </c>
      <c r="B3" s="8"/>
      <c r="C3" s="8"/>
      <c r="D3" s="8"/>
      <c r="E3" s="3"/>
      <c r="F3" s="3"/>
    </row>
    <row r="4" spans="1:8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8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8" s="13" customFormat="1" ht="26.25">
      <c r="A6" s="18" t="s">
        <v>14</v>
      </c>
      <c r="B6" s="19"/>
      <c r="C6" s="19"/>
      <c r="D6" s="19"/>
      <c r="E6" s="19"/>
      <c r="F6" s="20"/>
    </row>
    <row r="7" spans="1:8" s="13" customFormat="1" ht="26.25">
      <c r="A7" s="18" t="s">
        <v>15</v>
      </c>
      <c r="B7" s="19"/>
      <c r="C7" s="19"/>
      <c r="D7" s="19"/>
      <c r="E7" s="19"/>
      <c r="F7" s="21"/>
    </row>
    <row r="8" spans="1:8" s="13" customFormat="1" ht="26.25">
      <c r="A8" s="22" t="s">
        <v>16</v>
      </c>
      <c r="B8" s="23">
        <v>68742811</v>
      </c>
      <c r="C8" s="23">
        <v>68742811</v>
      </c>
      <c r="D8" s="23">
        <v>65125417</v>
      </c>
      <c r="E8" s="23">
        <v>-3617394</v>
      </c>
      <c r="F8" s="24">
        <v>-5.2622142553931932E-2</v>
      </c>
    </row>
    <row r="9" spans="1:8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8" s="13" customFormat="1" ht="26.25">
      <c r="A10" s="25" t="s">
        <v>18</v>
      </c>
      <c r="B10" s="255">
        <v>2705580</v>
      </c>
      <c r="C10" s="26">
        <v>2715822</v>
      </c>
      <c r="D10" s="26">
        <v>2683748</v>
      </c>
      <c r="E10" s="26">
        <v>-32074</v>
      </c>
      <c r="F10" s="24">
        <v>-1.1810052352473763E-2</v>
      </c>
    </row>
    <row r="11" spans="1:8" s="13" customFormat="1" ht="26.25">
      <c r="A11" s="27" t="s">
        <v>19</v>
      </c>
      <c r="B11" s="28">
        <v>52573</v>
      </c>
      <c r="C11" s="28">
        <v>52573</v>
      </c>
      <c r="D11" s="28">
        <v>0</v>
      </c>
      <c r="E11" s="26">
        <v>-52573</v>
      </c>
      <c r="F11" s="24">
        <v>-1</v>
      </c>
    </row>
    <row r="12" spans="1:8" s="13" customFormat="1" ht="26.25">
      <c r="A12" s="29" t="s">
        <v>20</v>
      </c>
      <c r="B12" s="28">
        <v>2653007</v>
      </c>
      <c r="C12" s="28">
        <v>2663249</v>
      </c>
      <c r="D12" s="28">
        <v>2683748</v>
      </c>
      <c r="E12" s="26">
        <v>20499</v>
      </c>
      <c r="F12" s="24">
        <v>7.6969896543657764E-3</v>
      </c>
    </row>
    <row r="13" spans="1:8" s="13" customFormat="1" ht="26.25">
      <c r="A13" s="29" t="s">
        <v>21</v>
      </c>
      <c r="B13" s="28">
        <v>0</v>
      </c>
      <c r="C13" s="28">
        <v>0</v>
      </c>
      <c r="D13" s="28">
        <v>0</v>
      </c>
      <c r="E13" s="26">
        <v>0</v>
      </c>
      <c r="F13" s="24">
        <v>0</v>
      </c>
    </row>
    <row r="14" spans="1:8" s="13" customFormat="1" ht="26.25">
      <c r="A14" s="29" t="s">
        <v>22</v>
      </c>
      <c r="B14" s="28">
        <v>0</v>
      </c>
      <c r="C14" s="28">
        <v>0</v>
      </c>
      <c r="D14" s="28">
        <v>0</v>
      </c>
      <c r="E14" s="26">
        <v>0</v>
      </c>
      <c r="F14" s="24">
        <v>0</v>
      </c>
    </row>
    <row r="15" spans="1:8" s="13" customFormat="1" ht="26.25">
      <c r="A15" s="29" t="s">
        <v>23</v>
      </c>
      <c r="B15" s="28">
        <v>0</v>
      </c>
      <c r="C15" s="28">
        <v>0</v>
      </c>
      <c r="D15" s="28">
        <v>0</v>
      </c>
      <c r="E15" s="26">
        <v>0</v>
      </c>
      <c r="F15" s="24">
        <v>0</v>
      </c>
    </row>
    <row r="16" spans="1:8" s="13" customFormat="1" ht="26.25">
      <c r="A16" s="29" t="s">
        <v>24</v>
      </c>
      <c r="B16" s="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8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8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8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4">
        <v>71448391</v>
      </c>
      <c r="C34" s="34">
        <v>71458633</v>
      </c>
      <c r="D34" s="34">
        <v>67809165</v>
      </c>
      <c r="E34" s="34">
        <v>-3649468</v>
      </c>
      <c r="F34" s="35">
        <v>-5.1071058132332307E-2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13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13" customFormat="1" ht="26.25">
      <c r="A38" s="38" t="s">
        <v>46</v>
      </c>
      <c r="B38" s="123">
        <v>8096673</v>
      </c>
      <c r="C38" s="23">
        <v>0</v>
      </c>
      <c r="D38" s="23">
        <v>0</v>
      </c>
      <c r="E38" s="26">
        <v>0</v>
      </c>
      <c r="F38" s="24">
        <v>0</v>
      </c>
    </row>
    <row r="39" spans="1:10" s="13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13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8096673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20942299</v>
      </c>
      <c r="C45" s="42">
        <v>20942299</v>
      </c>
      <c r="D45" s="42">
        <v>0</v>
      </c>
      <c r="E45" s="42">
        <v>-20942299</v>
      </c>
      <c r="F45" s="35">
        <v>-1</v>
      </c>
    </row>
    <row r="46" spans="1:10" s="13" customFormat="1" ht="26.25">
      <c r="A46" s="29" t="s">
        <v>50</v>
      </c>
      <c r="B46" s="28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61636853</v>
      </c>
      <c r="C47" s="40">
        <v>53529938</v>
      </c>
      <c r="D47" s="40">
        <v>75932032</v>
      </c>
      <c r="E47" s="40">
        <v>22402094</v>
      </c>
      <c r="F47" s="35">
        <v>0.41849654299991906</v>
      </c>
    </row>
    <row r="48" spans="1:10" s="13" customFormat="1" ht="26.25">
      <c r="A48" s="29" t="s">
        <v>50</v>
      </c>
      <c r="B48" s="28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8"/>
      <c r="C52" s="28"/>
      <c r="D52" s="28"/>
      <c r="E52" s="28"/>
      <c r="F52" s="20"/>
    </row>
    <row r="53" spans="1:6" s="36" customFormat="1" ht="26.25">
      <c r="A53" s="46" t="s">
        <v>56</v>
      </c>
      <c r="B53" s="40">
        <v>145930870</v>
      </c>
      <c r="C53" s="40">
        <v>145930870</v>
      </c>
      <c r="D53" s="40">
        <v>143741197</v>
      </c>
      <c r="E53" s="40">
        <v>-2189673</v>
      </c>
      <c r="F53" s="35">
        <v>-1.5004864974765107E-2</v>
      </c>
    </row>
    <row r="54" spans="1:6" s="13" customFormat="1" ht="26.25">
      <c r="A54" s="47"/>
      <c r="B54" s="28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58008784</v>
      </c>
      <c r="C57" s="19">
        <v>62111311</v>
      </c>
      <c r="D57" s="19">
        <v>59899659</v>
      </c>
      <c r="E57" s="19">
        <v>-2211652</v>
      </c>
      <c r="F57" s="24">
        <v>-3.5607878249422235E-2</v>
      </c>
    </row>
    <row r="58" spans="1:6" s="13" customFormat="1" ht="26.25">
      <c r="A58" s="29" t="s">
        <v>59</v>
      </c>
      <c r="B58" s="28">
        <v>21122845</v>
      </c>
      <c r="C58" s="28">
        <v>21724043</v>
      </c>
      <c r="D58" s="28">
        <v>21569262</v>
      </c>
      <c r="E58" s="28">
        <v>-154781</v>
      </c>
      <c r="F58" s="24">
        <v>-7.1248708170942214E-3</v>
      </c>
    </row>
    <row r="59" spans="1:6" s="13" customFormat="1" ht="26.25">
      <c r="A59" s="29" t="s">
        <v>60</v>
      </c>
      <c r="B59" s="28">
        <v>270000</v>
      </c>
      <c r="C59" s="28">
        <v>270000</v>
      </c>
      <c r="D59" s="28">
        <v>270000</v>
      </c>
      <c r="E59" s="28">
        <v>0</v>
      </c>
      <c r="F59" s="24">
        <v>0</v>
      </c>
    </row>
    <row r="60" spans="1:6" s="13" customFormat="1" ht="26.25">
      <c r="A60" s="29" t="s">
        <v>61</v>
      </c>
      <c r="B60" s="28">
        <v>12803896</v>
      </c>
      <c r="C60" s="28">
        <v>13542696</v>
      </c>
      <c r="D60" s="28">
        <v>13874350</v>
      </c>
      <c r="E60" s="28">
        <v>331654</v>
      </c>
      <c r="F60" s="24">
        <v>2.4489510803461879E-2</v>
      </c>
    </row>
    <row r="61" spans="1:6" s="13" customFormat="1" ht="26.25">
      <c r="A61" s="29" t="s">
        <v>62</v>
      </c>
      <c r="B61" s="28">
        <v>4922417</v>
      </c>
      <c r="C61" s="28">
        <v>5509799</v>
      </c>
      <c r="D61" s="28">
        <v>5480518</v>
      </c>
      <c r="E61" s="28">
        <v>-29281</v>
      </c>
      <c r="F61" s="24">
        <v>-5.3143499427111586E-3</v>
      </c>
    </row>
    <row r="62" spans="1:6" s="13" customFormat="1" ht="26.25">
      <c r="A62" s="29" t="s">
        <v>63</v>
      </c>
      <c r="B62" s="28">
        <v>21735128</v>
      </c>
      <c r="C62" s="28">
        <v>17741835</v>
      </c>
      <c r="D62" s="28">
        <v>18339977</v>
      </c>
      <c r="E62" s="28">
        <v>598142</v>
      </c>
      <c r="F62" s="24">
        <v>3.3713649123667311E-2</v>
      </c>
    </row>
    <row r="63" spans="1:6" s="13" customFormat="1" ht="26.25">
      <c r="A63" s="29" t="s">
        <v>64</v>
      </c>
      <c r="B63" s="28">
        <v>5508007</v>
      </c>
      <c r="C63" s="28">
        <v>5506290</v>
      </c>
      <c r="D63" s="28">
        <v>5506290</v>
      </c>
      <c r="E63" s="28">
        <v>0</v>
      </c>
      <c r="F63" s="24">
        <v>0</v>
      </c>
    </row>
    <row r="64" spans="1:6" s="13" customFormat="1" ht="26.25">
      <c r="A64" s="29" t="s">
        <v>65</v>
      </c>
      <c r="B64" s="28">
        <v>16366559</v>
      </c>
      <c r="C64" s="28">
        <v>14296662</v>
      </c>
      <c r="D64" s="28">
        <v>13063693</v>
      </c>
      <c r="E64" s="28">
        <v>-1232969</v>
      </c>
      <c r="F64" s="24">
        <v>-8.624173950534747E-2</v>
      </c>
    </row>
    <row r="65" spans="1:6" s="36" customFormat="1" ht="26.25">
      <c r="A65" s="49" t="s">
        <v>66</v>
      </c>
      <c r="B65" s="34">
        <v>140737636</v>
      </c>
      <c r="C65" s="34">
        <v>140702636</v>
      </c>
      <c r="D65" s="34">
        <v>138003749</v>
      </c>
      <c r="E65" s="34">
        <v>-2698887</v>
      </c>
      <c r="F65" s="35">
        <v>-1.9181495647316801E-2</v>
      </c>
    </row>
    <row r="66" spans="1:6" s="13" customFormat="1" ht="26.25">
      <c r="A66" s="29" t="s">
        <v>67</v>
      </c>
      <c r="B66" s="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8">
        <v>93234</v>
      </c>
      <c r="C67" s="28">
        <v>128234</v>
      </c>
      <c r="D67" s="28">
        <v>87448</v>
      </c>
      <c r="E67" s="28">
        <v>-40786</v>
      </c>
      <c r="F67" s="24">
        <v>-0.31805917307422371</v>
      </c>
    </row>
    <row r="68" spans="1:6" s="13" customFormat="1" ht="26.25">
      <c r="A68" s="29" t="s">
        <v>69</v>
      </c>
      <c r="B68" s="28">
        <v>5100000</v>
      </c>
      <c r="C68" s="28">
        <v>5100000</v>
      </c>
      <c r="D68" s="28">
        <v>5650000</v>
      </c>
      <c r="E68" s="28">
        <v>550000</v>
      </c>
      <c r="F68" s="24">
        <v>0.10784313725490197</v>
      </c>
    </row>
    <row r="69" spans="1:6" s="13" customFormat="1" ht="26.25">
      <c r="A69" s="29" t="s">
        <v>70</v>
      </c>
      <c r="B69" s="28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50" t="s">
        <v>71</v>
      </c>
      <c r="B70" s="260">
        <v>145930870</v>
      </c>
      <c r="C70" s="51">
        <v>145930870</v>
      </c>
      <c r="D70" s="51">
        <v>143741197</v>
      </c>
      <c r="E70" s="51">
        <v>-2189673</v>
      </c>
      <c r="F70" s="35">
        <v>-1.5004864974765107E-2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77741549</v>
      </c>
      <c r="C73" s="23">
        <v>79954138</v>
      </c>
      <c r="D73" s="23">
        <v>79816839</v>
      </c>
      <c r="E73" s="19">
        <v>-137299</v>
      </c>
      <c r="F73" s="24">
        <v>-1.7172219404078873E-3</v>
      </c>
    </row>
    <row r="74" spans="1:6" s="13" customFormat="1" ht="26.25">
      <c r="A74" s="29" t="s">
        <v>74</v>
      </c>
      <c r="B74" s="255">
        <v>1297753</v>
      </c>
      <c r="C74" s="23">
        <v>1274074</v>
      </c>
      <c r="D74" s="23">
        <v>1644435</v>
      </c>
      <c r="E74" s="28">
        <v>370361</v>
      </c>
      <c r="F74" s="24">
        <v>0.29069033666804284</v>
      </c>
    </row>
    <row r="75" spans="1:6" s="13" customFormat="1" ht="26.25">
      <c r="A75" s="29" t="s">
        <v>75</v>
      </c>
      <c r="B75" s="19">
        <v>24728367</v>
      </c>
      <c r="C75" s="23">
        <v>25464635</v>
      </c>
      <c r="D75" s="23">
        <v>26993743</v>
      </c>
      <c r="E75" s="28">
        <v>1529108</v>
      </c>
      <c r="F75" s="24">
        <v>6.0048298355739244E-2</v>
      </c>
    </row>
    <row r="76" spans="1:6" s="36" customFormat="1" ht="26.25">
      <c r="A76" s="49" t="s">
        <v>76</v>
      </c>
      <c r="B76" s="260">
        <v>103767669</v>
      </c>
      <c r="C76" s="51">
        <v>106692847</v>
      </c>
      <c r="D76" s="51">
        <v>108455017</v>
      </c>
      <c r="E76" s="34">
        <v>1762170</v>
      </c>
      <c r="F76" s="35">
        <v>1.6516289981464267E-2</v>
      </c>
    </row>
    <row r="77" spans="1:6" s="13" customFormat="1" ht="26.25">
      <c r="A77" s="29" t="s">
        <v>77</v>
      </c>
      <c r="B77" s="255">
        <v>326029</v>
      </c>
      <c r="C77" s="26">
        <v>686164</v>
      </c>
      <c r="D77" s="26">
        <v>683545</v>
      </c>
      <c r="E77" s="28">
        <v>-2619</v>
      </c>
      <c r="F77" s="24">
        <v>-3.8168717682653128E-3</v>
      </c>
    </row>
    <row r="78" spans="1:6" s="13" customFormat="1" ht="26.25">
      <c r="A78" s="29" t="s">
        <v>78</v>
      </c>
      <c r="B78" s="23">
        <v>13233795</v>
      </c>
      <c r="C78" s="23">
        <v>12201006</v>
      </c>
      <c r="D78" s="23">
        <v>10839126</v>
      </c>
      <c r="E78" s="28">
        <v>-1361880</v>
      </c>
      <c r="F78" s="24">
        <v>-0.11162030409623599</v>
      </c>
    </row>
    <row r="79" spans="1:6" s="13" customFormat="1" ht="26.25">
      <c r="A79" s="29" t="s">
        <v>79</v>
      </c>
      <c r="B79" s="19">
        <v>1571976</v>
      </c>
      <c r="C79" s="19">
        <v>1636976</v>
      </c>
      <c r="D79" s="19">
        <v>1660076</v>
      </c>
      <c r="E79" s="28">
        <v>23100</v>
      </c>
      <c r="F79" s="24">
        <v>1.411138587248683E-2</v>
      </c>
    </row>
    <row r="80" spans="1:6" s="36" customFormat="1" ht="26.25">
      <c r="A80" s="32" t="s">
        <v>80</v>
      </c>
      <c r="B80" s="260">
        <v>15131800</v>
      </c>
      <c r="C80" s="51">
        <v>14524146</v>
      </c>
      <c r="D80" s="51">
        <v>13182747</v>
      </c>
      <c r="E80" s="34">
        <v>-1341399</v>
      </c>
      <c r="F80" s="35">
        <v>-9.2356480029875773E-2</v>
      </c>
    </row>
    <row r="81" spans="1:6" s="13" customFormat="1" ht="26.25">
      <c r="A81" s="29" t="s">
        <v>81</v>
      </c>
      <c r="B81" s="19">
        <v>348994</v>
      </c>
      <c r="C81" s="19">
        <v>310834</v>
      </c>
      <c r="D81" s="19">
        <v>293234</v>
      </c>
      <c r="E81" s="28">
        <v>-17600</v>
      </c>
      <c r="F81" s="24">
        <v>-5.6621862473217217E-2</v>
      </c>
    </row>
    <row r="82" spans="1:6" s="13" customFormat="1" ht="26.25">
      <c r="A82" s="29" t="s">
        <v>82</v>
      </c>
      <c r="B82" s="28">
        <v>23726617</v>
      </c>
      <c r="C82" s="28">
        <v>20128598</v>
      </c>
      <c r="D82" s="28">
        <v>20332042</v>
      </c>
      <c r="E82" s="28">
        <v>203444</v>
      </c>
      <c r="F82" s="24">
        <v>1.0107211639876757E-2</v>
      </c>
    </row>
    <row r="83" spans="1:6" s="13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28">
        <v>408551</v>
      </c>
      <c r="C84" s="28">
        <v>370928</v>
      </c>
      <c r="D84" s="28">
        <v>315157</v>
      </c>
      <c r="E84" s="28">
        <v>-55771</v>
      </c>
      <c r="F84" s="24">
        <v>-0.1503553250226459</v>
      </c>
    </row>
    <row r="85" spans="1:6" s="36" customFormat="1" ht="26.25">
      <c r="A85" s="32" t="s">
        <v>85</v>
      </c>
      <c r="B85" s="34">
        <v>24484162</v>
      </c>
      <c r="C85" s="34">
        <v>20810360</v>
      </c>
      <c r="D85" s="34">
        <v>20940433</v>
      </c>
      <c r="E85" s="34">
        <v>130073</v>
      </c>
      <c r="F85" s="35">
        <v>6.2503964371591839E-3</v>
      </c>
    </row>
    <row r="86" spans="1:6" s="13" customFormat="1" ht="26.25">
      <c r="A86" s="29" t="s">
        <v>86</v>
      </c>
      <c r="B86" s="28">
        <v>1182228</v>
      </c>
      <c r="C86" s="28">
        <v>2743517</v>
      </c>
      <c r="D86" s="28">
        <v>3000</v>
      </c>
      <c r="E86" s="28">
        <v>-2740517</v>
      </c>
      <c r="F86" s="24">
        <v>-0.99890651306334166</v>
      </c>
    </row>
    <row r="87" spans="1:6" s="13" customFormat="1" ht="26.25">
      <c r="A87" s="29" t="s">
        <v>87</v>
      </c>
      <c r="B87" s="28">
        <v>1176010</v>
      </c>
      <c r="C87" s="28">
        <v>1160000</v>
      </c>
      <c r="D87" s="28">
        <v>1160000</v>
      </c>
      <c r="E87" s="28">
        <v>0</v>
      </c>
      <c r="F87" s="24">
        <v>0</v>
      </c>
    </row>
    <row r="88" spans="1:6" s="13" customFormat="1" ht="26.25">
      <c r="A88" s="38" t="s">
        <v>88</v>
      </c>
      <c r="B88" s="28">
        <v>189001</v>
      </c>
      <c r="C88" s="28">
        <v>0</v>
      </c>
      <c r="D88" s="28">
        <v>0</v>
      </c>
      <c r="E88" s="28">
        <v>0</v>
      </c>
      <c r="F88" s="24">
        <v>0</v>
      </c>
    </row>
    <row r="89" spans="1:6" s="36" customFormat="1" ht="26.25">
      <c r="A89" s="52" t="s">
        <v>89</v>
      </c>
      <c r="B89" s="260">
        <v>2547239</v>
      </c>
      <c r="C89" s="51">
        <v>3903517</v>
      </c>
      <c r="D89" s="51">
        <v>1163000</v>
      </c>
      <c r="E89" s="51">
        <v>-2740517</v>
      </c>
      <c r="F89" s="35">
        <v>-0.70206354935818138</v>
      </c>
    </row>
    <row r="90" spans="1:6" s="13" customFormat="1" ht="26.25">
      <c r="A90" s="38" t="s">
        <v>90</v>
      </c>
      <c r="B90" s="28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36" customFormat="1" ht="27" thickBot="1">
      <c r="A91" s="53" t="s">
        <v>71</v>
      </c>
      <c r="B91" s="263">
        <v>145930870</v>
      </c>
      <c r="C91" s="54">
        <v>145930870</v>
      </c>
      <c r="D91" s="55">
        <v>143741197</v>
      </c>
      <c r="E91" s="54">
        <v>-2189673</v>
      </c>
      <c r="F91" s="56">
        <v>-1.5004864974765107E-2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zoomScale="50" zoomScaleNormal="50" workbookViewId="0">
      <selection activeCell="M14" sqref="M14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5.425781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80" t="s">
        <v>1</v>
      </c>
      <c r="E1" s="4" t="s">
        <v>118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104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20441383</v>
      </c>
      <c r="C8" s="23">
        <v>20441383</v>
      </c>
      <c r="D8" s="23">
        <v>18474222</v>
      </c>
      <c r="E8" s="23">
        <v>-1967161</v>
      </c>
      <c r="F8" s="24">
        <v>-9.6234242076477891E-2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55">
        <v>1067425.42</v>
      </c>
      <c r="C10" s="26">
        <v>1071439</v>
      </c>
      <c r="D10" s="26">
        <v>1051625</v>
      </c>
      <c r="E10" s="26">
        <v>-19814</v>
      </c>
      <c r="F10" s="24">
        <v>-1.849288666923642E-2</v>
      </c>
    </row>
    <row r="11" spans="1:6" s="13" customFormat="1" ht="26.25">
      <c r="A11" s="27" t="s">
        <v>19</v>
      </c>
      <c r="B11" s="28">
        <v>17847</v>
      </c>
      <c r="C11" s="28">
        <v>17847</v>
      </c>
      <c r="D11" s="28">
        <v>0</v>
      </c>
      <c r="E11" s="26">
        <v>-17847</v>
      </c>
      <c r="F11" s="24">
        <v>-1</v>
      </c>
    </row>
    <row r="12" spans="1:6" s="13" customFormat="1" ht="26.25">
      <c r="A12" s="29" t="s">
        <v>20</v>
      </c>
      <c r="B12" s="28">
        <v>1039578.42</v>
      </c>
      <c r="C12" s="28">
        <v>1043592</v>
      </c>
      <c r="D12" s="28">
        <v>1051625</v>
      </c>
      <c r="E12" s="26">
        <v>8033</v>
      </c>
      <c r="F12" s="24">
        <v>7.6974526443284348E-3</v>
      </c>
    </row>
    <row r="13" spans="1:6" s="13" customFormat="1" ht="26.25">
      <c r="A13" s="29" t="s">
        <v>21</v>
      </c>
      <c r="B13" s="28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8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13" customFormat="1" ht="26.25">
      <c r="A15" s="29" t="s">
        <v>23</v>
      </c>
      <c r="B15" s="28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8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8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8">
        <v>10000</v>
      </c>
      <c r="C28" s="28">
        <v>10000</v>
      </c>
      <c r="D28" s="28">
        <v>0</v>
      </c>
      <c r="E28" s="26">
        <v>-10000</v>
      </c>
      <c r="F28" s="24">
        <v>-1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4">
        <v>21508808.420000002</v>
      </c>
      <c r="C34" s="34">
        <v>21512822</v>
      </c>
      <c r="D34" s="34">
        <v>19525847</v>
      </c>
      <c r="E34" s="34">
        <v>-1986975</v>
      </c>
      <c r="F34" s="35">
        <v>-9.2362359526797555E-2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13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13" customFormat="1" ht="26.25">
      <c r="A38" s="38" t="s">
        <v>46</v>
      </c>
      <c r="B38" s="23">
        <v>2814035</v>
      </c>
      <c r="C38" s="23">
        <v>0</v>
      </c>
      <c r="D38" s="23">
        <v>0</v>
      </c>
      <c r="E38" s="26">
        <v>0</v>
      </c>
      <c r="F38" s="24">
        <v>0</v>
      </c>
    </row>
    <row r="39" spans="1:10" s="13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13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2814035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6498929</v>
      </c>
      <c r="C45" s="42">
        <v>6498929</v>
      </c>
      <c r="D45" s="42">
        <v>0</v>
      </c>
      <c r="E45" s="42">
        <v>-6498929</v>
      </c>
      <c r="F45" s="35">
        <v>-1</v>
      </c>
    </row>
    <row r="46" spans="1:10" s="13" customFormat="1" ht="26.25">
      <c r="A46" s="29" t="s">
        <v>50</v>
      </c>
      <c r="B46" s="28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27167981.399999999</v>
      </c>
      <c r="C47" s="40">
        <v>25616836</v>
      </c>
      <c r="D47" s="40">
        <v>35398520</v>
      </c>
      <c r="E47" s="40">
        <v>9781684</v>
      </c>
      <c r="F47" s="35">
        <v>0.38184590790213124</v>
      </c>
    </row>
    <row r="48" spans="1:10" s="13" customFormat="1" ht="26.25">
      <c r="A48" s="29" t="s">
        <v>50</v>
      </c>
      <c r="B48" s="28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8"/>
      <c r="C52" s="28"/>
      <c r="D52" s="28"/>
      <c r="E52" s="28"/>
      <c r="F52" s="20"/>
    </row>
    <row r="53" spans="1:6" s="36" customFormat="1" ht="26.25">
      <c r="A53" s="46" t="s">
        <v>56</v>
      </c>
      <c r="B53" s="40">
        <v>52361683.82</v>
      </c>
      <c r="C53" s="40">
        <v>53628587</v>
      </c>
      <c r="D53" s="40">
        <v>54924367</v>
      </c>
      <c r="E53" s="40">
        <v>1295780</v>
      </c>
      <c r="F53" s="35">
        <v>2.4162113389263828E-2</v>
      </c>
    </row>
    <row r="54" spans="1:6" s="13" customFormat="1" ht="26.25">
      <c r="A54" s="47"/>
      <c r="B54" s="28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24754598</v>
      </c>
      <c r="C57" s="19">
        <v>24467419.68</v>
      </c>
      <c r="D57" s="19">
        <v>23009017</v>
      </c>
      <c r="E57" s="19">
        <v>-1458402.6799999997</v>
      </c>
      <c r="F57" s="24">
        <v>-5.9605904466996894E-2</v>
      </c>
    </row>
    <row r="58" spans="1:6" s="13" customFormat="1" ht="26.25">
      <c r="A58" s="29" t="s">
        <v>59</v>
      </c>
      <c r="B58" s="28">
        <v>137427.6</v>
      </c>
      <c r="C58" s="28">
        <v>65810</v>
      </c>
      <c r="D58" s="28">
        <v>65810</v>
      </c>
      <c r="E58" s="28">
        <v>0</v>
      </c>
      <c r="F58" s="24">
        <v>0</v>
      </c>
    </row>
    <row r="59" spans="1:6" s="13" customFormat="1" ht="26.25">
      <c r="A59" s="29" t="s">
        <v>60</v>
      </c>
      <c r="B59" s="28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13" customFormat="1" ht="26.25">
      <c r="A60" s="29" t="s">
        <v>61</v>
      </c>
      <c r="B60" s="28">
        <v>3158888.6</v>
      </c>
      <c r="C60" s="28">
        <v>4909172</v>
      </c>
      <c r="D60" s="28">
        <v>4237052</v>
      </c>
      <c r="E60" s="28">
        <v>-672120</v>
      </c>
      <c r="F60" s="24">
        <v>-0.13691107176525899</v>
      </c>
    </row>
    <row r="61" spans="1:6" s="13" customFormat="1" ht="26.25">
      <c r="A61" s="29" t="s">
        <v>62</v>
      </c>
      <c r="B61" s="28">
        <v>2945327</v>
      </c>
      <c r="C61" s="28">
        <v>3191440</v>
      </c>
      <c r="D61" s="28">
        <v>2778174</v>
      </c>
      <c r="E61" s="28">
        <v>-413266</v>
      </c>
      <c r="F61" s="24">
        <v>-0.12949201614318301</v>
      </c>
    </row>
    <row r="62" spans="1:6" s="13" customFormat="1" ht="26.25">
      <c r="A62" s="29" t="s">
        <v>63</v>
      </c>
      <c r="B62" s="28">
        <v>7233917.0199999996</v>
      </c>
      <c r="C62" s="28">
        <v>9000010.4399999995</v>
      </c>
      <c r="D62" s="28">
        <v>12345297</v>
      </c>
      <c r="E62" s="28">
        <v>3345286.5600000005</v>
      </c>
      <c r="F62" s="24">
        <v>0.37169807549689915</v>
      </c>
    </row>
    <row r="63" spans="1:6" s="13" customFormat="1" ht="26.25">
      <c r="A63" s="29" t="s">
        <v>64</v>
      </c>
      <c r="B63" s="28">
        <v>3758729</v>
      </c>
      <c r="C63" s="28">
        <v>4204165</v>
      </c>
      <c r="D63" s="28">
        <v>4204165</v>
      </c>
      <c r="E63" s="28">
        <v>0</v>
      </c>
      <c r="F63" s="24">
        <v>0</v>
      </c>
    </row>
    <row r="64" spans="1:6" s="13" customFormat="1" ht="26.25">
      <c r="A64" s="29" t="s">
        <v>65</v>
      </c>
      <c r="B64" s="28">
        <v>6845807.5999999996</v>
      </c>
      <c r="C64" s="28">
        <v>4990569.74</v>
      </c>
      <c r="D64" s="28">
        <v>6433652</v>
      </c>
      <c r="E64" s="28">
        <v>1443082.2599999998</v>
      </c>
      <c r="F64" s="24">
        <v>0.28916182624070486</v>
      </c>
    </row>
    <row r="65" spans="1:6" s="36" customFormat="1" ht="26.25">
      <c r="A65" s="49" t="s">
        <v>66</v>
      </c>
      <c r="B65" s="34">
        <v>48834694.82</v>
      </c>
      <c r="C65" s="34">
        <v>50828586.859999999</v>
      </c>
      <c r="D65" s="34">
        <v>53073167</v>
      </c>
      <c r="E65" s="34">
        <v>2244580.1400000006</v>
      </c>
      <c r="F65" s="35">
        <v>4.4159798228944912E-2</v>
      </c>
    </row>
    <row r="66" spans="1:6" s="13" customFormat="1" ht="26.25">
      <c r="A66" s="29" t="s">
        <v>67</v>
      </c>
      <c r="B66" s="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8">
        <v>0</v>
      </c>
      <c r="C67" s="28">
        <v>0</v>
      </c>
      <c r="D67" s="28">
        <v>0</v>
      </c>
      <c r="E67" s="28">
        <v>0</v>
      </c>
      <c r="F67" s="24">
        <v>0</v>
      </c>
    </row>
    <row r="68" spans="1:6" s="13" customFormat="1" ht="26.25">
      <c r="A68" s="29" t="s">
        <v>69</v>
      </c>
      <c r="B68" s="28">
        <v>3526989</v>
      </c>
      <c r="C68" s="28">
        <v>2800000</v>
      </c>
      <c r="D68" s="28">
        <v>1851200</v>
      </c>
      <c r="E68" s="28">
        <v>-948800</v>
      </c>
      <c r="F68" s="24">
        <v>-0.33885714285714286</v>
      </c>
    </row>
    <row r="69" spans="1:6" s="13" customFormat="1" ht="26.25">
      <c r="A69" s="29" t="s">
        <v>70</v>
      </c>
      <c r="B69" s="28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50" t="s">
        <v>71</v>
      </c>
      <c r="B70" s="260">
        <v>52361683.82</v>
      </c>
      <c r="C70" s="51">
        <v>53628586.859999999</v>
      </c>
      <c r="D70" s="51">
        <v>54924367</v>
      </c>
      <c r="E70" s="51">
        <v>1295780.1400000006</v>
      </c>
      <c r="F70" s="35">
        <v>2.4162116062888192E-2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27521876</v>
      </c>
      <c r="C73" s="23">
        <v>30552464</v>
      </c>
      <c r="D73" s="23">
        <v>27776034</v>
      </c>
      <c r="E73" s="19">
        <v>-2776430</v>
      </c>
      <c r="F73" s="24">
        <v>-9.0874176302114293E-2</v>
      </c>
    </row>
    <row r="74" spans="1:6" s="13" customFormat="1" ht="26.25">
      <c r="A74" s="29" t="s">
        <v>74</v>
      </c>
      <c r="B74" s="255">
        <v>315004.2</v>
      </c>
      <c r="C74" s="23">
        <v>378923</v>
      </c>
      <c r="D74" s="23">
        <v>278923</v>
      </c>
      <c r="E74" s="28">
        <v>-100000</v>
      </c>
      <c r="F74" s="24">
        <v>-0.26390585950179851</v>
      </c>
    </row>
    <row r="75" spans="1:6" s="13" customFormat="1" ht="26.25">
      <c r="A75" s="29" t="s">
        <v>75</v>
      </c>
      <c r="B75" s="19">
        <v>9862083.3000000007</v>
      </c>
      <c r="C75" s="23">
        <v>10161954.859999999</v>
      </c>
      <c r="D75" s="23">
        <v>11352822</v>
      </c>
      <c r="E75" s="28">
        <v>1190867.1400000006</v>
      </c>
      <c r="F75" s="24">
        <v>0.11718878467838428</v>
      </c>
    </row>
    <row r="76" spans="1:6" s="36" customFormat="1" ht="26.25">
      <c r="A76" s="49" t="s">
        <v>76</v>
      </c>
      <c r="B76" s="260">
        <v>37698963.5</v>
      </c>
      <c r="C76" s="51">
        <v>41093341.859999999</v>
      </c>
      <c r="D76" s="51">
        <v>39407779</v>
      </c>
      <c r="E76" s="34">
        <v>-1685562.8599999994</v>
      </c>
      <c r="F76" s="35">
        <v>-4.1017906641482367E-2</v>
      </c>
    </row>
    <row r="77" spans="1:6" s="13" customFormat="1" ht="26.25">
      <c r="A77" s="29" t="s">
        <v>77</v>
      </c>
      <c r="B77" s="255">
        <v>310740.40000000002</v>
      </c>
      <c r="C77" s="26">
        <v>227646</v>
      </c>
      <c r="D77" s="26">
        <v>227646</v>
      </c>
      <c r="E77" s="28">
        <v>0</v>
      </c>
      <c r="F77" s="24">
        <v>0</v>
      </c>
    </row>
    <row r="78" spans="1:6" s="13" customFormat="1" ht="26.25">
      <c r="A78" s="29" t="s">
        <v>78</v>
      </c>
      <c r="B78" s="23">
        <v>3954494.9000000004</v>
      </c>
      <c r="C78" s="23">
        <v>4680809</v>
      </c>
      <c r="D78" s="23">
        <v>7857896</v>
      </c>
      <c r="E78" s="28">
        <v>3177087</v>
      </c>
      <c r="F78" s="24">
        <v>0.67874741310743503</v>
      </c>
    </row>
    <row r="79" spans="1:6" s="13" customFormat="1" ht="26.25">
      <c r="A79" s="29" t="s">
        <v>79</v>
      </c>
      <c r="B79" s="19">
        <v>685963.5</v>
      </c>
      <c r="C79" s="19">
        <v>477175</v>
      </c>
      <c r="D79" s="19">
        <v>477175</v>
      </c>
      <c r="E79" s="28">
        <v>0</v>
      </c>
      <c r="F79" s="24">
        <v>0</v>
      </c>
    </row>
    <row r="80" spans="1:6" s="36" customFormat="1" ht="26.25">
      <c r="A80" s="32" t="s">
        <v>80</v>
      </c>
      <c r="B80" s="260">
        <v>4951198.8000000007</v>
      </c>
      <c r="C80" s="51">
        <v>5385630</v>
      </c>
      <c r="D80" s="51">
        <v>8562717</v>
      </c>
      <c r="E80" s="34">
        <v>3177087</v>
      </c>
      <c r="F80" s="35">
        <v>0.58991928520897274</v>
      </c>
    </row>
    <row r="81" spans="1:6" s="13" customFormat="1" ht="26.25">
      <c r="A81" s="29" t="s">
        <v>81</v>
      </c>
      <c r="B81" s="19">
        <v>1607027.52</v>
      </c>
      <c r="C81" s="19">
        <v>678109</v>
      </c>
      <c r="D81" s="19">
        <v>1228109</v>
      </c>
      <c r="E81" s="28">
        <v>550000</v>
      </c>
      <c r="F81" s="24">
        <v>0.81107904481432924</v>
      </c>
    </row>
    <row r="82" spans="1:6" s="13" customFormat="1" ht="26.25">
      <c r="A82" s="29" t="s">
        <v>82</v>
      </c>
      <c r="B82" s="28">
        <v>7800399</v>
      </c>
      <c r="C82" s="28">
        <v>7179021</v>
      </c>
      <c r="D82" s="28">
        <v>6230221</v>
      </c>
      <c r="E82" s="28">
        <v>-948800</v>
      </c>
      <c r="F82" s="24">
        <v>-0.13216286733246776</v>
      </c>
    </row>
    <row r="83" spans="1:6" s="13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28">
        <v>0</v>
      </c>
      <c r="C84" s="28">
        <v>-1003056</v>
      </c>
      <c r="D84" s="28">
        <v>-800000</v>
      </c>
      <c r="E84" s="28">
        <v>203056</v>
      </c>
      <c r="F84" s="24">
        <v>1</v>
      </c>
    </row>
    <row r="85" spans="1:6" s="36" customFormat="1" ht="26.25">
      <c r="A85" s="32" t="s">
        <v>85</v>
      </c>
      <c r="B85" s="34">
        <v>9407426.5199999996</v>
      </c>
      <c r="C85" s="34">
        <v>6854074</v>
      </c>
      <c r="D85" s="34">
        <v>6658330</v>
      </c>
      <c r="E85" s="34">
        <v>-195744</v>
      </c>
      <c r="F85" s="35">
        <v>-2.8558781244556158E-2</v>
      </c>
    </row>
    <row r="86" spans="1:6" s="13" customFormat="1" ht="26.25">
      <c r="A86" s="29" t="s">
        <v>86</v>
      </c>
      <c r="B86" s="28">
        <v>304095</v>
      </c>
      <c r="C86" s="28">
        <v>295541</v>
      </c>
      <c r="D86" s="28">
        <v>295541</v>
      </c>
      <c r="E86" s="28">
        <v>0</v>
      </c>
      <c r="F86" s="24">
        <v>0</v>
      </c>
    </row>
    <row r="87" spans="1:6" s="13" customFormat="1" ht="26.25">
      <c r="A87" s="29" t="s">
        <v>87</v>
      </c>
      <c r="B87" s="28">
        <v>0</v>
      </c>
      <c r="C87" s="28">
        <v>0</v>
      </c>
      <c r="D87" s="28">
        <v>0</v>
      </c>
      <c r="E87" s="28">
        <v>0</v>
      </c>
      <c r="F87" s="24">
        <v>0</v>
      </c>
    </row>
    <row r="88" spans="1:6" s="13" customFormat="1" ht="26.25">
      <c r="A88" s="38" t="s">
        <v>88</v>
      </c>
      <c r="B88" s="28">
        <v>0</v>
      </c>
      <c r="C88" s="28">
        <v>0</v>
      </c>
      <c r="D88" s="28">
        <v>0</v>
      </c>
      <c r="E88" s="28">
        <v>0</v>
      </c>
      <c r="F88" s="24">
        <v>0</v>
      </c>
    </row>
    <row r="89" spans="1:6" s="36" customFormat="1" ht="26.25">
      <c r="A89" s="52" t="s">
        <v>89</v>
      </c>
      <c r="B89" s="260">
        <v>304095</v>
      </c>
      <c r="C89" s="51">
        <v>295541</v>
      </c>
      <c r="D89" s="51">
        <v>295541</v>
      </c>
      <c r="E89" s="51">
        <v>0</v>
      </c>
      <c r="F89" s="35">
        <v>0</v>
      </c>
    </row>
    <row r="90" spans="1:6" s="13" customFormat="1" ht="26.25">
      <c r="A90" s="38" t="s">
        <v>90</v>
      </c>
      <c r="B90" s="28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36" customFormat="1" ht="27" thickBot="1">
      <c r="A91" s="53" t="s">
        <v>71</v>
      </c>
      <c r="B91" s="263">
        <v>52361683.82</v>
      </c>
      <c r="C91" s="54">
        <v>53628586.859999999</v>
      </c>
      <c r="D91" s="55">
        <v>54924367</v>
      </c>
      <c r="E91" s="54">
        <v>1295780.1400000006</v>
      </c>
      <c r="F91" s="56">
        <v>2.4162116062888192E-2</v>
      </c>
    </row>
    <row r="92" spans="1:6" s="60" customFormat="1" ht="31.5">
      <c r="A92" s="57"/>
      <c r="B92" s="128">
        <v>0</v>
      </c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zoomScale="50" zoomScaleNormal="50" workbookViewId="0">
      <selection activeCell="B8" sqref="B8:B91"/>
    </sheetView>
  </sheetViews>
  <sheetFormatPr defaultRowHeight="15.75"/>
  <cols>
    <col min="1" max="1" width="121.85546875" style="75" customWidth="1"/>
    <col min="2" max="2" width="32.7109375" style="76" customWidth="1"/>
    <col min="3" max="4" width="32.85546875" style="76" customWidth="1"/>
    <col min="5" max="5" width="33.7109375" style="75" customWidth="1"/>
    <col min="6" max="6" width="27.7109375" style="75" customWidth="1"/>
    <col min="7" max="254" width="9.140625" style="75"/>
    <col min="255" max="255" width="121.140625" style="75" customWidth="1"/>
    <col min="256" max="256" width="32.7109375" style="75" customWidth="1"/>
    <col min="257" max="258" width="32.85546875" style="75" customWidth="1"/>
    <col min="259" max="259" width="31.140625" style="75" customWidth="1"/>
    <col min="260" max="260" width="25.5703125" style="75" customWidth="1"/>
    <col min="261" max="261" width="30.28515625" style="75" customWidth="1"/>
    <col min="262" max="262" width="25.140625" style="75" customWidth="1"/>
    <col min="263" max="510" width="9.140625" style="75"/>
    <col min="511" max="511" width="121.140625" style="75" customWidth="1"/>
    <col min="512" max="512" width="32.7109375" style="75" customWidth="1"/>
    <col min="513" max="514" width="32.85546875" style="75" customWidth="1"/>
    <col min="515" max="515" width="31.140625" style="75" customWidth="1"/>
    <col min="516" max="516" width="25.5703125" style="75" customWidth="1"/>
    <col min="517" max="517" width="30.28515625" style="75" customWidth="1"/>
    <col min="518" max="518" width="25.140625" style="75" customWidth="1"/>
    <col min="519" max="766" width="9.140625" style="75"/>
    <col min="767" max="767" width="121.140625" style="75" customWidth="1"/>
    <col min="768" max="768" width="32.7109375" style="75" customWidth="1"/>
    <col min="769" max="770" width="32.85546875" style="75" customWidth="1"/>
    <col min="771" max="771" width="31.140625" style="75" customWidth="1"/>
    <col min="772" max="772" width="25.5703125" style="75" customWidth="1"/>
    <col min="773" max="773" width="30.28515625" style="75" customWidth="1"/>
    <col min="774" max="774" width="25.140625" style="75" customWidth="1"/>
    <col min="775" max="1022" width="9.140625" style="75"/>
    <col min="1023" max="1023" width="121.140625" style="75" customWidth="1"/>
    <col min="1024" max="1024" width="32.7109375" style="75" customWidth="1"/>
    <col min="1025" max="1026" width="32.85546875" style="75" customWidth="1"/>
    <col min="1027" max="1027" width="31.140625" style="75" customWidth="1"/>
    <col min="1028" max="1028" width="25.5703125" style="75" customWidth="1"/>
    <col min="1029" max="1029" width="30.28515625" style="75" customWidth="1"/>
    <col min="1030" max="1030" width="25.140625" style="75" customWidth="1"/>
    <col min="1031" max="1278" width="9.140625" style="75"/>
    <col min="1279" max="1279" width="121.140625" style="75" customWidth="1"/>
    <col min="1280" max="1280" width="32.7109375" style="75" customWidth="1"/>
    <col min="1281" max="1282" width="32.85546875" style="75" customWidth="1"/>
    <col min="1283" max="1283" width="31.140625" style="75" customWidth="1"/>
    <col min="1284" max="1284" width="25.5703125" style="75" customWidth="1"/>
    <col min="1285" max="1285" width="30.28515625" style="75" customWidth="1"/>
    <col min="1286" max="1286" width="25.140625" style="75" customWidth="1"/>
    <col min="1287" max="1534" width="9.140625" style="75"/>
    <col min="1535" max="1535" width="121.140625" style="75" customWidth="1"/>
    <col min="1536" max="1536" width="32.7109375" style="75" customWidth="1"/>
    <col min="1537" max="1538" width="32.85546875" style="75" customWidth="1"/>
    <col min="1539" max="1539" width="31.140625" style="75" customWidth="1"/>
    <col min="1540" max="1540" width="25.5703125" style="75" customWidth="1"/>
    <col min="1541" max="1541" width="30.28515625" style="75" customWidth="1"/>
    <col min="1542" max="1542" width="25.140625" style="75" customWidth="1"/>
    <col min="1543" max="1790" width="9.140625" style="75"/>
    <col min="1791" max="1791" width="121.140625" style="75" customWidth="1"/>
    <col min="1792" max="1792" width="32.7109375" style="75" customWidth="1"/>
    <col min="1793" max="1794" width="32.85546875" style="75" customWidth="1"/>
    <col min="1795" max="1795" width="31.140625" style="75" customWidth="1"/>
    <col min="1796" max="1796" width="25.5703125" style="75" customWidth="1"/>
    <col min="1797" max="1797" width="30.28515625" style="75" customWidth="1"/>
    <col min="1798" max="1798" width="25.140625" style="75" customWidth="1"/>
    <col min="1799" max="2046" width="9.140625" style="75"/>
    <col min="2047" max="2047" width="121.140625" style="75" customWidth="1"/>
    <col min="2048" max="2048" width="32.7109375" style="75" customWidth="1"/>
    <col min="2049" max="2050" width="32.85546875" style="75" customWidth="1"/>
    <col min="2051" max="2051" width="31.140625" style="75" customWidth="1"/>
    <col min="2052" max="2052" width="25.5703125" style="75" customWidth="1"/>
    <col min="2053" max="2053" width="30.28515625" style="75" customWidth="1"/>
    <col min="2054" max="2054" width="25.140625" style="75" customWidth="1"/>
    <col min="2055" max="2302" width="9.140625" style="75"/>
    <col min="2303" max="2303" width="121.140625" style="75" customWidth="1"/>
    <col min="2304" max="2304" width="32.7109375" style="75" customWidth="1"/>
    <col min="2305" max="2306" width="32.85546875" style="75" customWidth="1"/>
    <col min="2307" max="2307" width="31.140625" style="75" customWidth="1"/>
    <col min="2308" max="2308" width="25.5703125" style="75" customWidth="1"/>
    <col min="2309" max="2309" width="30.28515625" style="75" customWidth="1"/>
    <col min="2310" max="2310" width="25.140625" style="75" customWidth="1"/>
    <col min="2311" max="2558" width="9.140625" style="75"/>
    <col min="2559" max="2559" width="121.140625" style="75" customWidth="1"/>
    <col min="2560" max="2560" width="32.7109375" style="75" customWidth="1"/>
    <col min="2561" max="2562" width="32.85546875" style="75" customWidth="1"/>
    <col min="2563" max="2563" width="31.140625" style="75" customWidth="1"/>
    <col min="2564" max="2564" width="25.5703125" style="75" customWidth="1"/>
    <col min="2565" max="2565" width="30.28515625" style="75" customWidth="1"/>
    <col min="2566" max="2566" width="25.140625" style="75" customWidth="1"/>
    <col min="2567" max="2814" width="9.140625" style="75"/>
    <col min="2815" max="2815" width="121.140625" style="75" customWidth="1"/>
    <col min="2816" max="2816" width="32.7109375" style="75" customWidth="1"/>
    <col min="2817" max="2818" width="32.85546875" style="75" customWidth="1"/>
    <col min="2819" max="2819" width="31.140625" style="75" customWidth="1"/>
    <col min="2820" max="2820" width="25.5703125" style="75" customWidth="1"/>
    <col min="2821" max="2821" width="30.28515625" style="75" customWidth="1"/>
    <col min="2822" max="2822" width="25.140625" style="75" customWidth="1"/>
    <col min="2823" max="3070" width="9.140625" style="75"/>
    <col min="3071" max="3071" width="121.140625" style="75" customWidth="1"/>
    <col min="3072" max="3072" width="32.7109375" style="75" customWidth="1"/>
    <col min="3073" max="3074" width="32.85546875" style="75" customWidth="1"/>
    <col min="3075" max="3075" width="31.140625" style="75" customWidth="1"/>
    <col min="3076" max="3076" width="25.5703125" style="75" customWidth="1"/>
    <col min="3077" max="3077" width="30.28515625" style="75" customWidth="1"/>
    <col min="3078" max="3078" width="25.140625" style="75" customWidth="1"/>
    <col min="3079" max="3326" width="9.140625" style="75"/>
    <col min="3327" max="3327" width="121.140625" style="75" customWidth="1"/>
    <col min="3328" max="3328" width="32.7109375" style="75" customWidth="1"/>
    <col min="3329" max="3330" width="32.85546875" style="75" customWidth="1"/>
    <col min="3331" max="3331" width="31.140625" style="75" customWidth="1"/>
    <col min="3332" max="3332" width="25.5703125" style="75" customWidth="1"/>
    <col min="3333" max="3333" width="30.28515625" style="75" customWidth="1"/>
    <col min="3334" max="3334" width="25.140625" style="75" customWidth="1"/>
    <col min="3335" max="3582" width="9.140625" style="75"/>
    <col min="3583" max="3583" width="121.140625" style="75" customWidth="1"/>
    <col min="3584" max="3584" width="32.7109375" style="75" customWidth="1"/>
    <col min="3585" max="3586" width="32.85546875" style="75" customWidth="1"/>
    <col min="3587" max="3587" width="31.140625" style="75" customWidth="1"/>
    <col min="3588" max="3588" width="25.5703125" style="75" customWidth="1"/>
    <col min="3589" max="3589" width="30.28515625" style="75" customWidth="1"/>
    <col min="3590" max="3590" width="25.140625" style="75" customWidth="1"/>
    <col min="3591" max="3838" width="9.140625" style="75"/>
    <col min="3839" max="3839" width="121.140625" style="75" customWidth="1"/>
    <col min="3840" max="3840" width="32.7109375" style="75" customWidth="1"/>
    <col min="3841" max="3842" width="32.85546875" style="75" customWidth="1"/>
    <col min="3843" max="3843" width="31.140625" style="75" customWidth="1"/>
    <col min="3844" max="3844" width="25.5703125" style="75" customWidth="1"/>
    <col min="3845" max="3845" width="30.28515625" style="75" customWidth="1"/>
    <col min="3846" max="3846" width="25.140625" style="75" customWidth="1"/>
    <col min="3847" max="4094" width="9.140625" style="75"/>
    <col min="4095" max="4095" width="121.140625" style="75" customWidth="1"/>
    <col min="4096" max="4096" width="32.7109375" style="75" customWidth="1"/>
    <col min="4097" max="4098" width="32.85546875" style="75" customWidth="1"/>
    <col min="4099" max="4099" width="31.140625" style="75" customWidth="1"/>
    <col min="4100" max="4100" width="25.5703125" style="75" customWidth="1"/>
    <col min="4101" max="4101" width="30.28515625" style="75" customWidth="1"/>
    <col min="4102" max="4102" width="25.140625" style="75" customWidth="1"/>
    <col min="4103" max="4350" width="9.140625" style="75"/>
    <col min="4351" max="4351" width="121.140625" style="75" customWidth="1"/>
    <col min="4352" max="4352" width="32.7109375" style="75" customWidth="1"/>
    <col min="4353" max="4354" width="32.85546875" style="75" customWidth="1"/>
    <col min="4355" max="4355" width="31.140625" style="75" customWidth="1"/>
    <col min="4356" max="4356" width="25.5703125" style="75" customWidth="1"/>
    <col min="4357" max="4357" width="30.28515625" style="75" customWidth="1"/>
    <col min="4358" max="4358" width="25.140625" style="75" customWidth="1"/>
    <col min="4359" max="4606" width="9.140625" style="75"/>
    <col min="4607" max="4607" width="121.140625" style="75" customWidth="1"/>
    <col min="4608" max="4608" width="32.7109375" style="75" customWidth="1"/>
    <col min="4609" max="4610" width="32.85546875" style="75" customWidth="1"/>
    <col min="4611" max="4611" width="31.140625" style="75" customWidth="1"/>
    <col min="4612" max="4612" width="25.5703125" style="75" customWidth="1"/>
    <col min="4613" max="4613" width="30.28515625" style="75" customWidth="1"/>
    <col min="4614" max="4614" width="25.140625" style="75" customWidth="1"/>
    <col min="4615" max="4862" width="9.140625" style="75"/>
    <col min="4863" max="4863" width="121.140625" style="75" customWidth="1"/>
    <col min="4864" max="4864" width="32.7109375" style="75" customWidth="1"/>
    <col min="4865" max="4866" width="32.85546875" style="75" customWidth="1"/>
    <col min="4867" max="4867" width="31.140625" style="75" customWidth="1"/>
    <col min="4868" max="4868" width="25.5703125" style="75" customWidth="1"/>
    <col min="4869" max="4869" width="30.28515625" style="75" customWidth="1"/>
    <col min="4870" max="4870" width="25.140625" style="75" customWidth="1"/>
    <col min="4871" max="5118" width="9.140625" style="75"/>
    <col min="5119" max="5119" width="121.140625" style="75" customWidth="1"/>
    <col min="5120" max="5120" width="32.7109375" style="75" customWidth="1"/>
    <col min="5121" max="5122" width="32.85546875" style="75" customWidth="1"/>
    <col min="5123" max="5123" width="31.140625" style="75" customWidth="1"/>
    <col min="5124" max="5124" width="25.5703125" style="75" customWidth="1"/>
    <col min="5125" max="5125" width="30.28515625" style="75" customWidth="1"/>
    <col min="5126" max="5126" width="25.140625" style="75" customWidth="1"/>
    <col min="5127" max="5374" width="9.140625" style="75"/>
    <col min="5375" max="5375" width="121.140625" style="75" customWidth="1"/>
    <col min="5376" max="5376" width="32.7109375" style="75" customWidth="1"/>
    <col min="5377" max="5378" width="32.85546875" style="75" customWidth="1"/>
    <col min="5379" max="5379" width="31.140625" style="75" customWidth="1"/>
    <col min="5380" max="5380" width="25.5703125" style="75" customWidth="1"/>
    <col min="5381" max="5381" width="30.28515625" style="75" customWidth="1"/>
    <col min="5382" max="5382" width="25.140625" style="75" customWidth="1"/>
    <col min="5383" max="5630" width="9.140625" style="75"/>
    <col min="5631" max="5631" width="121.140625" style="75" customWidth="1"/>
    <col min="5632" max="5632" width="32.7109375" style="75" customWidth="1"/>
    <col min="5633" max="5634" width="32.85546875" style="75" customWidth="1"/>
    <col min="5635" max="5635" width="31.140625" style="75" customWidth="1"/>
    <col min="5636" max="5636" width="25.5703125" style="75" customWidth="1"/>
    <col min="5637" max="5637" width="30.28515625" style="75" customWidth="1"/>
    <col min="5638" max="5638" width="25.140625" style="75" customWidth="1"/>
    <col min="5639" max="5886" width="9.140625" style="75"/>
    <col min="5887" max="5887" width="121.140625" style="75" customWidth="1"/>
    <col min="5888" max="5888" width="32.7109375" style="75" customWidth="1"/>
    <col min="5889" max="5890" width="32.85546875" style="75" customWidth="1"/>
    <col min="5891" max="5891" width="31.140625" style="75" customWidth="1"/>
    <col min="5892" max="5892" width="25.5703125" style="75" customWidth="1"/>
    <col min="5893" max="5893" width="30.28515625" style="75" customWidth="1"/>
    <col min="5894" max="5894" width="25.140625" style="75" customWidth="1"/>
    <col min="5895" max="6142" width="9.140625" style="75"/>
    <col min="6143" max="6143" width="121.140625" style="75" customWidth="1"/>
    <col min="6144" max="6144" width="32.7109375" style="75" customWidth="1"/>
    <col min="6145" max="6146" width="32.85546875" style="75" customWidth="1"/>
    <col min="6147" max="6147" width="31.140625" style="75" customWidth="1"/>
    <col min="6148" max="6148" width="25.5703125" style="75" customWidth="1"/>
    <col min="6149" max="6149" width="30.28515625" style="75" customWidth="1"/>
    <col min="6150" max="6150" width="25.140625" style="75" customWidth="1"/>
    <col min="6151" max="6398" width="9.140625" style="75"/>
    <col min="6399" max="6399" width="121.140625" style="75" customWidth="1"/>
    <col min="6400" max="6400" width="32.7109375" style="75" customWidth="1"/>
    <col min="6401" max="6402" width="32.85546875" style="75" customWidth="1"/>
    <col min="6403" max="6403" width="31.140625" style="75" customWidth="1"/>
    <col min="6404" max="6404" width="25.5703125" style="75" customWidth="1"/>
    <col min="6405" max="6405" width="30.28515625" style="75" customWidth="1"/>
    <col min="6406" max="6406" width="25.140625" style="75" customWidth="1"/>
    <col min="6407" max="6654" width="9.140625" style="75"/>
    <col min="6655" max="6655" width="121.140625" style="75" customWidth="1"/>
    <col min="6656" max="6656" width="32.7109375" style="75" customWidth="1"/>
    <col min="6657" max="6658" width="32.85546875" style="75" customWidth="1"/>
    <col min="6659" max="6659" width="31.140625" style="75" customWidth="1"/>
    <col min="6660" max="6660" width="25.5703125" style="75" customWidth="1"/>
    <col min="6661" max="6661" width="30.28515625" style="75" customWidth="1"/>
    <col min="6662" max="6662" width="25.140625" style="75" customWidth="1"/>
    <col min="6663" max="6910" width="9.140625" style="75"/>
    <col min="6911" max="6911" width="121.140625" style="75" customWidth="1"/>
    <col min="6912" max="6912" width="32.7109375" style="75" customWidth="1"/>
    <col min="6913" max="6914" width="32.85546875" style="75" customWidth="1"/>
    <col min="6915" max="6915" width="31.140625" style="75" customWidth="1"/>
    <col min="6916" max="6916" width="25.5703125" style="75" customWidth="1"/>
    <col min="6917" max="6917" width="30.28515625" style="75" customWidth="1"/>
    <col min="6918" max="6918" width="25.140625" style="75" customWidth="1"/>
    <col min="6919" max="7166" width="9.140625" style="75"/>
    <col min="7167" max="7167" width="121.140625" style="75" customWidth="1"/>
    <col min="7168" max="7168" width="32.7109375" style="75" customWidth="1"/>
    <col min="7169" max="7170" width="32.85546875" style="75" customWidth="1"/>
    <col min="7171" max="7171" width="31.140625" style="75" customWidth="1"/>
    <col min="7172" max="7172" width="25.5703125" style="75" customWidth="1"/>
    <col min="7173" max="7173" width="30.28515625" style="75" customWidth="1"/>
    <col min="7174" max="7174" width="25.140625" style="75" customWidth="1"/>
    <col min="7175" max="7422" width="9.140625" style="75"/>
    <col min="7423" max="7423" width="121.140625" style="75" customWidth="1"/>
    <col min="7424" max="7424" width="32.7109375" style="75" customWidth="1"/>
    <col min="7425" max="7426" width="32.85546875" style="75" customWidth="1"/>
    <col min="7427" max="7427" width="31.140625" style="75" customWidth="1"/>
    <col min="7428" max="7428" width="25.5703125" style="75" customWidth="1"/>
    <col min="7429" max="7429" width="30.28515625" style="75" customWidth="1"/>
    <col min="7430" max="7430" width="25.140625" style="75" customWidth="1"/>
    <col min="7431" max="7678" width="9.140625" style="75"/>
    <col min="7679" max="7679" width="121.140625" style="75" customWidth="1"/>
    <col min="7680" max="7680" width="32.7109375" style="75" customWidth="1"/>
    <col min="7681" max="7682" width="32.85546875" style="75" customWidth="1"/>
    <col min="7683" max="7683" width="31.140625" style="75" customWidth="1"/>
    <col min="7684" max="7684" width="25.5703125" style="75" customWidth="1"/>
    <col min="7685" max="7685" width="30.28515625" style="75" customWidth="1"/>
    <col min="7686" max="7686" width="25.140625" style="75" customWidth="1"/>
    <col min="7687" max="7934" width="9.140625" style="75"/>
    <col min="7935" max="7935" width="121.140625" style="75" customWidth="1"/>
    <col min="7936" max="7936" width="32.7109375" style="75" customWidth="1"/>
    <col min="7937" max="7938" width="32.85546875" style="75" customWidth="1"/>
    <col min="7939" max="7939" width="31.140625" style="75" customWidth="1"/>
    <col min="7940" max="7940" width="25.5703125" style="75" customWidth="1"/>
    <col min="7941" max="7941" width="30.28515625" style="75" customWidth="1"/>
    <col min="7942" max="7942" width="25.140625" style="75" customWidth="1"/>
    <col min="7943" max="8190" width="9.140625" style="75"/>
    <col min="8191" max="8191" width="121.140625" style="75" customWidth="1"/>
    <col min="8192" max="8192" width="32.7109375" style="75" customWidth="1"/>
    <col min="8193" max="8194" width="32.85546875" style="75" customWidth="1"/>
    <col min="8195" max="8195" width="31.140625" style="75" customWidth="1"/>
    <col min="8196" max="8196" width="25.5703125" style="75" customWidth="1"/>
    <col min="8197" max="8197" width="30.28515625" style="75" customWidth="1"/>
    <col min="8198" max="8198" width="25.140625" style="75" customWidth="1"/>
    <col min="8199" max="8446" width="9.140625" style="75"/>
    <col min="8447" max="8447" width="121.140625" style="75" customWidth="1"/>
    <col min="8448" max="8448" width="32.7109375" style="75" customWidth="1"/>
    <col min="8449" max="8450" width="32.85546875" style="75" customWidth="1"/>
    <col min="8451" max="8451" width="31.140625" style="75" customWidth="1"/>
    <col min="8452" max="8452" width="25.5703125" style="75" customWidth="1"/>
    <col min="8453" max="8453" width="30.28515625" style="75" customWidth="1"/>
    <col min="8454" max="8454" width="25.140625" style="75" customWidth="1"/>
    <col min="8455" max="8702" width="9.140625" style="75"/>
    <col min="8703" max="8703" width="121.140625" style="75" customWidth="1"/>
    <col min="8704" max="8704" width="32.7109375" style="75" customWidth="1"/>
    <col min="8705" max="8706" width="32.85546875" style="75" customWidth="1"/>
    <col min="8707" max="8707" width="31.140625" style="75" customWidth="1"/>
    <col min="8708" max="8708" width="25.5703125" style="75" customWidth="1"/>
    <col min="8709" max="8709" width="30.28515625" style="75" customWidth="1"/>
    <col min="8710" max="8710" width="25.140625" style="75" customWidth="1"/>
    <col min="8711" max="8958" width="9.140625" style="75"/>
    <col min="8959" max="8959" width="121.140625" style="75" customWidth="1"/>
    <col min="8960" max="8960" width="32.7109375" style="75" customWidth="1"/>
    <col min="8961" max="8962" width="32.85546875" style="75" customWidth="1"/>
    <col min="8963" max="8963" width="31.140625" style="75" customWidth="1"/>
    <col min="8964" max="8964" width="25.5703125" style="75" customWidth="1"/>
    <col min="8965" max="8965" width="30.28515625" style="75" customWidth="1"/>
    <col min="8966" max="8966" width="25.140625" style="75" customWidth="1"/>
    <col min="8967" max="9214" width="9.140625" style="75"/>
    <col min="9215" max="9215" width="121.140625" style="75" customWidth="1"/>
    <col min="9216" max="9216" width="32.7109375" style="75" customWidth="1"/>
    <col min="9217" max="9218" width="32.85546875" style="75" customWidth="1"/>
    <col min="9219" max="9219" width="31.140625" style="75" customWidth="1"/>
    <col min="9220" max="9220" width="25.5703125" style="75" customWidth="1"/>
    <col min="9221" max="9221" width="30.28515625" style="75" customWidth="1"/>
    <col min="9222" max="9222" width="25.140625" style="75" customWidth="1"/>
    <col min="9223" max="9470" width="9.140625" style="75"/>
    <col min="9471" max="9471" width="121.140625" style="75" customWidth="1"/>
    <col min="9472" max="9472" width="32.7109375" style="75" customWidth="1"/>
    <col min="9473" max="9474" width="32.85546875" style="75" customWidth="1"/>
    <col min="9475" max="9475" width="31.140625" style="75" customWidth="1"/>
    <col min="9476" max="9476" width="25.5703125" style="75" customWidth="1"/>
    <col min="9477" max="9477" width="30.28515625" style="75" customWidth="1"/>
    <col min="9478" max="9478" width="25.140625" style="75" customWidth="1"/>
    <col min="9479" max="9726" width="9.140625" style="75"/>
    <col min="9727" max="9727" width="121.140625" style="75" customWidth="1"/>
    <col min="9728" max="9728" width="32.7109375" style="75" customWidth="1"/>
    <col min="9729" max="9730" width="32.85546875" style="75" customWidth="1"/>
    <col min="9731" max="9731" width="31.140625" style="75" customWidth="1"/>
    <col min="9732" max="9732" width="25.5703125" style="75" customWidth="1"/>
    <col min="9733" max="9733" width="30.28515625" style="75" customWidth="1"/>
    <col min="9734" max="9734" width="25.140625" style="75" customWidth="1"/>
    <col min="9735" max="9982" width="9.140625" style="75"/>
    <col min="9983" max="9983" width="121.140625" style="75" customWidth="1"/>
    <col min="9984" max="9984" width="32.7109375" style="75" customWidth="1"/>
    <col min="9985" max="9986" width="32.85546875" style="75" customWidth="1"/>
    <col min="9987" max="9987" width="31.140625" style="75" customWidth="1"/>
    <col min="9988" max="9988" width="25.5703125" style="75" customWidth="1"/>
    <col min="9989" max="9989" width="30.28515625" style="75" customWidth="1"/>
    <col min="9990" max="9990" width="25.140625" style="75" customWidth="1"/>
    <col min="9991" max="10238" width="9.140625" style="75"/>
    <col min="10239" max="10239" width="121.140625" style="75" customWidth="1"/>
    <col min="10240" max="10240" width="32.7109375" style="75" customWidth="1"/>
    <col min="10241" max="10242" width="32.85546875" style="75" customWidth="1"/>
    <col min="10243" max="10243" width="31.140625" style="75" customWidth="1"/>
    <col min="10244" max="10244" width="25.5703125" style="75" customWidth="1"/>
    <col min="10245" max="10245" width="30.28515625" style="75" customWidth="1"/>
    <col min="10246" max="10246" width="25.140625" style="75" customWidth="1"/>
    <col min="10247" max="10494" width="9.140625" style="75"/>
    <col min="10495" max="10495" width="121.140625" style="75" customWidth="1"/>
    <col min="10496" max="10496" width="32.7109375" style="75" customWidth="1"/>
    <col min="10497" max="10498" width="32.85546875" style="75" customWidth="1"/>
    <col min="10499" max="10499" width="31.140625" style="75" customWidth="1"/>
    <col min="10500" max="10500" width="25.5703125" style="75" customWidth="1"/>
    <col min="10501" max="10501" width="30.28515625" style="75" customWidth="1"/>
    <col min="10502" max="10502" width="25.140625" style="75" customWidth="1"/>
    <col min="10503" max="10750" width="9.140625" style="75"/>
    <col min="10751" max="10751" width="121.140625" style="75" customWidth="1"/>
    <col min="10752" max="10752" width="32.7109375" style="75" customWidth="1"/>
    <col min="10753" max="10754" width="32.85546875" style="75" customWidth="1"/>
    <col min="10755" max="10755" width="31.140625" style="75" customWidth="1"/>
    <col min="10756" max="10756" width="25.5703125" style="75" customWidth="1"/>
    <col min="10757" max="10757" width="30.28515625" style="75" customWidth="1"/>
    <col min="10758" max="10758" width="25.140625" style="75" customWidth="1"/>
    <col min="10759" max="11006" width="9.140625" style="75"/>
    <col min="11007" max="11007" width="121.140625" style="75" customWidth="1"/>
    <col min="11008" max="11008" width="32.7109375" style="75" customWidth="1"/>
    <col min="11009" max="11010" width="32.85546875" style="75" customWidth="1"/>
    <col min="11011" max="11011" width="31.140625" style="75" customWidth="1"/>
    <col min="11012" max="11012" width="25.5703125" style="75" customWidth="1"/>
    <col min="11013" max="11013" width="30.28515625" style="75" customWidth="1"/>
    <col min="11014" max="11014" width="25.140625" style="75" customWidth="1"/>
    <col min="11015" max="11262" width="9.140625" style="75"/>
    <col min="11263" max="11263" width="121.140625" style="75" customWidth="1"/>
    <col min="11264" max="11264" width="32.7109375" style="75" customWidth="1"/>
    <col min="11265" max="11266" width="32.85546875" style="75" customWidth="1"/>
    <col min="11267" max="11267" width="31.140625" style="75" customWidth="1"/>
    <col min="11268" max="11268" width="25.5703125" style="75" customWidth="1"/>
    <col min="11269" max="11269" width="30.28515625" style="75" customWidth="1"/>
    <col min="11270" max="11270" width="25.140625" style="75" customWidth="1"/>
    <col min="11271" max="11518" width="9.140625" style="75"/>
    <col min="11519" max="11519" width="121.140625" style="75" customWidth="1"/>
    <col min="11520" max="11520" width="32.7109375" style="75" customWidth="1"/>
    <col min="11521" max="11522" width="32.85546875" style="75" customWidth="1"/>
    <col min="11523" max="11523" width="31.140625" style="75" customWidth="1"/>
    <col min="11524" max="11524" width="25.5703125" style="75" customWidth="1"/>
    <col min="11525" max="11525" width="30.28515625" style="75" customWidth="1"/>
    <col min="11526" max="11526" width="25.140625" style="75" customWidth="1"/>
    <col min="11527" max="11774" width="9.140625" style="75"/>
    <col min="11775" max="11775" width="121.140625" style="75" customWidth="1"/>
    <col min="11776" max="11776" width="32.7109375" style="75" customWidth="1"/>
    <col min="11777" max="11778" width="32.85546875" style="75" customWidth="1"/>
    <col min="11779" max="11779" width="31.140625" style="75" customWidth="1"/>
    <col min="11780" max="11780" width="25.5703125" style="75" customWidth="1"/>
    <col min="11781" max="11781" width="30.28515625" style="75" customWidth="1"/>
    <col min="11782" max="11782" width="25.140625" style="75" customWidth="1"/>
    <col min="11783" max="12030" width="9.140625" style="75"/>
    <col min="12031" max="12031" width="121.140625" style="75" customWidth="1"/>
    <col min="12032" max="12032" width="32.7109375" style="75" customWidth="1"/>
    <col min="12033" max="12034" width="32.85546875" style="75" customWidth="1"/>
    <col min="12035" max="12035" width="31.140625" style="75" customWidth="1"/>
    <col min="12036" max="12036" width="25.5703125" style="75" customWidth="1"/>
    <col min="12037" max="12037" width="30.28515625" style="75" customWidth="1"/>
    <col min="12038" max="12038" width="25.140625" style="75" customWidth="1"/>
    <col min="12039" max="12286" width="9.140625" style="75"/>
    <col min="12287" max="12287" width="121.140625" style="75" customWidth="1"/>
    <col min="12288" max="12288" width="32.7109375" style="75" customWidth="1"/>
    <col min="12289" max="12290" width="32.85546875" style="75" customWidth="1"/>
    <col min="12291" max="12291" width="31.140625" style="75" customWidth="1"/>
    <col min="12292" max="12292" width="25.5703125" style="75" customWidth="1"/>
    <col min="12293" max="12293" width="30.28515625" style="75" customWidth="1"/>
    <col min="12294" max="12294" width="25.140625" style="75" customWidth="1"/>
    <col min="12295" max="12542" width="9.140625" style="75"/>
    <col min="12543" max="12543" width="121.140625" style="75" customWidth="1"/>
    <col min="12544" max="12544" width="32.7109375" style="75" customWidth="1"/>
    <col min="12545" max="12546" width="32.85546875" style="75" customWidth="1"/>
    <col min="12547" max="12547" width="31.140625" style="75" customWidth="1"/>
    <col min="12548" max="12548" width="25.5703125" style="75" customWidth="1"/>
    <col min="12549" max="12549" width="30.28515625" style="75" customWidth="1"/>
    <col min="12550" max="12550" width="25.140625" style="75" customWidth="1"/>
    <col min="12551" max="12798" width="9.140625" style="75"/>
    <col min="12799" max="12799" width="121.140625" style="75" customWidth="1"/>
    <col min="12800" max="12800" width="32.7109375" style="75" customWidth="1"/>
    <col min="12801" max="12802" width="32.85546875" style="75" customWidth="1"/>
    <col min="12803" max="12803" width="31.140625" style="75" customWidth="1"/>
    <col min="12804" max="12804" width="25.5703125" style="75" customWidth="1"/>
    <col min="12805" max="12805" width="30.28515625" style="75" customWidth="1"/>
    <col min="12806" max="12806" width="25.140625" style="75" customWidth="1"/>
    <col min="12807" max="13054" width="9.140625" style="75"/>
    <col min="13055" max="13055" width="121.140625" style="75" customWidth="1"/>
    <col min="13056" max="13056" width="32.7109375" style="75" customWidth="1"/>
    <col min="13057" max="13058" width="32.85546875" style="75" customWidth="1"/>
    <col min="13059" max="13059" width="31.140625" style="75" customWidth="1"/>
    <col min="13060" max="13060" width="25.5703125" style="75" customWidth="1"/>
    <col min="13061" max="13061" width="30.28515625" style="75" customWidth="1"/>
    <col min="13062" max="13062" width="25.140625" style="75" customWidth="1"/>
    <col min="13063" max="13310" width="9.140625" style="75"/>
    <col min="13311" max="13311" width="121.140625" style="75" customWidth="1"/>
    <col min="13312" max="13312" width="32.7109375" style="75" customWidth="1"/>
    <col min="13313" max="13314" width="32.85546875" style="75" customWidth="1"/>
    <col min="13315" max="13315" width="31.140625" style="75" customWidth="1"/>
    <col min="13316" max="13316" width="25.5703125" style="75" customWidth="1"/>
    <col min="13317" max="13317" width="30.28515625" style="75" customWidth="1"/>
    <col min="13318" max="13318" width="25.140625" style="75" customWidth="1"/>
    <col min="13319" max="13566" width="9.140625" style="75"/>
    <col min="13567" max="13567" width="121.140625" style="75" customWidth="1"/>
    <col min="13568" max="13568" width="32.7109375" style="75" customWidth="1"/>
    <col min="13569" max="13570" width="32.85546875" style="75" customWidth="1"/>
    <col min="13571" max="13571" width="31.140625" style="75" customWidth="1"/>
    <col min="13572" max="13572" width="25.5703125" style="75" customWidth="1"/>
    <col min="13573" max="13573" width="30.28515625" style="75" customWidth="1"/>
    <col min="13574" max="13574" width="25.140625" style="75" customWidth="1"/>
    <col min="13575" max="13822" width="9.140625" style="75"/>
    <col min="13823" max="13823" width="121.140625" style="75" customWidth="1"/>
    <col min="13824" max="13824" width="32.7109375" style="75" customWidth="1"/>
    <col min="13825" max="13826" width="32.85546875" style="75" customWidth="1"/>
    <col min="13827" max="13827" width="31.140625" style="75" customWidth="1"/>
    <col min="13828" max="13828" width="25.5703125" style="75" customWidth="1"/>
    <col min="13829" max="13829" width="30.28515625" style="75" customWidth="1"/>
    <col min="13830" max="13830" width="25.140625" style="75" customWidth="1"/>
    <col min="13831" max="14078" width="9.140625" style="75"/>
    <col min="14079" max="14079" width="121.140625" style="75" customWidth="1"/>
    <col min="14080" max="14080" width="32.7109375" style="75" customWidth="1"/>
    <col min="14081" max="14082" width="32.85546875" style="75" customWidth="1"/>
    <col min="14083" max="14083" width="31.140625" style="75" customWidth="1"/>
    <col min="14084" max="14084" width="25.5703125" style="75" customWidth="1"/>
    <col min="14085" max="14085" width="30.28515625" style="75" customWidth="1"/>
    <col min="14086" max="14086" width="25.140625" style="75" customWidth="1"/>
    <col min="14087" max="14334" width="9.140625" style="75"/>
    <col min="14335" max="14335" width="121.140625" style="75" customWidth="1"/>
    <col min="14336" max="14336" width="32.7109375" style="75" customWidth="1"/>
    <col min="14337" max="14338" width="32.85546875" style="75" customWidth="1"/>
    <col min="14339" max="14339" width="31.140625" style="75" customWidth="1"/>
    <col min="14340" max="14340" width="25.5703125" style="75" customWidth="1"/>
    <col min="14341" max="14341" width="30.28515625" style="75" customWidth="1"/>
    <col min="14342" max="14342" width="25.140625" style="75" customWidth="1"/>
    <col min="14343" max="14590" width="9.140625" style="75"/>
    <col min="14591" max="14591" width="121.140625" style="75" customWidth="1"/>
    <col min="14592" max="14592" width="32.7109375" style="75" customWidth="1"/>
    <col min="14593" max="14594" width="32.85546875" style="75" customWidth="1"/>
    <col min="14595" max="14595" width="31.140625" style="75" customWidth="1"/>
    <col min="14596" max="14596" width="25.5703125" style="75" customWidth="1"/>
    <col min="14597" max="14597" width="30.28515625" style="75" customWidth="1"/>
    <col min="14598" max="14598" width="25.140625" style="75" customWidth="1"/>
    <col min="14599" max="14846" width="9.140625" style="75"/>
    <col min="14847" max="14847" width="121.140625" style="75" customWidth="1"/>
    <col min="14848" max="14848" width="32.7109375" style="75" customWidth="1"/>
    <col min="14849" max="14850" width="32.85546875" style="75" customWidth="1"/>
    <col min="14851" max="14851" width="31.140625" style="75" customWidth="1"/>
    <col min="14852" max="14852" width="25.5703125" style="75" customWidth="1"/>
    <col min="14853" max="14853" width="30.28515625" style="75" customWidth="1"/>
    <col min="14854" max="14854" width="25.140625" style="75" customWidth="1"/>
    <col min="14855" max="15102" width="9.140625" style="75"/>
    <col min="15103" max="15103" width="121.140625" style="75" customWidth="1"/>
    <col min="15104" max="15104" width="32.7109375" style="75" customWidth="1"/>
    <col min="15105" max="15106" width="32.85546875" style="75" customWidth="1"/>
    <col min="15107" max="15107" width="31.140625" style="75" customWidth="1"/>
    <col min="15108" max="15108" width="25.5703125" style="75" customWidth="1"/>
    <col min="15109" max="15109" width="30.28515625" style="75" customWidth="1"/>
    <col min="15110" max="15110" width="25.140625" style="75" customWidth="1"/>
    <col min="15111" max="15358" width="9.140625" style="75"/>
    <col min="15359" max="15359" width="121.140625" style="75" customWidth="1"/>
    <col min="15360" max="15360" width="32.7109375" style="75" customWidth="1"/>
    <col min="15361" max="15362" width="32.85546875" style="75" customWidth="1"/>
    <col min="15363" max="15363" width="31.140625" style="75" customWidth="1"/>
    <col min="15364" max="15364" width="25.5703125" style="75" customWidth="1"/>
    <col min="15365" max="15365" width="30.28515625" style="75" customWidth="1"/>
    <col min="15366" max="15366" width="25.140625" style="75" customWidth="1"/>
    <col min="15367" max="15614" width="9.140625" style="75"/>
    <col min="15615" max="15615" width="121.140625" style="75" customWidth="1"/>
    <col min="15616" max="15616" width="32.7109375" style="75" customWidth="1"/>
    <col min="15617" max="15618" width="32.85546875" style="75" customWidth="1"/>
    <col min="15619" max="15619" width="31.140625" style="75" customWidth="1"/>
    <col min="15620" max="15620" width="25.5703125" style="75" customWidth="1"/>
    <col min="15621" max="15621" width="30.28515625" style="75" customWidth="1"/>
    <col min="15622" max="15622" width="25.140625" style="75" customWidth="1"/>
    <col min="15623" max="15870" width="9.140625" style="75"/>
    <col min="15871" max="15871" width="121.140625" style="75" customWidth="1"/>
    <col min="15872" max="15872" width="32.7109375" style="75" customWidth="1"/>
    <col min="15873" max="15874" width="32.85546875" style="75" customWidth="1"/>
    <col min="15875" max="15875" width="31.140625" style="75" customWidth="1"/>
    <col min="15876" max="15876" width="25.5703125" style="75" customWidth="1"/>
    <col min="15877" max="15877" width="30.28515625" style="75" customWidth="1"/>
    <col min="15878" max="15878" width="25.140625" style="75" customWidth="1"/>
    <col min="15879" max="16126" width="9.140625" style="75"/>
    <col min="16127" max="16127" width="121.140625" style="75" customWidth="1"/>
    <col min="16128" max="16128" width="32.7109375" style="75" customWidth="1"/>
    <col min="16129" max="16130" width="32.85546875" style="75" customWidth="1"/>
    <col min="16131" max="16131" width="31.140625" style="75" customWidth="1"/>
    <col min="16132" max="16132" width="25.5703125" style="75" customWidth="1"/>
    <col min="16133" max="16133" width="30.28515625" style="75" customWidth="1"/>
    <col min="16134" max="16134" width="25.140625" style="75" customWidth="1"/>
    <col min="16135" max="16384" width="9.140625" style="75"/>
  </cols>
  <sheetData>
    <row r="1" spans="1:6" s="69" customFormat="1" ht="46.5">
      <c r="A1" s="1" t="s">
        <v>0</v>
      </c>
      <c r="D1" s="277" t="s">
        <v>1</v>
      </c>
      <c r="E1" s="289" t="s">
        <v>119</v>
      </c>
      <c r="F1" s="281"/>
    </row>
    <row r="2" spans="1:6" s="69" customFormat="1" ht="46.5">
      <c r="A2" s="1" t="s">
        <v>2</v>
      </c>
      <c r="B2" s="2"/>
      <c r="C2" s="2"/>
      <c r="D2" s="2"/>
      <c r="E2" s="67"/>
      <c r="F2" s="67"/>
    </row>
    <row r="3" spans="1:6" s="69" customFormat="1" ht="47.25" thickBot="1">
      <c r="A3" s="7" t="s">
        <v>3</v>
      </c>
      <c r="B3" s="8"/>
      <c r="C3" s="8"/>
      <c r="D3" s="8"/>
      <c r="E3" s="67"/>
      <c r="F3" s="67"/>
    </row>
    <row r="4" spans="1:6" s="70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71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70" customFormat="1" ht="26.25">
      <c r="A6" s="18" t="s">
        <v>14</v>
      </c>
      <c r="B6" s="19"/>
      <c r="C6" s="19"/>
      <c r="D6" s="19"/>
      <c r="E6" s="19"/>
      <c r="F6" s="20"/>
    </row>
    <row r="7" spans="1:6" s="70" customFormat="1" ht="26.25">
      <c r="A7" s="18" t="s">
        <v>15</v>
      </c>
      <c r="B7" s="129"/>
      <c r="C7" s="129"/>
      <c r="D7" s="129"/>
      <c r="E7" s="19"/>
      <c r="F7" s="21"/>
    </row>
    <row r="8" spans="1:6" s="70" customFormat="1" ht="29.25">
      <c r="A8" s="22" t="s">
        <v>16</v>
      </c>
      <c r="B8" s="130">
        <v>51030730</v>
      </c>
      <c r="C8" s="130">
        <v>51030730</v>
      </c>
      <c r="D8" s="130">
        <v>47867208</v>
      </c>
      <c r="E8" s="130">
        <v>-3163522</v>
      </c>
      <c r="F8" s="131">
        <v>-6.1992489623409266E-2</v>
      </c>
    </row>
    <row r="9" spans="1:6" s="70" customFormat="1" ht="29.25">
      <c r="A9" s="22" t="s">
        <v>17</v>
      </c>
      <c r="B9" s="130">
        <v>0</v>
      </c>
      <c r="C9" s="130">
        <v>0</v>
      </c>
      <c r="D9" s="130">
        <v>0</v>
      </c>
      <c r="E9" s="130">
        <v>0</v>
      </c>
      <c r="F9" s="131">
        <v>0</v>
      </c>
    </row>
    <row r="10" spans="1:6" s="70" customFormat="1" ht="29.25">
      <c r="A10" s="25" t="s">
        <v>18</v>
      </c>
      <c r="B10" s="292">
        <v>2106058</v>
      </c>
      <c r="C10" s="132">
        <v>2114009</v>
      </c>
      <c r="D10" s="132">
        <v>2083422</v>
      </c>
      <c r="E10" s="132">
        <v>-30587</v>
      </c>
      <c r="F10" s="131">
        <v>-1.4468717966669016E-2</v>
      </c>
    </row>
    <row r="11" spans="1:6" s="70" customFormat="1" ht="29.25">
      <c r="A11" s="27" t="s">
        <v>19</v>
      </c>
      <c r="B11" s="133">
        <v>46501</v>
      </c>
      <c r="C11" s="133">
        <v>46501</v>
      </c>
      <c r="D11" s="133">
        <v>0</v>
      </c>
      <c r="E11" s="132">
        <v>-46501</v>
      </c>
      <c r="F11" s="131">
        <v>-1</v>
      </c>
    </row>
    <row r="12" spans="1:6" s="70" customFormat="1" ht="29.25">
      <c r="A12" s="29" t="s">
        <v>20</v>
      </c>
      <c r="B12" s="133">
        <v>2059557</v>
      </c>
      <c r="C12" s="133">
        <v>2067508</v>
      </c>
      <c r="D12" s="133">
        <v>2083422</v>
      </c>
      <c r="E12" s="132">
        <v>15914</v>
      </c>
      <c r="F12" s="131">
        <v>7.6971890798004164E-3</v>
      </c>
    </row>
    <row r="13" spans="1:6" s="70" customFormat="1" ht="29.25">
      <c r="A13" s="29" t="s">
        <v>21</v>
      </c>
      <c r="B13" s="133">
        <v>0</v>
      </c>
      <c r="C13" s="133">
        <v>0</v>
      </c>
      <c r="D13" s="133">
        <v>0</v>
      </c>
      <c r="E13" s="132">
        <v>0</v>
      </c>
      <c r="F13" s="131">
        <v>0</v>
      </c>
    </row>
    <row r="14" spans="1:6" s="70" customFormat="1" ht="29.25">
      <c r="A14" s="29" t="s">
        <v>22</v>
      </c>
      <c r="B14" s="133">
        <v>0</v>
      </c>
      <c r="C14" s="133">
        <v>0</v>
      </c>
      <c r="D14" s="133">
        <v>0</v>
      </c>
      <c r="E14" s="132">
        <v>0</v>
      </c>
      <c r="F14" s="131">
        <v>0</v>
      </c>
    </row>
    <row r="15" spans="1:6" s="70" customFormat="1" ht="29.25">
      <c r="A15" s="29" t="s">
        <v>23</v>
      </c>
      <c r="B15" s="133">
        <v>0</v>
      </c>
      <c r="C15" s="133">
        <v>0</v>
      </c>
      <c r="D15" s="133">
        <v>0</v>
      </c>
      <c r="E15" s="132">
        <v>0</v>
      </c>
      <c r="F15" s="131">
        <v>0</v>
      </c>
    </row>
    <row r="16" spans="1:6" s="70" customFormat="1" ht="29.25">
      <c r="A16" s="29" t="s">
        <v>24</v>
      </c>
      <c r="B16" s="133">
        <v>0</v>
      </c>
      <c r="C16" s="133">
        <v>0</v>
      </c>
      <c r="D16" s="133">
        <v>0</v>
      </c>
      <c r="E16" s="132">
        <v>0</v>
      </c>
      <c r="F16" s="131">
        <v>0</v>
      </c>
    </row>
    <row r="17" spans="1:6" s="70" customFormat="1" ht="29.25">
      <c r="A17" s="29" t="s">
        <v>25</v>
      </c>
      <c r="B17" s="133">
        <v>0</v>
      </c>
      <c r="C17" s="133">
        <v>0</v>
      </c>
      <c r="D17" s="133">
        <v>0</v>
      </c>
      <c r="E17" s="132">
        <v>0</v>
      </c>
      <c r="F17" s="131">
        <v>0</v>
      </c>
    </row>
    <row r="18" spans="1:6" s="70" customFormat="1" ht="29.25">
      <c r="A18" s="29" t="s">
        <v>26</v>
      </c>
      <c r="B18" s="133">
        <v>0</v>
      </c>
      <c r="C18" s="133">
        <v>0</v>
      </c>
      <c r="D18" s="133">
        <v>0</v>
      </c>
      <c r="E18" s="132">
        <v>0</v>
      </c>
      <c r="F18" s="131">
        <v>0</v>
      </c>
    </row>
    <row r="19" spans="1:6" s="70" customFormat="1" ht="29.25">
      <c r="A19" s="29" t="s">
        <v>27</v>
      </c>
      <c r="B19" s="133">
        <v>0</v>
      </c>
      <c r="C19" s="133">
        <v>0</v>
      </c>
      <c r="D19" s="133">
        <v>0</v>
      </c>
      <c r="E19" s="132">
        <v>0</v>
      </c>
      <c r="F19" s="131">
        <v>0</v>
      </c>
    </row>
    <row r="20" spans="1:6" s="70" customFormat="1" ht="29.25">
      <c r="A20" s="29" t="s">
        <v>28</v>
      </c>
      <c r="B20" s="133">
        <v>0</v>
      </c>
      <c r="C20" s="133">
        <v>0</v>
      </c>
      <c r="D20" s="133">
        <v>0</v>
      </c>
      <c r="E20" s="132">
        <v>0</v>
      </c>
      <c r="F20" s="131">
        <v>0</v>
      </c>
    </row>
    <row r="21" spans="1:6" s="70" customFormat="1" ht="29.25">
      <c r="A21" s="29" t="s">
        <v>29</v>
      </c>
      <c r="B21" s="133">
        <v>0</v>
      </c>
      <c r="C21" s="133">
        <v>0</v>
      </c>
      <c r="D21" s="133">
        <v>0</v>
      </c>
      <c r="E21" s="132">
        <v>0</v>
      </c>
      <c r="F21" s="131">
        <v>0</v>
      </c>
    </row>
    <row r="22" spans="1:6" s="70" customFormat="1" ht="29.25">
      <c r="A22" s="29" t="s">
        <v>30</v>
      </c>
      <c r="B22" s="133">
        <v>0</v>
      </c>
      <c r="C22" s="133">
        <v>0</v>
      </c>
      <c r="D22" s="133">
        <v>0</v>
      </c>
      <c r="E22" s="132">
        <v>0</v>
      </c>
      <c r="F22" s="131">
        <v>0</v>
      </c>
    </row>
    <row r="23" spans="1:6" s="70" customFormat="1" ht="29.25">
      <c r="A23" s="30" t="s">
        <v>31</v>
      </c>
      <c r="B23" s="133">
        <v>0</v>
      </c>
      <c r="C23" s="133">
        <v>0</v>
      </c>
      <c r="D23" s="133">
        <v>0</v>
      </c>
      <c r="E23" s="132">
        <v>0</v>
      </c>
      <c r="F23" s="131">
        <v>0</v>
      </c>
    </row>
    <row r="24" spans="1:6" s="70" customFormat="1" ht="29.25">
      <c r="A24" s="30" t="s">
        <v>32</v>
      </c>
      <c r="B24" s="133">
        <v>0</v>
      </c>
      <c r="C24" s="133">
        <v>0</v>
      </c>
      <c r="D24" s="133">
        <v>0</v>
      </c>
      <c r="E24" s="132">
        <v>0</v>
      </c>
      <c r="F24" s="131">
        <v>0</v>
      </c>
    </row>
    <row r="25" spans="1:6" s="70" customFormat="1" ht="29.25">
      <c r="A25" s="30" t="s">
        <v>33</v>
      </c>
      <c r="B25" s="133">
        <v>0</v>
      </c>
      <c r="C25" s="133">
        <v>0</v>
      </c>
      <c r="D25" s="133">
        <v>0</v>
      </c>
      <c r="E25" s="132">
        <v>0</v>
      </c>
      <c r="F25" s="131">
        <v>0</v>
      </c>
    </row>
    <row r="26" spans="1:6" s="70" customFormat="1" ht="29.25">
      <c r="A26" s="30" t="s">
        <v>34</v>
      </c>
      <c r="B26" s="133">
        <v>0</v>
      </c>
      <c r="C26" s="133">
        <v>0</v>
      </c>
      <c r="D26" s="133">
        <v>0</v>
      </c>
      <c r="E26" s="132">
        <v>0</v>
      </c>
      <c r="F26" s="131">
        <v>0</v>
      </c>
    </row>
    <row r="27" spans="1:6" s="70" customFormat="1" ht="29.25">
      <c r="A27" s="30" t="s">
        <v>35</v>
      </c>
      <c r="B27" s="133">
        <v>0</v>
      </c>
      <c r="C27" s="133">
        <v>0</v>
      </c>
      <c r="D27" s="133">
        <v>0</v>
      </c>
      <c r="E27" s="132">
        <v>0</v>
      </c>
      <c r="F27" s="131">
        <v>0</v>
      </c>
    </row>
    <row r="28" spans="1:6" s="70" customFormat="1" ht="29.25">
      <c r="A28" s="30" t="s">
        <v>36</v>
      </c>
      <c r="B28" s="133">
        <v>0</v>
      </c>
      <c r="C28" s="133">
        <v>0</v>
      </c>
      <c r="D28" s="133">
        <v>0</v>
      </c>
      <c r="E28" s="132">
        <v>0</v>
      </c>
      <c r="F28" s="131">
        <v>0</v>
      </c>
    </row>
    <row r="29" spans="1:6" s="70" customFormat="1" ht="29.25">
      <c r="A29" s="31" t="s">
        <v>37</v>
      </c>
      <c r="B29" s="133"/>
      <c r="C29" s="133"/>
      <c r="D29" s="133"/>
      <c r="E29" s="133"/>
      <c r="F29" s="134"/>
    </row>
    <row r="30" spans="1:6" s="70" customFormat="1" ht="29.25">
      <c r="A30" s="27" t="s">
        <v>38</v>
      </c>
      <c r="B30" s="130">
        <v>0</v>
      </c>
      <c r="C30" s="130">
        <v>0</v>
      </c>
      <c r="D30" s="130">
        <v>0</v>
      </c>
      <c r="E30" s="130">
        <v>0</v>
      </c>
      <c r="F30" s="131">
        <v>0</v>
      </c>
    </row>
    <row r="31" spans="1:6" s="70" customFormat="1" ht="29.25">
      <c r="A31" s="32" t="s">
        <v>39</v>
      </c>
      <c r="B31" s="133"/>
      <c r="C31" s="133"/>
      <c r="D31" s="133"/>
      <c r="E31" s="133"/>
      <c r="F31" s="134"/>
    </row>
    <row r="32" spans="1:6" s="70" customFormat="1" ht="29.25">
      <c r="A32" s="27" t="s">
        <v>38</v>
      </c>
      <c r="B32" s="135">
        <v>0</v>
      </c>
      <c r="C32" s="135">
        <v>0</v>
      </c>
      <c r="D32" s="135">
        <v>0</v>
      </c>
      <c r="E32" s="130">
        <v>0</v>
      </c>
      <c r="F32" s="131">
        <v>0</v>
      </c>
    </row>
    <row r="33" spans="1:10" s="70" customFormat="1" ht="29.25">
      <c r="A33" s="29" t="s">
        <v>40</v>
      </c>
      <c r="B33" s="133"/>
      <c r="C33" s="133"/>
      <c r="D33" s="133"/>
      <c r="E33" s="132"/>
      <c r="F33" s="131" t="s">
        <v>41</v>
      </c>
    </row>
    <row r="34" spans="1:10" s="72" customFormat="1" ht="29.25">
      <c r="A34" s="33" t="s">
        <v>42</v>
      </c>
      <c r="B34" s="136">
        <v>53136788</v>
      </c>
      <c r="C34" s="136">
        <v>53144739</v>
      </c>
      <c r="D34" s="136">
        <v>49950630</v>
      </c>
      <c r="E34" s="136">
        <v>-3194109</v>
      </c>
      <c r="F34" s="137">
        <v>-6.0102073320935867E-2</v>
      </c>
    </row>
    <row r="35" spans="1:10" s="70" customFormat="1" ht="29.25">
      <c r="A35" s="31" t="s">
        <v>43</v>
      </c>
      <c r="B35" s="133"/>
      <c r="C35" s="133"/>
      <c r="D35" s="133"/>
      <c r="E35" s="133"/>
      <c r="F35" s="134"/>
    </row>
    <row r="36" spans="1:10" s="70" customFormat="1" ht="29.25">
      <c r="A36" s="37" t="s">
        <v>44</v>
      </c>
      <c r="B36" s="130">
        <v>0</v>
      </c>
      <c r="C36" s="130">
        <v>0</v>
      </c>
      <c r="D36" s="130">
        <v>0</v>
      </c>
      <c r="E36" s="130">
        <v>0</v>
      </c>
      <c r="F36" s="131">
        <v>0</v>
      </c>
    </row>
    <row r="37" spans="1:10" s="70" customFormat="1" ht="29.25">
      <c r="A37" s="38" t="s">
        <v>45</v>
      </c>
      <c r="B37" s="130">
        <v>0</v>
      </c>
      <c r="C37" s="130">
        <v>0</v>
      </c>
      <c r="D37" s="130">
        <v>0</v>
      </c>
      <c r="E37" s="132">
        <v>0</v>
      </c>
      <c r="F37" s="131">
        <v>0</v>
      </c>
    </row>
    <row r="38" spans="1:10" s="70" customFormat="1" ht="29.25">
      <c r="A38" s="38" t="s">
        <v>46</v>
      </c>
      <c r="B38" s="130">
        <v>6405087</v>
      </c>
      <c r="C38" s="130">
        <v>0</v>
      </c>
      <c r="D38" s="130">
        <v>0</v>
      </c>
      <c r="E38" s="132">
        <v>0</v>
      </c>
      <c r="F38" s="131">
        <v>0</v>
      </c>
    </row>
    <row r="39" spans="1:10" s="70" customFormat="1" ht="29.25">
      <c r="A39" s="38" t="s">
        <v>47</v>
      </c>
      <c r="B39" s="130">
        <v>0</v>
      </c>
      <c r="C39" s="130">
        <v>0</v>
      </c>
      <c r="D39" s="130">
        <v>0</v>
      </c>
      <c r="E39" s="132">
        <v>0</v>
      </c>
      <c r="F39" s="131">
        <v>0</v>
      </c>
    </row>
    <row r="40" spans="1:10" s="70" customFormat="1" ht="29.25">
      <c r="A40" s="39" t="s">
        <v>48</v>
      </c>
      <c r="B40" s="130">
        <v>0</v>
      </c>
      <c r="C40" s="130">
        <v>0</v>
      </c>
      <c r="D40" s="130">
        <v>0</v>
      </c>
      <c r="E40" s="132">
        <v>0</v>
      </c>
      <c r="F40" s="131">
        <v>0</v>
      </c>
    </row>
    <row r="41" spans="1:10" s="72" customFormat="1" ht="29.25">
      <c r="A41" s="31" t="s">
        <v>49</v>
      </c>
      <c r="B41" s="138">
        <v>6405087</v>
      </c>
      <c r="C41" s="138">
        <v>0</v>
      </c>
      <c r="D41" s="138">
        <v>0</v>
      </c>
      <c r="E41" s="138">
        <v>0</v>
      </c>
      <c r="F41" s="137">
        <v>0</v>
      </c>
      <c r="J41" s="72" t="s">
        <v>50</v>
      </c>
    </row>
    <row r="42" spans="1:10" s="70" customFormat="1" ht="29.25">
      <c r="A42" s="29" t="s">
        <v>50</v>
      </c>
      <c r="B42" s="133"/>
      <c r="C42" s="133"/>
      <c r="D42" s="133"/>
      <c r="E42" s="133"/>
      <c r="F42" s="134"/>
    </row>
    <row r="43" spans="1:10" s="72" customFormat="1" ht="29.25">
      <c r="A43" s="41" t="s">
        <v>51</v>
      </c>
      <c r="B43" s="139">
        <v>0</v>
      </c>
      <c r="C43" s="139">
        <v>0</v>
      </c>
      <c r="D43" s="139">
        <v>0</v>
      </c>
      <c r="E43" s="139">
        <v>0</v>
      </c>
      <c r="F43" s="137">
        <v>0</v>
      </c>
    </row>
    <row r="44" spans="1:10" s="70" customFormat="1" ht="29.25">
      <c r="A44" s="29" t="s">
        <v>50</v>
      </c>
      <c r="B44" s="133"/>
      <c r="C44" s="133"/>
      <c r="D44" s="133"/>
      <c r="E44" s="133"/>
      <c r="F44" s="134"/>
    </row>
    <row r="45" spans="1:10" s="72" customFormat="1" ht="29.25">
      <c r="A45" s="41" t="s">
        <v>52</v>
      </c>
      <c r="B45" s="139">
        <v>16340635</v>
      </c>
      <c r="C45" s="139">
        <v>16340635</v>
      </c>
      <c r="D45" s="139">
        <v>0</v>
      </c>
      <c r="E45" s="139">
        <v>-16340635</v>
      </c>
      <c r="F45" s="137">
        <v>-1</v>
      </c>
    </row>
    <row r="46" spans="1:10" s="70" customFormat="1" ht="29.25">
      <c r="A46" s="29" t="s">
        <v>50</v>
      </c>
      <c r="B46" s="133"/>
      <c r="C46" s="133"/>
      <c r="D46" s="133"/>
      <c r="E46" s="133"/>
      <c r="F46" s="134"/>
    </row>
    <row r="47" spans="1:10" s="72" customFormat="1" ht="29.25">
      <c r="A47" s="31" t="s">
        <v>53</v>
      </c>
      <c r="B47" s="138">
        <v>57906225</v>
      </c>
      <c r="C47" s="138">
        <v>52033102</v>
      </c>
      <c r="D47" s="140">
        <v>69372760</v>
      </c>
      <c r="E47" s="138">
        <v>17339658</v>
      </c>
      <c r="F47" s="137">
        <v>0.33324282684511103</v>
      </c>
    </row>
    <row r="48" spans="1:10" s="70" customFormat="1" ht="29.25">
      <c r="A48" s="29" t="s">
        <v>50</v>
      </c>
      <c r="B48" s="133"/>
      <c r="C48" s="133"/>
      <c r="D48" s="133"/>
      <c r="E48" s="133"/>
      <c r="F48" s="134"/>
    </row>
    <row r="49" spans="1:6" s="72" customFormat="1" ht="29.25">
      <c r="A49" s="43" t="s">
        <v>54</v>
      </c>
      <c r="B49" s="141">
        <v>0</v>
      </c>
      <c r="C49" s="141">
        <v>0</v>
      </c>
      <c r="D49" s="141">
        <v>0</v>
      </c>
      <c r="E49" s="141">
        <v>0</v>
      </c>
      <c r="F49" s="137">
        <v>0</v>
      </c>
    </row>
    <row r="50" spans="1:6" s="70" customFormat="1" ht="29.25">
      <c r="A50" s="31"/>
      <c r="B50" s="135"/>
      <c r="C50" s="135"/>
      <c r="D50" s="135"/>
      <c r="E50" s="135"/>
      <c r="F50" s="142"/>
    </row>
    <row r="51" spans="1:6" s="72" customFormat="1" ht="29.25">
      <c r="A51" s="31" t="s">
        <v>55</v>
      </c>
      <c r="B51" s="138">
        <v>0</v>
      </c>
      <c r="C51" s="138">
        <v>0</v>
      </c>
      <c r="D51" s="138">
        <v>0</v>
      </c>
      <c r="E51" s="141">
        <v>0</v>
      </c>
      <c r="F51" s="137">
        <v>0</v>
      </c>
    </row>
    <row r="52" spans="1:6" s="70" customFormat="1" ht="29.25">
      <c r="A52" s="29"/>
      <c r="B52" s="133"/>
      <c r="C52" s="133"/>
      <c r="D52" s="133"/>
      <c r="E52" s="133"/>
      <c r="F52" s="134"/>
    </row>
    <row r="53" spans="1:6" s="72" customFormat="1" ht="29.25">
      <c r="A53" s="46" t="s">
        <v>56</v>
      </c>
      <c r="B53" s="138">
        <v>120978561</v>
      </c>
      <c r="C53" s="138">
        <v>121518476</v>
      </c>
      <c r="D53" s="138">
        <v>119323390</v>
      </c>
      <c r="E53" s="138">
        <v>-2195086</v>
      </c>
      <c r="F53" s="137">
        <v>-1.8063804552650907E-2</v>
      </c>
    </row>
    <row r="54" spans="1:6" s="70" customFormat="1" ht="29.25">
      <c r="A54" s="47"/>
      <c r="B54" s="133"/>
      <c r="C54" s="133"/>
      <c r="D54" s="133"/>
      <c r="E54" s="133"/>
      <c r="F54" s="134" t="s">
        <v>50</v>
      </c>
    </row>
    <row r="55" spans="1:6" s="70" customFormat="1" ht="29.25">
      <c r="A55" s="48"/>
      <c r="B55" s="135"/>
      <c r="C55" s="135"/>
      <c r="D55" s="135"/>
      <c r="E55" s="135"/>
      <c r="F55" s="143" t="s">
        <v>50</v>
      </c>
    </row>
    <row r="56" spans="1:6" s="70" customFormat="1" ht="29.25">
      <c r="A56" s="46" t="s">
        <v>57</v>
      </c>
      <c r="B56" s="135"/>
      <c r="C56" s="135"/>
      <c r="D56" s="135"/>
      <c r="E56" s="135"/>
      <c r="F56" s="143"/>
    </row>
    <row r="57" spans="1:6" s="70" customFormat="1" ht="29.25">
      <c r="A57" s="27" t="s">
        <v>58</v>
      </c>
      <c r="B57" s="135">
        <v>55732628</v>
      </c>
      <c r="C57" s="135">
        <v>55870777</v>
      </c>
      <c r="D57" s="135">
        <v>58728638</v>
      </c>
      <c r="E57" s="135">
        <v>2857861</v>
      </c>
      <c r="F57" s="131">
        <v>5.1151266430391688E-2</v>
      </c>
    </row>
    <row r="58" spans="1:6" s="70" customFormat="1" ht="29.25">
      <c r="A58" s="29" t="s">
        <v>59</v>
      </c>
      <c r="B58" s="133">
        <v>498280</v>
      </c>
      <c r="C58" s="133">
        <v>516822</v>
      </c>
      <c r="D58" s="133">
        <v>465931</v>
      </c>
      <c r="E58" s="133">
        <v>-50891</v>
      </c>
      <c r="F58" s="131">
        <v>-9.846910541733904E-2</v>
      </c>
    </row>
    <row r="59" spans="1:6" s="70" customFormat="1" ht="29.25">
      <c r="A59" s="29" t="s">
        <v>60</v>
      </c>
      <c r="B59" s="133">
        <v>1783891</v>
      </c>
      <c r="C59" s="133">
        <v>1799481</v>
      </c>
      <c r="D59" s="133">
        <v>1717253</v>
      </c>
      <c r="E59" s="133">
        <v>-82228</v>
      </c>
      <c r="F59" s="131">
        <v>-4.5695397728567295E-2</v>
      </c>
    </row>
    <row r="60" spans="1:6" s="70" customFormat="1" ht="29.25">
      <c r="A60" s="29" t="s">
        <v>61</v>
      </c>
      <c r="B60" s="133">
        <v>11186331</v>
      </c>
      <c r="C60" s="133">
        <v>11228496</v>
      </c>
      <c r="D60" s="133">
        <v>10077877</v>
      </c>
      <c r="E60" s="133">
        <v>-1150619</v>
      </c>
      <c r="F60" s="131">
        <v>-0.10247311839448489</v>
      </c>
    </row>
    <row r="61" spans="1:6" s="70" customFormat="1" ht="29.25">
      <c r="A61" s="29" t="s">
        <v>62</v>
      </c>
      <c r="B61" s="133">
        <v>6096227</v>
      </c>
      <c r="C61" s="133">
        <v>6112909</v>
      </c>
      <c r="D61" s="133">
        <v>6042754</v>
      </c>
      <c r="E61" s="133">
        <v>-70155</v>
      </c>
      <c r="F61" s="131">
        <v>-1.1476532694990224E-2</v>
      </c>
    </row>
    <row r="62" spans="1:6" s="70" customFormat="1" ht="29.25">
      <c r="A62" s="29" t="s">
        <v>63</v>
      </c>
      <c r="B62" s="133">
        <v>13510802</v>
      </c>
      <c r="C62" s="133">
        <v>13652014</v>
      </c>
      <c r="D62" s="133">
        <v>13040006</v>
      </c>
      <c r="E62" s="133">
        <v>-612008</v>
      </c>
      <c r="F62" s="131">
        <v>-4.4829136565491361E-2</v>
      </c>
    </row>
    <row r="63" spans="1:6" s="70" customFormat="1" ht="29.25">
      <c r="A63" s="29" t="s">
        <v>64</v>
      </c>
      <c r="B63" s="133">
        <v>11128867</v>
      </c>
      <c r="C63" s="133">
        <v>11128882</v>
      </c>
      <c r="D63" s="133">
        <v>11805474</v>
      </c>
      <c r="E63" s="133">
        <v>676592</v>
      </c>
      <c r="F63" s="131">
        <v>6.079604402311032E-2</v>
      </c>
    </row>
    <row r="64" spans="1:6" s="70" customFormat="1" ht="29.25">
      <c r="A64" s="29" t="s">
        <v>65</v>
      </c>
      <c r="B64" s="133">
        <v>15595554</v>
      </c>
      <c r="C64" s="133">
        <v>15763114</v>
      </c>
      <c r="D64" s="133">
        <v>14382957</v>
      </c>
      <c r="E64" s="133">
        <v>-1380157</v>
      </c>
      <c r="F64" s="131">
        <v>-8.7556113595321325E-2</v>
      </c>
    </row>
    <row r="65" spans="1:6" s="72" customFormat="1" ht="29.25">
      <c r="A65" s="49" t="s">
        <v>66</v>
      </c>
      <c r="B65" s="136">
        <v>115532580</v>
      </c>
      <c r="C65" s="136">
        <v>116072495</v>
      </c>
      <c r="D65" s="136">
        <v>116260890</v>
      </c>
      <c r="E65" s="136">
        <v>188395</v>
      </c>
      <c r="F65" s="137">
        <v>1.6230804722514149E-3</v>
      </c>
    </row>
    <row r="66" spans="1:6" s="70" customFormat="1" ht="29.25">
      <c r="A66" s="29" t="s">
        <v>67</v>
      </c>
      <c r="B66" s="133">
        <v>0</v>
      </c>
      <c r="C66" s="133">
        <v>0</v>
      </c>
      <c r="D66" s="133">
        <v>0</v>
      </c>
      <c r="E66" s="133">
        <v>0</v>
      </c>
      <c r="F66" s="131">
        <v>0</v>
      </c>
    </row>
    <row r="67" spans="1:6" s="70" customFormat="1" ht="29.25">
      <c r="A67" s="29" t="s">
        <v>68</v>
      </c>
      <c r="B67" s="133">
        <v>0</v>
      </c>
      <c r="C67" s="133">
        <v>0</v>
      </c>
      <c r="D67" s="133">
        <v>0</v>
      </c>
      <c r="E67" s="133">
        <v>0</v>
      </c>
      <c r="F67" s="131">
        <v>0</v>
      </c>
    </row>
    <row r="68" spans="1:6" s="70" customFormat="1" ht="29.25">
      <c r="A68" s="29" t="s">
        <v>69</v>
      </c>
      <c r="B68" s="144">
        <v>5445981</v>
      </c>
      <c r="C68" s="144">
        <v>5445981</v>
      </c>
      <c r="D68" s="144">
        <v>3062500</v>
      </c>
      <c r="E68" s="133">
        <v>-2383481</v>
      </c>
      <c r="F68" s="131">
        <v>-0.43765870648465355</v>
      </c>
    </row>
    <row r="69" spans="1:6" s="70" customFormat="1" ht="29.25">
      <c r="A69" s="29" t="s">
        <v>70</v>
      </c>
      <c r="B69" s="133">
        <v>0</v>
      </c>
      <c r="C69" s="133">
        <v>0</v>
      </c>
      <c r="D69" s="133">
        <v>0</v>
      </c>
      <c r="E69" s="133">
        <v>0</v>
      </c>
      <c r="F69" s="131">
        <v>0</v>
      </c>
    </row>
    <row r="70" spans="1:6" s="72" customFormat="1" ht="29.25">
      <c r="A70" s="50" t="s">
        <v>71</v>
      </c>
      <c r="B70" s="293">
        <v>120978561</v>
      </c>
      <c r="C70" s="145">
        <v>121518476</v>
      </c>
      <c r="D70" s="145">
        <v>119323390</v>
      </c>
      <c r="E70" s="145">
        <v>-2195086</v>
      </c>
      <c r="F70" s="137">
        <v>-1.8063804552650907E-2</v>
      </c>
    </row>
    <row r="71" spans="1:6" s="70" customFormat="1" ht="29.25">
      <c r="A71" s="48"/>
      <c r="B71" s="135"/>
      <c r="C71" s="135"/>
      <c r="D71" s="135"/>
      <c r="E71" s="135"/>
      <c r="F71" s="143"/>
    </row>
    <row r="72" spans="1:6" s="70" customFormat="1" ht="29.25">
      <c r="A72" s="46" t="s">
        <v>72</v>
      </c>
      <c r="B72" s="135"/>
      <c r="C72" s="135"/>
      <c r="D72" s="135"/>
      <c r="E72" s="135"/>
      <c r="F72" s="143"/>
    </row>
    <row r="73" spans="1:6" s="70" customFormat="1" ht="29.25">
      <c r="A73" s="27" t="s">
        <v>73</v>
      </c>
      <c r="B73" s="146">
        <v>62785471</v>
      </c>
      <c r="C73" s="146">
        <v>62829039</v>
      </c>
      <c r="D73" s="146">
        <v>63193959</v>
      </c>
      <c r="E73" s="135">
        <v>364920</v>
      </c>
      <c r="F73" s="131">
        <v>5.8081423145752717E-3</v>
      </c>
    </row>
    <row r="74" spans="1:6" s="70" customFormat="1" ht="29.25">
      <c r="A74" s="29" t="s">
        <v>74</v>
      </c>
      <c r="B74" s="294">
        <v>1536497</v>
      </c>
      <c r="C74" s="146">
        <v>1563998</v>
      </c>
      <c r="D74" s="146">
        <v>1537342</v>
      </c>
      <c r="E74" s="133">
        <v>-26656</v>
      </c>
      <c r="F74" s="131">
        <v>-1.704350005562667E-2</v>
      </c>
    </row>
    <row r="75" spans="1:6" s="70" customFormat="1" ht="29.25">
      <c r="A75" s="29" t="s">
        <v>75</v>
      </c>
      <c r="B75" s="148">
        <v>20988517</v>
      </c>
      <c r="C75" s="146">
        <v>21019806</v>
      </c>
      <c r="D75" s="146">
        <v>23898521</v>
      </c>
      <c r="E75" s="133">
        <v>2878715</v>
      </c>
      <c r="F75" s="131">
        <v>0.13695250089368094</v>
      </c>
    </row>
    <row r="76" spans="1:6" s="72" customFormat="1" ht="29.25">
      <c r="A76" s="49" t="s">
        <v>76</v>
      </c>
      <c r="B76" s="295">
        <v>85310485</v>
      </c>
      <c r="C76" s="149">
        <v>85412843</v>
      </c>
      <c r="D76" s="149">
        <v>88629822</v>
      </c>
      <c r="E76" s="136">
        <v>3216979</v>
      </c>
      <c r="F76" s="137">
        <v>3.7663879189690476E-2</v>
      </c>
    </row>
    <row r="77" spans="1:6" s="70" customFormat="1" ht="29.25">
      <c r="A77" s="29" t="s">
        <v>77</v>
      </c>
      <c r="B77" s="294">
        <v>663888</v>
      </c>
      <c r="C77" s="147">
        <v>713530</v>
      </c>
      <c r="D77" s="147">
        <v>695198</v>
      </c>
      <c r="E77" s="133">
        <v>-18332</v>
      </c>
      <c r="F77" s="131">
        <v>-2.5691982117079872E-2</v>
      </c>
    </row>
    <row r="78" spans="1:6" s="70" customFormat="1" ht="29.25">
      <c r="A78" s="29" t="s">
        <v>78</v>
      </c>
      <c r="B78" s="146">
        <v>10376089</v>
      </c>
      <c r="C78" s="146">
        <v>10656909</v>
      </c>
      <c r="D78" s="146">
        <v>10479301</v>
      </c>
      <c r="E78" s="133">
        <v>-177608</v>
      </c>
      <c r="F78" s="131">
        <v>-1.6665995740415912E-2</v>
      </c>
    </row>
    <row r="79" spans="1:6" s="70" customFormat="1" ht="29.25">
      <c r="A79" s="29" t="s">
        <v>79</v>
      </c>
      <c r="B79" s="148">
        <v>2256361</v>
      </c>
      <c r="C79" s="148">
        <v>2322567</v>
      </c>
      <c r="D79" s="148">
        <v>1835586</v>
      </c>
      <c r="E79" s="133">
        <v>-486981</v>
      </c>
      <c r="F79" s="131">
        <v>-0.20967360683244013</v>
      </c>
    </row>
    <row r="80" spans="1:6" s="72" customFormat="1" ht="29.25">
      <c r="A80" s="32" t="s">
        <v>80</v>
      </c>
      <c r="B80" s="295">
        <v>13296338</v>
      </c>
      <c r="C80" s="149">
        <v>13693006</v>
      </c>
      <c r="D80" s="149">
        <v>13010085</v>
      </c>
      <c r="E80" s="136">
        <v>-682921</v>
      </c>
      <c r="F80" s="137">
        <v>-4.9873709249817023E-2</v>
      </c>
    </row>
    <row r="81" spans="1:6" s="70" customFormat="1" ht="29.25">
      <c r="A81" s="29" t="s">
        <v>81</v>
      </c>
      <c r="B81" s="148">
        <v>539330</v>
      </c>
      <c r="C81" s="148">
        <v>540462</v>
      </c>
      <c r="D81" s="148">
        <v>614860</v>
      </c>
      <c r="E81" s="133">
        <v>74398</v>
      </c>
      <c r="F81" s="131">
        <v>0.13765630146060223</v>
      </c>
    </row>
    <row r="82" spans="1:6" s="70" customFormat="1" ht="29.25">
      <c r="A82" s="29" t="s">
        <v>82</v>
      </c>
      <c r="B82" s="150">
        <v>17185099</v>
      </c>
      <c r="C82" s="150">
        <v>17194274</v>
      </c>
      <c r="D82" s="150">
        <v>15670494</v>
      </c>
      <c r="E82" s="133">
        <v>-1523780</v>
      </c>
      <c r="F82" s="131">
        <v>-8.862136313519256E-2</v>
      </c>
    </row>
    <row r="83" spans="1:6" s="70" customFormat="1" ht="29.25">
      <c r="A83" s="29" t="s">
        <v>83</v>
      </c>
      <c r="B83" s="144">
        <v>0</v>
      </c>
      <c r="C83" s="144">
        <v>0</v>
      </c>
      <c r="D83" s="144">
        <v>0</v>
      </c>
      <c r="E83" s="133">
        <v>0</v>
      </c>
      <c r="F83" s="131">
        <v>0</v>
      </c>
    </row>
    <row r="84" spans="1:6" s="70" customFormat="1" ht="29.25">
      <c r="A84" s="29" t="s">
        <v>84</v>
      </c>
      <c r="B84" s="144">
        <v>1008077</v>
      </c>
      <c r="C84" s="144">
        <v>1008078</v>
      </c>
      <c r="D84" s="144">
        <v>1012019</v>
      </c>
      <c r="E84" s="133">
        <v>3941</v>
      </c>
      <c r="F84" s="131">
        <v>3.9094197076019908E-3</v>
      </c>
    </row>
    <row r="85" spans="1:6" s="72" customFormat="1" ht="29.25">
      <c r="A85" s="32" t="s">
        <v>85</v>
      </c>
      <c r="B85" s="151">
        <v>18732506</v>
      </c>
      <c r="C85" s="151">
        <v>18742814</v>
      </c>
      <c r="D85" s="151">
        <v>17297373</v>
      </c>
      <c r="E85" s="136">
        <v>-1445441</v>
      </c>
      <c r="F85" s="137">
        <v>-7.7119743065262245E-2</v>
      </c>
    </row>
    <row r="86" spans="1:6" s="70" customFormat="1" ht="29.25">
      <c r="A86" s="29" t="s">
        <v>86</v>
      </c>
      <c r="B86" s="133">
        <v>1095802</v>
      </c>
      <c r="C86" s="133">
        <v>1101362</v>
      </c>
      <c r="D86" s="133">
        <v>186725</v>
      </c>
      <c r="E86" s="133">
        <v>-914637</v>
      </c>
      <c r="F86" s="131">
        <v>-0.83045992144272274</v>
      </c>
    </row>
    <row r="87" spans="1:6" s="70" customFormat="1" ht="29.25">
      <c r="A87" s="29" t="s">
        <v>87</v>
      </c>
      <c r="B87" s="133">
        <v>1178389</v>
      </c>
      <c r="C87" s="133">
        <v>1199389</v>
      </c>
      <c r="D87" s="133">
        <v>57355</v>
      </c>
      <c r="E87" s="133">
        <v>-1142034</v>
      </c>
      <c r="F87" s="131">
        <v>-0.95217981822411246</v>
      </c>
    </row>
    <row r="88" spans="1:6" s="70" customFormat="1" ht="29.25">
      <c r="A88" s="38" t="s">
        <v>88</v>
      </c>
      <c r="B88" s="133">
        <v>1365041</v>
      </c>
      <c r="C88" s="133">
        <v>1369062</v>
      </c>
      <c r="D88" s="133">
        <v>142030</v>
      </c>
      <c r="E88" s="133">
        <v>-1227032</v>
      </c>
      <c r="F88" s="131">
        <v>-0.89625743757404708</v>
      </c>
    </row>
    <row r="89" spans="1:6" s="72" customFormat="1" ht="29.25">
      <c r="A89" s="52" t="s">
        <v>89</v>
      </c>
      <c r="B89" s="293">
        <v>3639232</v>
      </c>
      <c r="C89" s="145">
        <v>3669813</v>
      </c>
      <c r="D89" s="145">
        <v>386110</v>
      </c>
      <c r="E89" s="145">
        <v>-3283703</v>
      </c>
      <c r="F89" s="137">
        <v>-0.89478755457021919</v>
      </c>
    </row>
    <row r="90" spans="1:6" s="70" customFormat="1" ht="29.25">
      <c r="A90" s="38" t="s">
        <v>90</v>
      </c>
      <c r="B90" s="133">
        <v>0</v>
      </c>
      <c r="C90" s="133">
        <v>0</v>
      </c>
      <c r="D90" s="132">
        <v>0</v>
      </c>
      <c r="E90" s="133">
        <v>0</v>
      </c>
      <c r="F90" s="131">
        <v>0</v>
      </c>
    </row>
    <row r="91" spans="1:6" s="72" customFormat="1" ht="30" thickBot="1">
      <c r="A91" s="53" t="s">
        <v>71</v>
      </c>
      <c r="B91" s="296">
        <v>120978561</v>
      </c>
      <c r="C91" s="152">
        <v>121518476</v>
      </c>
      <c r="D91" s="153">
        <v>119323390</v>
      </c>
      <c r="E91" s="152">
        <v>-2195086</v>
      </c>
      <c r="F91" s="154">
        <v>-1.8063804552650907E-2</v>
      </c>
    </row>
    <row r="92" spans="1:6" s="74" customFormat="1" ht="31.5">
      <c r="A92" s="57"/>
      <c r="B92" s="58"/>
      <c r="C92" s="58"/>
      <c r="D92" s="58"/>
      <c r="E92" s="73"/>
      <c r="F92" s="73"/>
    </row>
    <row r="93" spans="1:6" s="74" customFormat="1" ht="31.5">
      <c r="A93" s="61" t="s">
        <v>91</v>
      </c>
      <c r="B93" s="62"/>
      <c r="C93" s="62"/>
      <c r="D93" s="62"/>
      <c r="E93" s="73"/>
      <c r="F93" s="73"/>
    </row>
    <row r="94" spans="1:6" s="74" customFormat="1" ht="31.5">
      <c r="A94" s="61" t="s">
        <v>92</v>
      </c>
      <c r="B94" s="62"/>
      <c r="C94" s="62"/>
      <c r="D94" s="62"/>
      <c r="E94" s="73"/>
      <c r="F94" s="73"/>
    </row>
    <row r="95" spans="1:6">
      <c r="A95" s="63" t="s">
        <v>50</v>
      </c>
      <c r="B95" s="64"/>
      <c r="C95" s="64"/>
      <c r="D95" s="64"/>
    </row>
  </sheetData>
  <pageMargins left="0.7" right="0.7" top="0.28999999999999998" bottom="0.28999999999999998" header="0.3" footer="0.3"/>
  <pageSetup scale="2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zoomScale="60" zoomScaleNormal="60" workbookViewId="0">
      <selection activeCell="B8" sqref="B8:B91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0.285156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4" t="s">
        <v>108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32038603</v>
      </c>
      <c r="C8" s="23">
        <v>32038603</v>
      </c>
      <c r="D8" s="23">
        <v>30849417</v>
      </c>
      <c r="E8" s="23">
        <v>-1189186</v>
      </c>
      <c r="F8" s="24">
        <v>-3.7117286293662677E-2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55">
        <v>1332143</v>
      </c>
      <c r="C10" s="26">
        <v>1332143</v>
      </c>
      <c r="D10" s="26">
        <v>1314771</v>
      </c>
      <c r="E10" s="26">
        <v>-17372</v>
      </c>
      <c r="F10" s="24">
        <v>-1.3040642033175117E-2</v>
      </c>
    </row>
    <row r="11" spans="1:6" s="13" customFormat="1" ht="26.25">
      <c r="A11" s="27" t="s">
        <v>19</v>
      </c>
      <c r="B11" s="28">
        <v>27415</v>
      </c>
      <c r="C11" s="28">
        <v>27415</v>
      </c>
      <c r="D11" s="28">
        <v>0</v>
      </c>
      <c r="E11" s="26">
        <v>-27415</v>
      </c>
      <c r="F11" s="24">
        <v>-1</v>
      </c>
    </row>
    <row r="12" spans="1:6" s="13" customFormat="1" ht="26.25">
      <c r="A12" s="29" t="s">
        <v>20</v>
      </c>
      <c r="B12" s="28">
        <v>1304728</v>
      </c>
      <c r="C12" s="28">
        <v>1304728</v>
      </c>
      <c r="D12" s="28">
        <v>1314771</v>
      </c>
      <c r="E12" s="26">
        <v>10043</v>
      </c>
      <c r="F12" s="24">
        <v>7.697389800786064E-3</v>
      </c>
    </row>
    <row r="13" spans="1:6" s="13" customFormat="1" ht="26.25">
      <c r="A13" s="29" t="s">
        <v>21</v>
      </c>
      <c r="B13" s="28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8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13" customFormat="1" ht="26.25">
      <c r="A15" s="29" t="s">
        <v>23</v>
      </c>
      <c r="B15" s="28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8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8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8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4">
        <v>33370746</v>
      </c>
      <c r="C34" s="34">
        <v>33370746</v>
      </c>
      <c r="D34" s="34">
        <v>32164188</v>
      </c>
      <c r="E34" s="34">
        <v>-1206558</v>
      </c>
      <c r="F34" s="35">
        <v>-3.6156159050205229E-2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13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13" customFormat="1" ht="26.25">
      <c r="A38" s="38" t="s">
        <v>46</v>
      </c>
      <c r="B38" s="23">
        <v>3962000</v>
      </c>
      <c r="C38" s="23">
        <v>0</v>
      </c>
      <c r="D38" s="23">
        <v>0</v>
      </c>
      <c r="E38" s="26">
        <v>0</v>
      </c>
      <c r="F38" s="24">
        <v>0</v>
      </c>
    </row>
    <row r="39" spans="1:10" s="13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13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3962000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76078</v>
      </c>
      <c r="C43" s="42">
        <v>74923</v>
      </c>
      <c r="D43" s="42">
        <v>74923</v>
      </c>
      <c r="E43" s="42">
        <v>0</v>
      </c>
      <c r="F43" s="35">
        <v>0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10247839</v>
      </c>
      <c r="C45" s="42">
        <v>10247839</v>
      </c>
      <c r="D45" s="42">
        <v>0</v>
      </c>
      <c r="E45" s="42">
        <v>-10247839</v>
      </c>
      <c r="F45" s="35">
        <v>-1</v>
      </c>
    </row>
    <row r="46" spans="1:10" s="13" customFormat="1" ht="26.25">
      <c r="A46" s="29" t="s">
        <v>50</v>
      </c>
      <c r="B46" s="28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34248650</v>
      </c>
      <c r="C47" s="40">
        <v>31210393</v>
      </c>
      <c r="D47" s="40">
        <v>42991809</v>
      </c>
      <c r="E47" s="40">
        <v>11781416</v>
      </c>
      <c r="F47" s="35">
        <v>0.37748374395670059</v>
      </c>
    </row>
    <row r="48" spans="1:10" s="13" customFormat="1" ht="26.25">
      <c r="A48" s="29" t="s">
        <v>50</v>
      </c>
      <c r="B48" s="28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8"/>
      <c r="C52" s="28"/>
      <c r="D52" s="28"/>
      <c r="E52" s="28"/>
      <c r="F52" s="20"/>
    </row>
    <row r="53" spans="1:6" s="36" customFormat="1" ht="26.25">
      <c r="A53" s="46" t="s">
        <v>56</v>
      </c>
      <c r="B53" s="40">
        <v>73981313</v>
      </c>
      <c r="C53" s="40">
        <v>74903901</v>
      </c>
      <c r="D53" s="40">
        <v>75230920</v>
      </c>
      <c r="E53" s="40">
        <v>327019</v>
      </c>
      <c r="F53" s="35">
        <v>4.3658473808994274E-3</v>
      </c>
    </row>
    <row r="54" spans="1:6" s="13" customFormat="1" ht="26.25">
      <c r="A54" s="47"/>
      <c r="B54" s="28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30782237</v>
      </c>
      <c r="C57" s="19">
        <v>31104825</v>
      </c>
      <c r="D57" s="19">
        <v>31104916</v>
      </c>
      <c r="E57" s="19">
        <v>91</v>
      </c>
      <c r="F57" s="24">
        <v>2.9255911261355754E-6</v>
      </c>
    </row>
    <row r="58" spans="1:6" s="13" customFormat="1" ht="26.25">
      <c r="A58" s="29" t="s">
        <v>59</v>
      </c>
      <c r="B58" s="28">
        <v>1433110</v>
      </c>
      <c r="C58" s="28">
        <v>1433110</v>
      </c>
      <c r="D58" s="28">
        <v>1431051</v>
      </c>
      <c r="E58" s="28">
        <v>-2059</v>
      </c>
      <c r="F58" s="24">
        <v>-1.4367354913440002E-3</v>
      </c>
    </row>
    <row r="59" spans="1:6" s="13" customFormat="1" ht="26.25">
      <c r="A59" s="29" t="s">
        <v>60</v>
      </c>
      <c r="B59" s="28">
        <v>171055</v>
      </c>
      <c r="C59" s="28">
        <v>171055</v>
      </c>
      <c r="D59" s="28">
        <v>179693</v>
      </c>
      <c r="E59" s="28">
        <v>8638</v>
      </c>
      <c r="F59" s="24">
        <v>5.0498377714770101E-2</v>
      </c>
    </row>
    <row r="60" spans="1:6" s="13" customFormat="1" ht="26.25">
      <c r="A60" s="29" t="s">
        <v>61</v>
      </c>
      <c r="B60" s="28">
        <v>5176557</v>
      </c>
      <c r="C60" s="28">
        <v>5426557</v>
      </c>
      <c r="D60" s="28">
        <v>5442404</v>
      </c>
      <c r="E60" s="28">
        <v>15847</v>
      </c>
      <c r="F60" s="24">
        <v>2.9202678604500053E-3</v>
      </c>
    </row>
    <row r="61" spans="1:6" s="13" customFormat="1" ht="26.25">
      <c r="A61" s="29" t="s">
        <v>62</v>
      </c>
      <c r="B61" s="28">
        <v>4434395</v>
      </c>
      <c r="C61" s="28">
        <v>4434395</v>
      </c>
      <c r="D61" s="28">
        <v>4624432</v>
      </c>
      <c r="E61" s="28">
        <v>190037</v>
      </c>
      <c r="F61" s="24">
        <v>4.2855226022941124E-2</v>
      </c>
    </row>
    <row r="62" spans="1:6" s="13" customFormat="1" ht="26.25">
      <c r="A62" s="29" t="s">
        <v>63</v>
      </c>
      <c r="B62" s="28">
        <v>10502919</v>
      </c>
      <c r="C62" s="28">
        <v>10602919</v>
      </c>
      <c r="D62" s="28">
        <v>10602084</v>
      </c>
      <c r="E62" s="28">
        <v>-835</v>
      </c>
      <c r="F62" s="24">
        <v>-7.8751898415898485E-5</v>
      </c>
    </row>
    <row r="63" spans="1:6" s="13" customFormat="1" ht="26.25">
      <c r="A63" s="29" t="s">
        <v>64</v>
      </c>
      <c r="B63" s="28">
        <v>7430372</v>
      </c>
      <c r="C63" s="28">
        <v>7430372</v>
      </c>
      <c r="D63" s="28">
        <v>8531520</v>
      </c>
      <c r="E63" s="28">
        <v>1101148</v>
      </c>
      <c r="F63" s="24">
        <v>0.14819554121920142</v>
      </c>
    </row>
    <row r="64" spans="1:6" s="13" customFormat="1" ht="26.25">
      <c r="A64" s="29" t="s">
        <v>65</v>
      </c>
      <c r="B64" s="28">
        <v>10000976</v>
      </c>
      <c r="C64" s="28">
        <v>10250976</v>
      </c>
      <c r="D64" s="28">
        <v>9576578</v>
      </c>
      <c r="E64" s="28">
        <v>-674398</v>
      </c>
      <c r="F64" s="24">
        <v>-6.5788662464920419E-2</v>
      </c>
    </row>
    <row r="65" spans="1:6" s="36" customFormat="1" ht="26.25">
      <c r="A65" s="49" t="s">
        <v>66</v>
      </c>
      <c r="B65" s="34">
        <v>69931621</v>
      </c>
      <c r="C65" s="34">
        <v>70854209</v>
      </c>
      <c r="D65" s="34">
        <v>71492678</v>
      </c>
      <c r="E65" s="34">
        <v>638469</v>
      </c>
      <c r="F65" s="35">
        <v>9.0110243133191981E-3</v>
      </c>
    </row>
    <row r="66" spans="1:6" s="13" customFormat="1" ht="26.25">
      <c r="A66" s="29" t="s">
        <v>67</v>
      </c>
      <c r="B66" s="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8">
        <v>144860</v>
      </c>
      <c r="C67" s="28">
        <v>144860</v>
      </c>
      <c r="D67" s="28">
        <v>141997</v>
      </c>
      <c r="E67" s="28">
        <v>-2863</v>
      </c>
      <c r="F67" s="24">
        <v>-1.9763909982051638E-2</v>
      </c>
    </row>
    <row r="68" spans="1:6" s="13" customFormat="1" ht="26.25">
      <c r="A68" s="29" t="s">
        <v>69</v>
      </c>
      <c r="B68" s="28">
        <v>3904832</v>
      </c>
      <c r="C68" s="28">
        <v>3904832</v>
      </c>
      <c r="D68" s="28">
        <v>3596245</v>
      </c>
      <c r="E68" s="28">
        <v>-308587</v>
      </c>
      <c r="F68" s="24">
        <v>-7.9026959418484588E-2</v>
      </c>
    </row>
    <row r="69" spans="1:6" s="13" customFormat="1" ht="26.25">
      <c r="A69" s="29" t="s">
        <v>70</v>
      </c>
      <c r="B69" s="28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50" t="s">
        <v>71</v>
      </c>
      <c r="B70" s="260">
        <v>73981313</v>
      </c>
      <c r="C70" s="51">
        <v>74903901</v>
      </c>
      <c r="D70" s="51">
        <v>75230920</v>
      </c>
      <c r="E70" s="51">
        <v>327019</v>
      </c>
      <c r="F70" s="35">
        <v>4.3658473808994274E-3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35461505</v>
      </c>
      <c r="C73" s="23">
        <v>35461505</v>
      </c>
      <c r="D73" s="23">
        <v>34180790</v>
      </c>
      <c r="E73" s="19">
        <v>-1280715</v>
      </c>
      <c r="F73" s="24">
        <v>-3.6115641454021762E-2</v>
      </c>
    </row>
    <row r="74" spans="1:6" s="13" customFormat="1" ht="26.25">
      <c r="A74" s="29" t="s">
        <v>74</v>
      </c>
      <c r="B74" s="255">
        <v>465244</v>
      </c>
      <c r="C74" s="23">
        <v>465244</v>
      </c>
      <c r="D74" s="23">
        <v>514425</v>
      </c>
      <c r="E74" s="28">
        <v>49181</v>
      </c>
      <c r="F74" s="24">
        <v>0.10571012200049866</v>
      </c>
    </row>
    <row r="75" spans="1:6" s="13" customFormat="1" ht="26.25">
      <c r="A75" s="29" t="s">
        <v>75</v>
      </c>
      <c r="B75" s="19">
        <v>12253283</v>
      </c>
      <c r="C75" s="23">
        <v>12253283</v>
      </c>
      <c r="D75" s="23">
        <v>14006705</v>
      </c>
      <c r="E75" s="28">
        <v>1753422</v>
      </c>
      <c r="F75" s="24">
        <v>0.14309813949453384</v>
      </c>
    </row>
    <row r="76" spans="1:6" s="36" customFormat="1" ht="26.25">
      <c r="A76" s="49" t="s">
        <v>76</v>
      </c>
      <c r="B76" s="260">
        <v>48180032</v>
      </c>
      <c r="C76" s="51">
        <v>48180032</v>
      </c>
      <c r="D76" s="51">
        <v>48701920</v>
      </c>
      <c r="E76" s="34">
        <v>521888</v>
      </c>
      <c r="F76" s="35">
        <v>1.083203929793986E-2</v>
      </c>
    </row>
    <row r="77" spans="1:6" s="13" customFormat="1" ht="26.25">
      <c r="A77" s="29" t="s">
        <v>77</v>
      </c>
      <c r="B77" s="255">
        <v>343857</v>
      </c>
      <c r="C77" s="26">
        <v>343857</v>
      </c>
      <c r="D77" s="26">
        <v>343846</v>
      </c>
      <c r="E77" s="28">
        <v>-11</v>
      </c>
      <c r="F77" s="24">
        <v>-3.1990042372265212E-5</v>
      </c>
    </row>
    <row r="78" spans="1:6" s="13" customFormat="1" ht="26.25">
      <c r="A78" s="29" t="s">
        <v>78</v>
      </c>
      <c r="B78" s="23">
        <v>6521095</v>
      </c>
      <c r="C78" s="23">
        <v>6720291</v>
      </c>
      <c r="D78" s="23">
        <v>6706500</v>
      </c>
      <c r="E78" s="28">
        <v>-13791</v>
      </c>
      <c r="F78" s="24">
        <v>-2.0521432777241343E-3</v>
      </c>
    </row>
    <row r="79" spans="1:6" s="13" customFormat="1" ht="26.25">
      <c r="A79" s="29" t="s">
        <v>79</v>
      </c>
      <c r="B79" s="19">
        <v>818007</v>
      </c>
      <c r="C79" s="19">
        <v>1118007</v>
      </c>
      <c r="D79" s="19">
        <v>1121989</v>
      </c>
      <c r="E79" s="28">
        <v>3982</v>
      </c>
      <c r="F79" s="24">
        <v>3.56169505199878E-3</v>
      </c>
    </row>
    <row r="80" spans="1:6" s="36" customFormat="1" ht="26.25">
      <c r="A80" s="32" t="s">
        <v>80</v>
      </c>
      <c r="B80" s="260">
        <v>7682959</v>
      </c>
      <c r="C80" s="51">
        <v>8182155</v>
      </c>
      <c r="D80" s="51">
        <v>8172335</v>
      </c>
      <c r="E80" s="34">
        <v>-9820</v>
      </c>
      <c r="F80" s="35">
        <v>-1.2001728151080002E-3</v>
      </c>
    </row>
    <row r="81" spans="1:6" s="13" customFormat="1" ht="26.25">
      <c r="A81" s="29" t="s">
        <v>81</v>
      </c>
      <c r="B81" s="19">
        <v>465226</v>
      </c>
      <c r="C81" s="19">
        <v>465226</v>
      </c>
      <c r="D81" s="19">
        <v>462530</v>
      </c>
      <c r="E81" s="28">
        <v>-2696</v>
      </c>
      <c r="F81" s="24">
        <v>-5.7950329517266874E-3</v>
      </c>
    </row>
    <row r="82" spans="1:6" s="13" customFormat="1" ht="26.25">
      <c r="A82" s="29" t="s">
        <v>82</v>
      </c>
      <c r="B82" s="28">
        <v>12904771</v>
      </c>
      <c r="C82" s="28">
        <v>12904771</v>
      </c>
      <c r="D82" s="28">
        <v>12722209</v>
      </c>
      <c r="E82" s="28">
        <v>-182562</v>
      </c>
      <c r="F82" s="24">
        <v>-1.4146860878042702E-2</v>
      </c>
    </row>
    <row r="83" spans="1:6" s="13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28">
        <v>0</v>
      </c>
      <c r="C84" s="28">
        <v>0</v>
      </c>
      <c r="D84" s="28">
        <v>0</v>
      </c>
      <c r="E84" s="28">
        <v>0</v>
      </c>
      <c r="F84" s="24">
        <v>0</v>
      </c>
    </row>
    <row r="85" spans="1:6" s="36" customFormat="1" ht="26.25">
      <c r="A85" s="32" t="s">
        <v>85</v>
      </c>
      <c r="B85" s="34">
        <v>13369997</v>
      </c>
      <c r="C85" s="34">
        <v>13369997</v>
      </c>
      <c r="D85" s="34">
        <v>13184739</v>
      </c>
      <c r="E85" s="34">
        <v>-185258</v>
      </c>
      <c r="F85" s="35">
        <v>-1.385624843446113E-2</v>
      </c>
    </row>
    <row r="86" spans="1:6" s="13" customFormat="1" ht="26.25">
      <c r="A86" s="29" t="s">
        <v>86</v>
      </c>
      <c r="B86" s="28">
        <v>2999612</v>
      </c>
      <c r="C86" s="28">
        <v>2999612</v>
      </c>
      <c r="D86" s="28">
        <v>2999388</v>
      </c>
      <c r="E86" s="28">
        <v>-224</v>
      </c>
      <c r="F86" s="24">
        <v>-7.4676324804674735E-5</v>
      </c>
    </row>
    <row r="87" spans="1:6" s="13" customFormat="1" ht="26.25">
      <c r="A87" s="29" t="s">
        <v>87</v>
      </c>
      <c r="B87" s="28">
        <v>325698</v>
      </c>
      <c r="C87" s="28">
        <v>525698</v>
      </c>
      <c r="D87" s="28">
        <v>525698</v>
      </c>
      <c r="E87" s="28">
        <v>0</v>
      </c>
      <c r="F87" s="24">
        <v>0</v>
      </c>
    </row>
    <row r="88" spans="1:6" s="13" customFormat="1" ht="26.25">
      <c r="A88" s="38" t="s">
        <v>88</v>
      </c>
      <c r="B88" s="28">
        <v>1423015</v>
      </c>
      <c r="C88" s="28">
        <v>1646407</v>
      </c>
      <c r="D88" s="28">
        <v>1646840</v>
      </c>
      <c r="E88" s="28">
        <v>433</v>
      </c>
      <c r="F88" s="24">
        <v>2.6299693818114235E-4</v>
      </c>
    </row>
    <row r="89" spans="1:6" s="36" customFormat="1" ht="26.25">
      <c r="A89" s="52" t="s">
        <v>89</v>
      </c>
      <c r="B89" s="260">
        <v>4748325</v>
      </c>
      <c r="C89" s="51">
        <v>5171717</v>
      </c>
      <c r="D89" s="51">
        <v>5171926</v>
      </c>
      <c r="E89" s="51">
        <v>209</v>
      </c>
      <c r="F89" s="35">
        <v>4.0412110716808367E-5</v>
      </c>
    </row>
    <row r="90" spans="1:6" s="13" customFormat="1" ht="26.25">
      <c r="A90" s="38" t="s">
        <v>90</v>
      </c>
      <c r="B90" s="28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36" customFormat="1" ht="27" thickBot="1">
      <c r="A91" s="53" t="s">
        <v>71</v>
      </c>
      <c r="B91" s="263">
        <v>73981313</v>
      </c>
      <c r="C91" s="54">
        <v>74903901</v>
      </c>
      <c r="D91" s="55">
        <v>75230920</v>
      </c>
      <c r="E91" s="54">
        <v>327019</v>
      </c>
      <c r="F91" s="56">
        <v>4.3658473808994274E-3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2" bottom="0.32" header="0.3" footer="0.3"/>
  <pageSetup scale="3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zoomScale="60" zoomScaleNormal="60" workbookViewId="0">
      <selection activeCell="B8" sqref="B8:B91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0.28515625" style="65" customWidth="1"/>
    <col min="6" max="6" width="25.140625" style="65" customWidth="1"/>
    <col min="7" max="24" width="9.140625" style="65"/>
    <col min="25" max="25" width="9.7109375" style="65" customWidth="1"/>
    <col min="26" max="16384" width="9.140625" style="65"/>
  </cols>
  <sheetData>
    <row r="1" spans="1:6" s="6" customFormat="1" ht="46.5">
      <c r="A1" s="1" t="s">
        <v>0</v>
      </c>
      <c r="D1" s="277" t="s">
        <v>1</v>
      </c>
      <c r="E1" s="4" t="s">
        <v>106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23581017</v>
      </c>
      <c r="C8" s="23">
        <v>23581017</v>
      </c>
      <c r="D8" s="23">
        <v>22290653</v>
      </c>
      <c r="E8" s="23">
        <v>-1290364</v>
      </c>
      <c r="F8" s="24">
        <v>-5.4720455864986653E-2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55">
        <v>1633757</v>
      </c>
      <c r="C10" s="26">
        <v>1638058</v>
      </c>
      <c r="D10" s="26">
        <v>1127010</v>
      </c>
      <c r="E10" s="26">
        <v>-511048</v>
      </c>
      <c r="F10" s="24">
        <v>-0.31198406894017183</v>
      </c>
    </row>
    <row r="11" spans="1:6" s="13" customFormat="1" ht="26.25">
      <c r="A11" s="27" t="s">
        <v>19</v>
      </c>
      <c r="B11" s="28">
        <v>19657</v>
      </c>
      <c r="C11" s="28">
        <v>19657</v>
      </c>
      <c r="D11" s="28">
        <v>0</v>
      </c>
      <c r="E11" s="26">
        <v>-19657</v>
      </c>
      <c r="F11" s="24">
        <v>-1</v>
      </c>
    </row>
    <row r="12" spans="1:6" s="13" customFormat="1" ht="26.25">
      <c r="A12" s="29" t="s">
        <v>20</v>
      </c>
      <c r="B12" s="28">
        <v>1114100</v>
      </c>
      <c r="C12" s="28">
        <v>1118401</v>
      </c>
      <c r="D12" s="28">
        <v>1127010</v>
      </c>
      <c r="E12" s="26">
        <v>8609</v>
      </c>
      <c r="F12" s="24">
        <v>7.6975968369126999E-3</v>
      </c>
    </row>
    <row r="13" spans="1:6" s="13" customFormat="1" ht="26.25">
      <c r="A13" s="29" t="s">
        <v>21</v>
      </c>
      <c r="B13" s="28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8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13" customFormat="1" ht="26.25">
      <c r="A15" s="29" t="s">
        <v>23</v>
      </c>
      <c r="B15" s="28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8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8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8">
        <v>500000</v>
      </c>
      <c r="C28" s="28">
        <v>500000</v>
      </c>
      <c r="D28" s="28">
        <v>0</v>
      </c>
      <c r="E28" s="26">
        <v>-500000</v>
      </c>
      <c r="F28" s="24">
        <v>-1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4">
        <v>25214774</v>
      </c>
      <c r="C34" s="34">
        <v>25219075</v>
      </c>
      <c r="D34" s="34">
        <v>23417663</v>
      </c>
      <c r="E34" s="34">
        <v>-1801412</v>
      </c>
      <c r="F34" s="35">
        <v>-7.1430534228555165E-2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13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13" customFormat="1" ht="26.25">
      <c r="A38" s="38" t="s">
        <v>46</v>
      </c>
      <c r="B38" s="23">
        <v>2864951</v>
      </c>
      <c r="C38" s="23">
        <v>0</v>
      </c>
      <c r="D38" s="23">
        <v>0</v>
      </c>
      <c r="E38" s="26">
        <v>0</v>
      </c>
      <c r="F38" s="24">
        <v>0</v>
      </c>
    </row>
    <row r="39" spans="1:10" s="13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13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2864951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7410286</v>
      </c>
      <c r="C45" s="42">
        <v>7410286</v>
      </c>
      <c r="D45" s="42">
        <v>0</v>
      </c>
      <c r="E45" s="42">
        <v>-7410286</v>
      </c>
      <c r="F45" s="35">
        <v>-1</v>
      </c>
    </row>
    <row r="46" spans="1:10" s="13" customFormat="1" ht="26.25">
      <c r="A46" s="29" t="s">
        <v>50</v>
      </c>
      <c r="B46" s="28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27961074</v>
      </c>
      <c r="C47" s="40">
        <v>25909338</v>
      </c>
      <c r="D47" s="40">
        <v>34498631</v>
      </c>
      <c r="E47" s="40">
        <v>8589293</v>
      </c>
      <c r="F47" s="35">
        <v>0.33151341033877441</v>
      </c>
    </row>
    <row r="48" spans="1:10" s="13" customFormat="1" ht="26.25">
      <c r="A48" s="29" t="s">
        <v>50</v>
      </c>
      <c r="B48" s="28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8"/>
      <c r="C52" s="28"/>
      <c r="D52" s="28"/>
      <c r="E52" s="28"/>
      <c r="F52" s="20"/>
    </row>
    <row r="53" spans="1:6" s="36" customFormat="1" ht="26.25">
      <c r="A53" s="46" t="s">
        <v>56</v>
      </c>
      <c r="B53" s="40">
        <v>57721183</v>
      </c>
      <c r="C53" s="40">
        <v>58538699</v>
      </c>
      <c r="D53" s="40">
        <v>57916294</v>
      </c>
      <c r="E53" s="40">
        <v>-622405</v>
      </c>
      <c r="F53" s="35">
        <v>-1.0632368170669457E-2</v>
      </c>
    </row>
    <row r="54" spans="1:6" s="13" customFormat="1" ht="26.25">
      <c r="A54" s="47"/>
      <c r="B54" s="28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24272093</v>
      </c>
      <c r="C57" s="19">
        <v>27379618</v>
      </c>
      <c r="D57" s="19">
        <v>27679676</v>
      </c>
      <c r="E57" s="19">
        <v>300058</v>
      </c>
      <c r="F57" s="24">
        <v>1.095917408343681E-2</v>
      </c>
    </row>
    <row r="58" spans="1:6" s="13" customFormat="1" ht="26.25">
      <c r="A58" s="29" t="s">
        <v>59</v>
      </c>
      <c r="B58" s="28">
        <v>525744</v>
      </c>
      <c r="C58" s="28">
        <v>563508</v>
      </c>
      <c r="D58" s="28">
        <v>571942</v>
      </c>
      <c r="E58" s="28">
        <v>8434</v>
      </c>
      <c r="F58" s="24">
        <v>1.4966956990850174E-2</v>
      </c>
    </row>
    <row r="59" spans="1:6" s="13" customFormat="1" ht="26.25">
      <c r="A59" s="29" t="s">
        <v>60</v>
      </c>
      <c r="B59" s="28">
        <v>275000</v>
      </c>
      <c r="C59" s="28">
        <v>277184</v>
      </c>
      <c r="D59" s="28">
        <v>275000</v>
      </c>
      <c r="E59" s="28">
        <v>-2184</v>
      </c>
      <c r="F59" s="24">
        <v>-7.8792426691295311E-3</v>
      </c>
    </row>
    <row r="60" spans="1:6" s="13" customFormat="1" ht="26.25">
      <c r="A60" s="29" t="s">
        <v>61</v>
      </c>
      <c r="B60" s="28">
        <v>6715622</v>
      </c>
      <c r="C60" s="28">
        <v>6441284</v>
      </c>
      <c r="D60" s="28">
        <v>6613121</v>
      </c>
      <c r="E60" s="28">
        <v>171837</v>
      </c>
      <c r="F60" s="24">
        <v>2.6677445055985731E-2</v>
      </c>
    </row>
    <row r="61" spans="1:6" s="13" customFormat="1" ht="26.25">
      <c r="A61" s="29" t="s">
        <v>62</v>
      </c>
      <c r="B61" s="28">
        <v>3168079</v>
      </c>
      <c r="C61" s="28">
        <v>3410958</v>
      </c>
      <c r="D61" s="28">
        <v>3621056</v>
      </c>
      <c r="E61" s="28">
        <v>210098</v>
      </c>
      <c r="F61" s="24">
        <v>6.1595012310324548E-2</v>
      </c>
    </row>
    <row r="62" spans="1:6" s="13" customFormat="1" ht="26.25">
      <c r="A62" s="29" t="s">
        <v>63</v>
      </c>
      <c r="B62" s="28">
        <v>7688699</v>
      </c>
      <c r="C62" s="28">
        <v>6420655</v>
      </c>
      <c r="D62" s="28">
        <v>6290071</v>
      </c>
      <c r="E62" s="28">
        <v>-130584</v>
      </c>
      <c r="F62" s="24">
        <v>-2.0338111921603015E-2</v>
      </c>
    </row>
    <row r="63" spans="1:6" s="13" customFormat="1" ht="26.25">
      <c r="A63" s="29" t="s">
        <v>64</v>
      </c>
      <c r="B63" s="28">
        <v>3864938</v>
      </c>
      <c r="C63" s="28">
        <v>4906722</v>
      </c>
      <c r="D63" s="28">
        <v>4952165</v>
      </c>
      <c r="E63" s="28">
        <v>45443</v>
      </c>
      <c r="F63" s="24">
        <v>9.2613765361069973E-3</v>
      </c>
    </row>
    <row r="64" spans="1:6" s="13" customFormat="1" ht="26.25">
      <c r="A64" s="29" t="s">
        <v>65</v>
      </c>
      <c r="B64" s="28">
        <v>7379360</v>
      </c>
      <c r="C64" s="28">
        <v>5676060</v>
      </c>
      <c r="D64" s="28">
        <v>5328420</v>
      </c>
      <c r="E64" s="28">
        <v>-347640</v>
      </c>
      <c r="F64" s="24">
        <v>-6.1246709865646239E-2</v>
      </c>
    </row>
    <row r="65" spans="1:6" s="36" customFormat="1" ht="26.25">
      <c r="A65" s="49" t="s">
        <v>66</v>
      </c>
      <c r="B65" s="34">
        <v>53889535</v>
      </c>
      <c r="C65" s="34">
        <v>55075989</v>
      </c>
      <c r="D65" s="34">
        <v>55331451</v>
      </c>
      <c r="E65" s="34">
        <v>255462</v>
      </c>
      <c r="F65" s="35">
        <v>4.6383552004849154E-3</v>
      </c>
    </row>
    <row r="66" spans="1:6" s="13" customFormat="1" ht="26.25">
      <c r="A66" s="29" t="s">
        <v>67</v>
      </c>
      <c r="B66" s="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8">
        <v>0</v>
      </c>
      <c r="C67" s="28">
        <v>0</v>
      </c>
      <c r="D67" s="28">
        <v>0</v>
      </c>
      <c r="E67" s="28">
        <v>0</v>
      </c>
      <c r="F67" s="24">
        <v>0</v>
      </c>
    </row>
    <row r="68" spans="1:6" s="13" customFormat="1" ht="26.25">
      <c r="A68" s="29" t="s">
        <v>69</v>
      </c>
      <c r="B68" s="28">
        <v>3615577</v>
      </c>
      <c r="C68" s="28">
        <v>3237710</v>
      </c>
      <c r="D68" s="28">
        <v>2359843</v>
      </c>
      <c r="E68" s="28">
        <v>-877867</v>
      </c>
      <c r="F68" s="24">
        <v>-0.27113824277035314</v>
      </c>
    </row>
    <row r="69" spans="1:6" s="13" customFormat="1" ht="26.25">
      <c r="A69" s="29" t="s">
        <v>70</v>
      </c>
      <c r="B69" s="28">
        <v>216071</v>
      </c>
      <c r="C69" s="28">
        <v>225000</v>
      </c>
      <c r="D69" s="28">
        <v>225000</v>
      </c>
      <c r="E69" s="28">
        <v>0</v>
      </c>
      <c r="F69" s="24">
        <v>0</v>
      </c>
    </row>
    <row r="70" spans="1:6" s="36" customFormat="1" ht="26.25">
      <c r="A70" s="50" t="s">
        <v>71</v>
      </c>
      <c r="B70" s="260">
        <v>57721183</v>
      </c>
      <c r="C70" s="51">
        <v>58538699</v>
      </c>
      <c r="D70" s="51">
        <v>57916294</v>
      </c>
      <c r="E70" s="51">
        <v>-622405</v>
      </c>
      <c r="F70" s="35">
        <v>-1.0632368170669457E-2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27593033</v>
      </c>
      <c r="C73" s="23">
        <v>27752482</v>
      </c>
      <c r="D73" s="23">
        <v>28288709</v>
      </c>
      <c r="E73" s="19">
        <v>536227</v>
      </c>
      <c r="F73" s="24">
        <v>1.9321767328774414E-2</v>
      </c>
    </row>
    <row r="74" spans="1:6" s="13" customFormat="1" ht="26.25">
      <c r="A74" s="29" t="s">
        <v>74</v>
      </c>
      <c r="B74" s="255">
        <v>464544</v>
      </c>
      <c r="C74" s="23">
        <v>575358</v>
      </c>
      <c r="D74" s="23">
        <v>609410</v>
      </c>
      <c r="E74" s="28">
        <v>34052</v>
      </c>
      <c r="F74" s="24">
        <v>5.9184021079049916E-2</v>
      </c>
    </row>
    <row r="75" spans="1:6" s="13" customFormat="1" ht="26.25">
      <c r="A75" s="29" t="s">
        <v>75</v>
      </c>
      <c r="B75" s="19">
        <v>10818852</v>
      </c>
      <c r="C75" s="23">
        <v>11875909</v>
      </c>
      <c r="D75" s="23">
        <v>12632283</v>
      </c>
      <c r="E75" s="28">
        <v>756374</v>
      </c>
      <c r="F75" s="24">
        <v>6.3689777346727733E-2</v>
      </c>
    </row>
    <row r="76" spans="1:6" s="36" customFormat="1" ht="26.25">
      <c r="A76" s="49" t="s">
        <v>76</v>
      </c>
      <c r="B76" s="260">
        <v>38876429</v>
      </c>
      <c r="C76" s="51">
        <v>40203749</v>
      </c>
      <c r="D76" s="51">
        <v>41530402</v>
      </c>
      <c r="E76" s="34">
        <v>1326653</v>
      </c>
      <c r="F76" s="35">
        <v>3.2998241034685599E-2</v>
      </c>
    </row>
    <row r="77" spans="1:6" s="13" customFormat="1" ht="26.25">
      <c r="A77" s="29" t="s">
        <v>77</v>
      </c>
      <c r="B77" s="255">
        <v>189625</v>
      </c>
      <c r="C77" s="26">
        <v>381656</v>
      </c>
      <c r="D77" s="26">
        <v>375741</v>
      </c>
      <c r="E77" s="28">
        <v>-5915</v>
      </c>
      <c r="F77" s="24">
        <v>-1.5498249732743623E-2</v>
      </c>
    </row>
    <row r="78" spans="1:6" s="13" customFormat="1" ht="26.25">
      <c r="A78" s="29" t="s">
        <v>78</v>
      </c>
      <c r="B78" s="23">
        <v>4393614</v>
      </c>
      <c r="C78" s="23">
        <v>3600434</v>
      </c>
      <c r="D78" s="23">
        <v>3782272</v>
      </c>
      <c r="E78" s="28">
        <v>181838</v>
      </c>
      <c r="F78" s="24">
        <v>5.0504466961482974E-2</v>
      </c>
    </row>
    <row r="79" spans="1:6" s="13" customFormat="1" ht="26.25">
      <c r="A79" s="29" t="s">
        <v>79</v>
      </c>
      <c r="B79" s="19">
        <v>1658021</v>
      </c>
      <c r="C79" s="19">
        <v>1613424</v>
      </c>
      <c r="D79" s="19">
        <v>1295578</v>
      </c>
      <c r="E79" s="28">
        <v>-317846</v>
      </c>
      <c r="F79" s="24">
        <v>-0.19700091234542191</v>
      </c>
    </row>
    <row r="80" spans="1:6" s="36" customFormat="1" ht="26.25">
      <c r="A80" s="32" t="s">
        <v>80</v>
      </c>
      <c r="B80" s="260">
        <v>6241260</v>
      </c>
      <c r="C80" s="51">
        <v>5595514</v>
      </c>
      <c r="D80" s="51">
        <v>5453591</v>
      </c>
      <c r="E80" s="34">
        <v>-141923</v>
      </c>
      <c r="F80" s="35">
        <v>-2.5363711001348582E-2</v>
      </c>
    </row>
    <row r="81" spans="1:6" s="13" customFormat="1" ht="26.25">
      <c r="A81" s="29" t="s">
        <v>81</v>
      </c>
      <c r="B81" s="19">
        <v>833323</v>
      </c>
      <c r="C81" s="19">
        <v>441897</v>
      </c>
      <c r="D81" s="19">
        <v>514838</v>
      </c>
      <c r="E81" s="28">
        <v>72941</v>
      </c>
      <c r="F81" s="24">
        <v>0.16506335186706406</v>
      </c>
    </row>
    <row r="82" spans="1:6" s="13" customFormat="1" ht="26.25">
      <c r="A82" s="29" t="s">
        <v>82</v>
      </c>
      <c r="B82" s="28">
        <v>8956127</v>
      </c>
      <c r="C82" s="28">
        <v>10213862</v>
      </c>
      <c r="D82" s="28">
        <v>8678338</v>
      </c>
      <c r="E82" s="28">
        <v>-1535524</v>
      </c>
      <c r="F82" s="24">
        <v>-0.15033725734692716</v>
      </c>
    </row>
    <row r="83" spans="1:6" s="13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28">
        <v>1334706</v>
      </c>
      <c r="C84" s="28">
        <v>1295926</v>
      </c>
      <c r="D84" s="28">
        <v>1143240</v>
      </c>
      <c r="E84" s="28">
        <v>-152686</v>
      </c>
      <c r="F84" s="24">
        <v>-0.11781999898142333</v>
      </c>
    </row>
    <row r="85" spans="1:6" s="36" customFormat="1" ht="26.25">
      <c r="A85" s="32" t="s">
        <v>85</v>
      </c>
      <c r="B85" s="34">
        <v>11124156</v>
      </c>
      <c r="C85" s="34">
        <v>11951685</v>
      </c>
      <c r="D85" s="34">
        <v>10336416</v>
      </c>
      <c r="E85" s="34">
        <v>-1615269</v>
      </c>
      <c r="F85" s="35">
        <v>-0.13514989727389903</v>
      </c>
    </row>
    <row r="86" spans="1:6" s="13" customFormat="1" ht="26.25">
      <c r="A86" s="29" t="s">
        <v>86</v>
      </c>
      <c r="B86" s="28">
        <v>959062</v>
      </c>
      <c r="C86" s="28">
        <v>70432</v>
      </c>
      <c r="D86" s="28">
        <v>64594</v>
      </c>
      <c r="E86" s="28">
        <v>-5838</v>
      </c>
      <c r="F86" s="24">
        <v>-8.2888459791004093E-2</v>
      </c>
    </row>
    <row r="87" spans="1:6" s="13" customFormat="1" ht="26.25">
      <c r="A87" s="29" t="s">
        <v>87</v>
      </c>
      <c r="B87" s="28">
        <v>516737</v>
      </c>
      <c r="C87" s="28">
        <v>717319</v>
      </c>
      <c r="D87" s="28">
        <v>531291</v>
      </c>
      <c r="E87" s="28">
        <v>-186028</v>
      </c>
      <c r="F87" s="24">
        <v>-0.25933789569215371</v>
      </c>
    </row>
    <row r="88" spans="1:6" s="13" customFormat="1" ht="26.25">
      <c r="A88" s="38" t="s">
        <v>88</v>
      </c>
      <c r="B88" s="28">
        <v>3539</v>
      </c>
      <c r="C88" s="28">
        <v>0</v>
      </c>
      <c r="D88" s="28">
        <v>0</v>
      </c>
      <c r="E88" s="28">
        <v>0</v>
      </c>
      <c r="F88" s="24">
        <v>0</v>
      </c>
    </row>
    <row r="89" spans="1:6" s="36" customFormat="1" ht="26.25">
      <c r="A89" s="52" t="s">
        <v>89</v>
      </c>
      <c r="B89" s="260">
        <v>1479338</v>
      </c>
      <c r="C89" s="51">
        <v>787751</v>
      </c>
      <c r="D89" s="51">
        <v>595885</v>
      </c>
      <c r="E89" s="51">
        <v>-191866</v>
      </c>
      <c r="F89" s="35">
        <v>-0.24356173460903255</v>
      </c>
    </row>
    <row r="90" spans="1:6" s="13" customFormat="1" ht="26.25">
      <c r="A90" s="38" t="s">
        <v>90</v>
      </c>
      <c r="B90" s="28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36" customFormat="1" ht="27" thickBot="1">
      <c r="A91" s="53" t="s">
        <v>71</v>
      </c>
      <c r="B91" s="263">
        <v>57721183</v>
      </c>
      <c r="C91" s="54">
        <v>58538699</v>
      </c>
      <c r="D91" s="55">
        <v>57916294</v>
      </c>
      <c r="E91" s="54">
        <v>-622405</v>
      </c>
      <c r="F91" s="56">
        <v>-1.0632368170669457E-2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2" bottom="0.32" header="0.3" footer="0.3"/>
  <pageSetup scale="3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3"/>
  <sheetViews>
    <sheetView topLeftCell="A13" zoomScale="50" zoomScaleNormal="50" workbookViewId="0">
      <selection activeCell="R65" sqref="R65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0.285156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4" t="s">
        <v>149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f>'LSU BOS'!B8+LSUBR!B8+LSUA!B8+LSUS!B8+UNO!B8+LSUE!B8+LSULAW!B8+LSUAG!B8+Penn!B8+EAConway!B8+HPLong!B8+HSCNO!B8+HSCS!B8</f>
        <v>451627049</v>
      </c>
      <c r="C8" s="23">
        <f>'LSU BOS'!C8+LSUBR!C8+LSUA!C8+LSUS!C8+UNO!C8+LSUE!C8+LSULAW!C8+LSUAG!C8+Penn!C8+EAConway!C8+HPLong!C8+HSCNO!C8+HSCS!C8</f>
        <v>451627049</v>
      </c>
      <c r="D8" s="23">
        <f>'LSU BOS'!D8+LSUBR!D8+LSUA!D8+LSUS!D8+UNO!D8+LSUE!D8+LSULAW!D8+LSUAG!D8+Penn!D8+EAConway!D8+HPLong!D8+HSCNO!D8+HSCS!D8</f>
        <v>460878840</v>
      </c>
      <c r="E8" s="23">
        <f t="shared" ref="E8:E28" si="0">D8-C8</f>
        <v>9251791</v>
      </c>
      <c r="F8" s="24">
        <f t="shared" ref="F8:F28" si="1">IF(ISBLANK(E8),"  ",IF(C8&gt;0,E8/C8,IF(E8&gt;0,1,0)))</f>
        <v>2.048546698096464E-2</v>
      </c>
    </row>
    <row r="9" spans="1:6" s="13" customFormat="1" ht="26.25">
      <c r="A9" s="22" t="s">
        <v>17</v>
      </c>
      <c r="B9" s="23">
        <f>'LSU BOS'!B9+LSUBR!B9+LSUA!B9+LSUS!B9+UNO!B9+LSUE!B9+LSULAW!B9+LSUAG!B9+Penn!B9+EAConway!B9+HPLong!B9+HSCNO!B9+HSCS!B9</f>
        <v>0</v>
      </c>
      <c r="C9" s="23">
        <f>'LSU BOS'!C9+LSUBR!C9+LSUA!C9+LSUS!C9+UNO!C9+LSUE!C9+LSULAW!C9+LSUAG!C9+Penn!C9+EAConway!C9+HPLong!C9+HSCNO!C9+HSCS!C9</f>
        <v>0</v>
      </c>
      <c r="D9" s="23">
        <f>'LSU BOS'!D9+LSUBR!D9+LSUA!D9+LSUS!D9+UNO!D9+LSUE!D9+LSULAW!D9+LSUAG!D9+Penn!D9+EAConway!D9+HPLong!D9+HSCNO!D9+HSCS!D9</f>
        <v>0</v>
      </c>
      <c r="E9" s="23">
        <f t="shared" si="0"/>
        <v>0</v>
      </c>
      <c r="F9" s="24">
        <f t="shared" si="1"/>
        <v>0</v>
      </c>
    </row>
    <row r="10" spans="1:6" s="13" customFormat="1" ht="26.25">
      <c r="A10" s="25" t="s">
        <v>18</v>
      </c>
      <c r="B10" s="26">
        <f>SUM(B11:B28)</f>
        <v>58411598.759999998</v>
      </c>
      <c r="C10" s="26">
        <f>SUM(C11:C28)</f>
        <v>59018649</v>
      </c>
      <c r="D10" s="26">
        <f>SUM(D11:D28)</f>
        <v>57326572</v>
      </c>
      <c r="E10" s="26">
        <f t="shared" si="0"/>
        <v>-1692077</v>
      </c>
      <c r="F10" s="24">
        <f t="shared" si="1"/>
        <v>-2.8670208970727203E-2</v>
      </c>
    </row>
    <row r="11" spans="1:6" s="13" customFormat="1" ht="26.25">
      <c r="A11" s="27" t="s">
        <v>19</v>
      </c>
      <c r="B11" s="23">
        <f>'LSU BOS'!B11+LSUBR!B11+LSUA!B11+LSUS!B11+UNO!B11+LSUE!B11+LSULAW!B11+LSUAG!B11+Penn!B11+EAConway!B11+HPLong!B11+HSCNO!B11+HSCS!B11</f>
        <v>287620</v>
      </c>
      <c r="C11" s="23">
        <f>'LSU BOS'!C11+LSUBR!C11+LSUA!C11+LSUS!C11+UNO!C11+LSUE!C11+LSULAW!C11+LSUAG!C11+Penn!C11+EAConway!C11+HPLong!C11+HSCNO!C11+HSCS!C11</f>
        <v>283990</v>
      </c>
      <c r="D11" s="23">
        <f>'LSU BOS'!D11+LSUBR!D11+LSUA!D11+LSUS!D11+UNO!D11+LSUE!D11+LSULAW!D11+LSUAG!D11+Penn!D11+EAConway!D11+HPLong!D11+HSCNO!D11+HSCS!D11</f>
        <v>0</v>
      </c>
      <c r="E11" s="26">
        <f t="shared" si="0"/>
        <v>-283990</v>
      </c>
      <c r="F11" s="24">
        <f t="shared" si="1"/>
        <v>-1</v>
      </c>
    </row>
    <row r="12" spans="1:6" s="13" customFormat="1" ht="26.25">
      <c r="A12" s="29" t="s">
        <v>20</v>
      </c>
      <c r="B12" s="23">
        <f>'LSU BOS'!B12+LSUBR!B12+LSUA!B12+LSUS!B12+UNO!B12+LSUE!B12+LSULAW!B12+LSUAG!B12+Penn!B12+EAConway!B12+HPLong!B12+HSCNO!B12+HSCS!B12</f>
        <v>22097224.759999998</v>
      </c>
      <c r="C12" s="23">
        <f>'LSU BOS'!C12+LSUBR!C12+LSUA!C12+LSUS!C12+UNO!C12+LSUE!C12+LSULAW!C12+LSUAG!C12+Penn!C12+EAConway!C12+HPLong!C12+HSCNO!C12+HSCS!C12</f>
        <v>22185792</v>
      </c>
      <c r="D12" s="23">
        <f>'LSU BOS'!D12+LSUBR!D12+LSUA!D12+LSUS!D12+UNO!D12+LSUE!D12+LSULAW!D12+LSUAG!D12+Penn!D12+EAConway!D12+HPLong!D12+HSCNO!D12+HSCS!D12</f>
        <v>22352903</v>
      </c>
      <c r="E12" s="26">
        <f t="shared" si="0"/>
        <v>167111</v>
      </c>
      <c r="F12" s="24">
        <f t="shared" si="1"/>
        <v>7.5323432221847206E-3</v>
      </c>
    </row>
    <row r="13" spans="1:6" s="13" customFormat="1" ht="26.25">
      <c r="A13" s="29" t="s">
        <v>21</v>
      </c>
      <c r="B13" s="23">
        <f>'LSU BOS'!B13+LSUBR!B13+LSUA!B13+LSUS!B13+UNO!B13+LSUE!B13+LSULAW!B13+LSUAG!B13+Penn!B13+EAConway!B13+HPLong!B13+HSCNO!B13+HSCS!B13</f>
        <v>24806917</v>
      </c>
      <c r="C13" s="23">
        <f>'LSU BOS'!C13+LSUBR!C13+LSUA!C13+LSUS!C13+UNO!C13+LSUE!C13+LSULAW!C13+LSUAG!C13+Penn!C13+EAConway!C13+HPLong!C13+HSCNO!C13+HSCS!C13</f>
        <v>24806917</v>
      </c>
      <c r="D13" s="23">
        <f>'LSU BOS'!D13+LSUBR!D13+LSUA!D13+LSUS!D13+UNO!D13+LSUE!D13+LSULAW!D13+LSUAG!D13+Penn!D13+EAConway!D13+HPLong!D13+HSCNO!D13+HSCS!D13</f>
        <v>25813669</v>
      </c>
      <c r="E13" s="26">
        <f t="shared" si="0"/>
        <v>1006752</v>
      </c>
      <c r="F13" s="24">
        <f t="shared" si="1"/>
        <v>4.0583519507885642E-2</v>
      </c>
    </row>
    <row r="14" spans="1:6" s="13" customFormat="1" ht="26.25">
      <c r="A14" s="29" t="s">
        <v>22</v>
      </c>
      <c r="B14" s="23">
        <f>'LSU BOS'!B14+LSUBR!B14+LSUA!B14+LSUS!B14+UNO!B14+LSUE!B14+LSULAW!B14+LSUAG!B14+Penn!B14+EAConway!B14+HPLong!B14+HSCNO!B14+HSCS!B14</f>
        <v>0</v>
      </c>
      <c r="C14" s="23">
        <f>'LSU BOS'!C14+LSUBR!C14+LSUA!C14+LSUS!C14+UNO!C14+LSUE!C14+LSULAW!C14+LSUAG!C14+Penn!C14+EAConway!C14+HPLong!C14+HSCNO!C14+HSCS!C14</f>
        <v>0</v>
      </c>
      <c r="D14" s="23">
        <f>'LSU BOS'!D14+LSUBR!D14+LSUA!D14+LSUS!D14+UNO!D14+LSUE!D14+LSULAW!D14+LSUAG!D14+Penn!D14+EAConway!D14+HPLong!D14+HSCNO!D14+HSCS!D14</f>
        <v>0</v>
      </c>
      <c r="E14" s="26">
        <f t="shared" si="0"/>
        <v>0</v>
      </c>
      <c r="F14" s="24">
        <f t="shared" si="1"/>
        <v>0</v>
      </c>
    </row>
    <row r="15" spans="1:6" s="13" customFormat="1" ht="26.25">
      <c r="A15" s="29" t="s">
        <v>23</v>
      </c>
      <c r="B15" s="23">
        <f>'LSU BOS'!B15+LSUBR!B15+LSUA!B15+LSUS!B15+UNO!B15+LSUE!B15+LSULAW!B15+LSUAG!B15+Penn!B15+EAConway!B15+HPLong!B15+HSCNO!B15+HSCS!B15</f>
        <v>0</v>
      </c>
      <c r="C15" s="23">
        <f>'LSU BOS'!C15+LSUBR!C15+LSUA!C15+LSUS!C15+UNO!C15+LSUE!C15+LSULAW!C15+LSUAG!C15+Penn!C15+EAConway!C15+HPLong!C15+HSCNO!C15+HSCS!C15</f>
        <v>0</v>
      </c>
      <c r="D15" s="23">
        <f>'LSU BOS'!D15+LSUBR!D15+LSUA!D15+LSUS!D15+UNO!D15+LSUE!D15+LSULAW!D15+LSUAG!D15+Penn!D15+EAConway!D15+HPLong!D15+HSCNO!D15+HSCS!D15</f>
        <v>0</v>
      </c>
      <c r="E15" s="26">
        <f t="shared" si="0"/>
        <v>0</v>
      </c>
      <c r="F15" s="24">
        <f t="shared" si="1"/>
        <v>0</v>
      </c>
    </row>
    <row r="16" spans="1:6" s="13" customFormat="1" ht="26.25">
      <c r="A16" s="29" t="s">
        <v>24</v>
      </c>
      <c r="B16" s="23">
        <f>'LSU BOS'!B16+LSUBR!B16+LSUA!B16+LSUS!B16+UNO!B16+LSUE!B16+LSULAW!B16+LSUAG!B16+Penn!B16+EAConway!B16+HPLong!B16+HSCNO!B16+HSCS!B16</f>
        <v>0</v>
      </c>
      <c r="C16" s="23">
        <f>'LSU BOS'!C16+LSUBR!C16+LSUA!C16+LSUS!C16+UNO!C16+LSUE!C16+LSULAW!C16+LSUAG!C16+Penn!C16+EAConway!C16+HPLong!C16+HSCNO!C16+HSCS!C16</f>
        <v>0</v>
      </c>
      <c r="D16" s="23">
        <f>'LSU BOS'!D16+LSUBR!D16+LSUA!D16+LSUS!D16+UNO!D16+LSUE!D16+LSULAW!D16+LSUAG!D16+Penn!D16+EAConway!D16+HPLong!D16+HSCNO!D16+HSCS!D16</f>
        <v>0</v>
      </c>
      <c r="E16" s="26">
        <f t="shared" si="0"/>
        <v>0</v>
      </c>
      <c r="F16" s="24">
        <f t="shared" si="1"/>
        <v>0</v>
      </c>
    </row>
    <row r="17" spans="1:6" s="13" customFormat="1" ht="26.25">
      <c r="A17" s="29" t="s">
        <v>25</v>
      </c>
      <c r="B17" s="23">
        <f>'LSU BOS'!B17+LSUBR!B17+LSUA!B17+LSUS!B17+UNO!B17+LSUE!B17+LSULAW!B17+LSUAG!B17+Penn!B17+EAConway!B17+HPLong!B17+HSCNO!B17+HSCS!B17</f>
        <v>0</v>
      </c>
      <c r="C17" s="23">
        <f>'LSU BOS'!C17+LSUBR!C17+LSUA!C17+LSUS!C17+UNO!C17+LSUE!C17+LSULAW!C17+LSUAG!C17+Penn!C17+EAConway!C17+HPLong!C17+HSCNO!C17+HSCS!C17</f>
        <v>0</v>
      </c>
      <c r="D17" s="23">
        <f>'LSU BOS'!D17+LSUBR!D17+LSUA!D17+LSUS!D17+UNO!D17+LSUE!D17+LSULAW!D17+LSUAG!D17+Penn!D17+EAConway!D17+HPLong!D17+HSCNO!D17+HSCS!D17</f>
        <v>0</v>
      </c>
      <c r="E17" s="26">
        <f t="shared" si="0"/>
        <v>0</v>
      </c>
      <c r="F17" s="24">
        <f t="shared" si="1"/>
        <v>0</v>
      </c>
    </row>
    <row r="18" spans="1:6" s="13" customFormat="1" ht="26.25">
      <c r="A18" s="29" t="s">
        <v>26</v>
      </c>
      <c r="B18" s="23">
        <f>'LSU BOS'!B18+LSUBR!B18+LSUA!B18+LSUS!B18+UNO!B18+LSUE!B18+LSULAW!B18+LSUAG!B18+Penn!B18+EAConway!B18+HPLong!B18+HSCNO!B18+HSCS!B18</f>
        <v>750000</v>
      </c>
      <c r="C18" s="23">
        <f>'LSU BOS'!C18+LSUBR!C18+LSUA!C18+LSUS!C18+UNO!C18+LSUE!C18+LSULAW!C18+LSUAG!C18+Penn!C18+EAConway!C18+HPLong!C18+HSCNO!C18+HSCS!C18</f>
        <v>750000</v>
      </c>
      <c r="D18" s="23">
        <f>'LSU BOS'!D18+LSUBR!D18+LSUA!D18+LSUS!D18+UNO!D18+LSUE!D18+LSULAW!D18+LSUAG!D18+Penn!D18+EAConway!D18+HPLong!D18+HSCNO!D18+HSCS!D18</f>
        <v>750000</v>
      </c>
      <c r="E18" s="26">
        <f t="shared" si="0"/>
        <v>0</v>
      </c>
      <c r="F18" s="24">
        <f t="shared" si="1"/>
        <v>0</v>
      </c>
    </row>
    <row r="19" spans="1:6" s="13" customFormat="1" ht="26.25">
      <c r="A19" s="29" t="s">
        <v>27</v>
      </c>
      <c r="B19" s="23">
        <f>'LSU BOS'!B19+LSUBR!B19+LSUA!B19+LSUS!B19+UNO!B19+LSUE!B19+LSULAW!B19+LSUAG!B19+Penn!B19+EAConway!B19+HPLong!B19+HSCNO!B19+HSCS!B19</f>
        <v>3001837</v>
      </c>
      <c r="C19" s="23">
        <f>'LSU BOS'!C19+LSUBR!C19+LSUA!C19+LSUS!C19+UNO!C19+LSUE!C19+LSULAW!C19+LSUAG!C19+Penn!C19+EAConway!C19+HPLong!C19+HSCNO!C19+HSCS!C19</f>
        <v>3523950</v>
      </c>
      <c r="D19" s="23">
        <f>'LSU BOS'!D19+LSUBR!D19+LSUA!D19+LSUS!D19+UNO!D19+LSUE!D19+LSULAW!D19+LSUAG!D19+Penn!D19+EAConway!D19+HPLong!D19+HSCNO!D19+HSCS!D19</f>
        <v>3200000</v>
      </c>
      <c r="E19" s="26">
        <f t="shared" si="0"/>
        <v>-323950</v>
      </c>
      <c r="F19" s="24">
        <f t="shared" si="1"/>
        <v>-9.1928092055789667E-2</v>
      </c>
    </row>
    <row r="20" spans="1:6" s="13" customFormat="1" ht="26.25">
      <c r="A20" s="29" t="s">
        <v>28</v>
      </c>
      <c r="B20" s="23">
        <f>'LSU BOS'!B20+LSUBR!B20+LSUA!B20+LSUS!B20+UNO!B20+LSUE!B20+LSULAW!B20+LSUAG!B20+Penn!B20+EAConway!B20+HPLong!B20+HSCNO!B20+HSCS!B20</f>
        <v>210000</v>
      </c>
      <c r="C20" s="23">
        <f>'LSU BOS'!C20+LSUBR!C20+LSUA!C20+LSUS!C20+UNO!C20+LSUE!C20+LSULAW!C20+LSUAG!C20+Penn!C20+EAConway!C20+HPLong!C20+HSCNO!C20+HSCS!C20</f>
        <v>210000</v>
      </c>
      <c r="D20" s="23">
        <f>'LSU BOS'!D20+LSUBR!D20+LSUA!D20+LSUS!D20+UNO!D20+LSUE!D20+LSULAW!D20+LSUAG!D20+Penn!D20+EAConway!D20+HPLong!D20+HSCNO!D20+HSCS!D20</f>
        <v>210000</v>
      </c>
      <c r="E20" s="26">
        <f t="shared" si="0"/>
        <v>0</v>
      </c>
      <c r="F20" s="24">
        <f t="shared" si="1"/>
        <v>0</v>
      </c>
    </row>
    <row r="21" spans="1:6" s="13" customFormat="1" ht="26.25">
      <c r="A21" s="29" t="s">
        <v>29</v>
      </c>
      <c r="B21" s="23">
        <f>'LSU BOS'!B21+LSUBR!B21+LSUA!B21+LSUS!B21+UNO!B21+LSUE!B21+LSULAW!B21+LSUAG!B21+Penn!B21+EAConway!B21+HPLong!B21+HSCNO!B21+HSCS!B21</f>
        <v>0</v>
      </c>
      <c r="C21" s="23">
        <f>'LSU BOS'!C21+LSUBR!C21+LSUA!C21+LSUS!C21+UNO!C21+LSUE!C21+LSULAW!C21+LSUAG!C21+Penn!C21+EAConway!C21+HPLong!C21+HSCNO!C21+HSCS!C21</f>
        <v>0</v>
      </c>
      <c r="D21" s="23">
        <f>'LSU BOS'!D21+LSUBR!D21+LSUA!D21+LSUS!D21+UNO!D21+LSUE!D21+LSULAW!D21+LSUAG!D21+Penn!D21+EAConway!D21+HPLong!D21+HSCNO!D21+HSCS!D21</f>
        <v>0</v>
      </c>
      <c r="E21" s="26">
        <f t="shared" si="0"/>
        <v>0</v>
      </c>
      <c r="F21" s="24">
        <f t="shared" si="1"/>
        <v>0</v>
      </c>
    </row>
    <row r="22" spans="1:6" s="13" customFormat="1" ht="26.25">
      <c r="A22" s="29" t="s">
        <v>30</v>
      </c>
      <c r="B22" s="23">
        <f>'LSU BOS'!B22+LSUBR!B22+LSUA!B22+LSUS!B22+UNO!B22+LSUE!B22+LSULAW!B22+LSUAG!B22+Penn!B22+EAConway!B22+HPLong!B22+HSCNO!B22+HSCS!B22</f>
        <v>0</v>
      </c>
      <c r="C22" s="23">
        <f>'LSU BOS'!C22+LSUBR!C22+LSUA!C22+LSUS!C22+UNO!C22+LSUE!C22+LSULAW!C22+LSUAG!C22+Penn!C22+EAConway!C22+HPLong!C22+HSCNO!C22+HSCS!C22</f>
        <v>0</v>
      </c>
      <c r="D22" s="23">
        <f>'LSU BOS'!D22+LSUBR!D22+LSUA!D22+LSUS!D22+UNO!D22+LSUE!D22+LSULAW!D22+LSUAG!D22+Penn!D22+EAConway!D22+HPLong!D22+HSCNO!D22+HSCS!D22</f>
        <v>0</v>
      </c>
      <c r="E22" s="26">
        <f t="shared" si="0"/>
        <v>0</v>
      </c>
      <c r="F22" s="24">
        <f t="shared" si="1"/>
        <v>0</v>
      </c>
    </row>
    <row r="23" spans="1:6" s="13" customFormat="1" ht="26.25">
      <c r="A23" s="30" t="s">
        <v>31</v>
      </c>
      <c r="B23" s="23">
        <f>'LSU BOS'!B23+LSUBR!B23+LSUA!B23+LSUS!B23+UNO!B23+LSUE!B23+LSULAW!B23+LSUAG!B23+Penn!B23+EAConway!B23+HPLong!B23+HSCNO!B23+HSCS!B23</f>
        <v>0</v>
      </c>
      <c r="C23" s="23">
        <f>'LSU BOS'!C23+LSUBR!C23+LSUA!C23+LSUS!C23+UNO!C23+LSUE!C23+LSULAW!C23+LSUAG!C23+Penn!C23+EAConway!C23+HPLong!C23+HSCNO!C23+HSCS!C23</f>
        <v>0</v>
      </c>
      <c r="D23" s="23">
        <f>'LSU BOS'!D23+LSUBR!D23+LSUA!D23+LSUS!D23+UNO!D23+LSUE!D23+LSULAW!D23+LSUAG!D23+Penn!D23+EAConway!D23+HPLong!D23+HSCNO!D23+HSCS!D23</f>
        <v>0</v>
      </c>
      <c r="E23" s="26">
        <f t="shared" si="0"/>
        <v>0</v>
      </c>
      <c r="F23" s="24">
        <f t="shared" si="1"/>
        <v>0</v>
      </c>
    </row>
    <row r="24" spans="1:6" s="13" customFormat="1" ht="26.25">
      <c r="A24" s="30" t="s">
        <v>32</v>
      </c>
      <c r="B24" s="23">
        <f>'LSU BOS'!B24+LSUBR!B24+LSUA!B24+LSUS!B24+UNO!B24+LSUE!B24+LSULAW!B24+LSUAG!B24+Penn!B24+EAConway!B24+HPLong!B24+HSCNO!B24+HSCS!B24</f>
        <v>0</v>
      </c>
      <c r="C24" s="23">
        <f>'LSU BOS'!C24+LSUBR!C24+LSUA!C24+LSUS!C24+UNO!C24+LSUE!C24+LSULAW!C24+LSUAG!C24+Penn!C24+EAConway!C24+HPLong!C24+HSCNO!C24+HSCS!C24</f>
        <v>0</v>
      </c>
      <c r="D24" s="23">
        <f>'LSU BOS'!D24+LSUBR!D24+LSUA!D24+LSUS!D24+UNO!D24+LSUE!D24+LSULAW!D24+LSUAG!D24+Penn!D24+EAConway!D24+HPLong!D24+HSCNO!D24+HSCS!D24</f>
        <v>0</v>
      </c>
      <c r="E24" s="26">
        <f t="shared" si="0"/>
        <v>0</v>
      </c>
      <c r="F24" s="24">
        <f t="shared" si="1"/>
        <v>0</v>
      </c>
    </row>
    <row r="25" spans="1:6" s="13" customFormat="1" ht="26.25">
      <c r="A25" s="30" t="s">
        <v>33</v>
      </c>
      <c r="B25" s="23">
        <f>'LSU BOS'!B25+LSUBR!B25+LSUA!B25+LSUS!B25+UNO!B25+LSUE!B25+LSULAW!B25+LSUAG!B25+Penn!B25+EAConway!B25+HPLong!B25+HSCNO!B25+HSCS!B25</f>
        <v>0</v>
      </c>
      <c r="C25" s="23">
        <f>'LSU BOS'!C25+LSUBR!C25+LSUA!C25+LSUS!C25+UNO!C25+LSUE!C25+LSULAW!C25+LSUAG!C25+Penn!C25+EAConway!C25+HPLong!C25+HSCNO!C25+HSCS!C25</f>
        <v>0</v>
      </c>
      <c r="D25" s="23">
        <f>'LSU BOS'!D25+LSUBR!D25+LSUA!D25+LSUS!D25+UNO!D25+LSUE!D25+LSULAW!D25+LSUAG!D25+Penn!D25+EAConway!D25+HPLong!D25+HSCNO!D25+HSCS!D25</f>
        <v>0</v>
      </c>
      <c r="E25" s="26">
        <f t="shared" si="0"/>
        <v>0</v>
      </c>
      <c r="F25" s="24">
        <f t="shared" si="1"/>
        <v>0</v>
      </c>
    </row>
    <row r="26" spans="1:6" s="13" customFormat="1" ht="26.25">
      <c r="A26" s="30" t="s">
        <v>34</v>
      </c>
      <c r="B26" s="23">
        <f>'LSU BOS'!B26+LSUBR!B26+LSUA!B26+LSUS!B26+UNO!B26+LSUE!B26+LSULAW!B26+LSUAG!B26+Penn!B26+EAConway!B26+HPLong!B26+HSCNO!B26+HSCS!B26</f>
        <v>0</v>
      </c>
      <c r="C26" s="23">
        <f>'LSU BOS'!C26+LSUBR!C26+LSUA!C26+LSUS!C26+UNO!C26+LSUE!C26+LSULAW!C26+LSUAG!C26+Penn!C26+EAConway!C26+HPLong!C26+HSCNO!C26+HSCS!C26</f>
        <v>0</v>
      </c>
      <c r="D26" s="23">
        <f>'LSU BOS'!D26+LSUBR!D26+LSUA!D26+LSUS!D26+UNO!D26+LSUE!D26+LSULAW!D26+LSUAG!D26+Penn!D26+EAConway!D26+HPLong!D26+HSCNO!D26+HSCS!D26</f>
        <v>0</v>
      </c>
      <c r="E26" s="26">
        <f t="shared" si="0"/>
        <v>0</v>
      </c>
      <c r="F26" s="24">
        <f t="shared" si="1"/>
        <v>0</v>
      </c>
    </row>
    <row r="27" spans="1:6" s="13" customFormat="1" ht="26.25">
      <c r="A27" s="30" t="s">
        <v>35</v>
      </c>
      <c r="B27" s="23">
        <f>'LSU BOS'!B27+LSUBR!B27+LSUA!B27+LSUS!B27+UNO!B27+LSUE!B27+LSULAW!B27+LSUAG!B27+Penn!B27+EAConway!B27+HPLong!B27+HSCNO!B27+HSCS!B27</f>
        <v>0</v>
      </c>
      <c r="C27" s="23">
        <f>'LSU BOS'!C27+LSUBR!C27+LSUA!C27+LSUS!C27+UNO!C27+LSUE!C27+LSULAW!C27+LSUAG!C27+Penn!C27+EAConway!C27+HPLong!C27+HSCNO!C27+HSCS!C27</f>
        <v>0</v>
      </c>
      <c r="D27" s="23">
        <f>'LSU BOS'!D27+LSUBR!D27+LSUA!D27+LSUS!D27+UNO!D27+LSUE!D27+LSULAW!D27+LSUAG!D27+Penn!D27+EAConway!D27+HPLong!D27+HSCNO!D27+HSCS!D27</f>
        <v>0</v>
      </c>
      <c r="E27" s="26">
        <f t="shared" si="0"/>
        <v>0</v>
      </c>
      <c r="F27" s="24">
        <f t="shared" si="1"/>
        <v>0</v>
      </c>
    </row>
    <row r="28" spans="1:6" s="13" customFormat="1" ht="26.25">
      <c r="A28" s="30" t="s">
        <v>36</v>
      </c>
      <c r="B28" s="23">
        <f>'LSU BOS'!B28+LSUBR!B28+LSUA!B28+LSUS!B28+UNO!B28+LSUE!B28+LSULAW!B28+LSUAG!B28+Penn!B28+EAConway!B28+HPLong!B28+HSCNO!B28+HSCS!B28</f>
        <v>7258000</v>
      </c>
      <c r="C28" s="23">
        <f>'LSU BOS'!C28+LSUBR!C28+LSUA!C28+LSUS!C28+UNO!C28+LSUE!C28+LSULAW!C28+LSUAG!C28+Penn!C28+EAConway!C28+HPLong!C28+HSCNO!C28+HSCS!C28</f>
        <v>7258000</v>
      </c>
      <c r="D28" s="23">
        <f>'LSU BOS'!D28+LSUBR!D28+LSUA!D28+LSUS!D28+UNO!D28+LSUE!D28+LSULAW!D28+LSUAG!D28+Penn!D28+EAConway!D28+HPLong!D28+HSCNO!D28+HSCS!D28</f>
        <v>5000000</v>
      </c>
      <c r="E28" s="26">
        <f t="shared" si="0"/>
        <v>-2258000</v>
      </c>
      <c r="F28" s="24">
        <f t="shared" si="1"/>
        <v>-0.3111049875998898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f>'LSU BOS'!B30+LSUBR!B30+LSUA!B30+LSUS!B30+UNO!B30+LSUE!B30+LSULAW!B30+LSUAG!B30+Penn!B30+EAConway!B30+HPLong!B30+HSCNO!B30+HSCS!B30</f>
        <v>0</v>
      </c>
      <c r="C30" s="23">
        <f>'LSU BOS'!C30+LSUBR!C30+LSUA!C30+LSUS!C30+UNO!C30+LSUE!C30+LSULAW!C30+LSUAG!C30+Penn!C30+EAConway!C30+HPLong!C30+HSCNO!C30+HSCS!C30</f>
        <v>0</v>
      </c>
      <c r="D30" s="23">
        <f>'LSU BOS'!D30+LSUBR!D30+LSUA!D30+LSUS!D30+UNO!D30+LSUE!D30+LSULAW!D30+LSUAG!D30+Penn!D30+EAConway!D30+HPLong!D30+HSCNO!D30+HSCS!D30</f>
        <v>0</v>
      </c>
      <c r="E30" s="23">
        <f>D30-C30</f>
        <v>0</v>
      </c>
      <c r="F30" s="24">
        <f>IF(ISBLANK(E30),"  ",IF(C30&gt;0,E30/C30,IF(E30&gt;0,1,0)))</f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23">
        <f>'LSU BOS'!B32+LSUBR!B32+LSUA!B32+LSUS!B32+UNO!B32+LSUE!B32+LSULAW!B32+LSUAG!B32+Penn!B32+EAConway!B32+HPLong!B32+HSCNO!B32+HSCS!B32</f>
        <v>0</v>
      </c>
      <c r="C32" s="23">
        <f>'LSU BOS'!C32+LSUBR!C32+LSUA!C32+LSUS!C32+UNO!C32+LSUE!C32+LSULAW!C32+LSUAG!C32+Penn!C32+EAConway!C32+HPLong!C32+HSCNO!C32+HSCS!C32</f>
        <v>0</v>
      </c>
      <c r="D32" s="23">
        <f>'LSU BOS'!D32+LSUBR!D32+LSUA!D32+LSUS!D32+UNO!D32+LSUE!D32+LSULAW!D32+LSUAG!D32+Penn!D32+EAConway!D32+HPLong!D32+HSCNO!D32+HSCS!D32</f>
        <v>0</v>
      </c>
      <c r="E32" s="23">
        <f>D32-C32</f>
        <v>0</v>
      </c>
      <c r="F32" s="24">
        <f>IF(ISBLANK(E32),"  ",IF(C32&gt;0,E32/C32,IF(E32&gt;0,1,0)))</f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tr">
        <f>IF(ISBLANK(E33),"  ",IF(C33&gt;0,E33/C33,IF(E33&gt;0,1,0)))</f>
        <v xml:space="preserve">  </v>
      </c>
    </row>
    <row r="34" spans="1:10" s="36" customFormat="1" ht="26.25">
      <c r="A34" s="33" t="s">
        <v>42</v>
      </c>
      <c r="B34" s="34">
        <f>B33+B32+B30+B10+B9+B8</f>
        <v>510038647.75999999</v>
      </c>
      <c r="C34" s="34">
        <f>C33+C32+C30+C10+C9+C8</f>
        <v>510645698</v>
      </c>
      <c r="D34" s="34">
        <f>D33+D32+D30+D10+D9+D8</f>
        <v>518205412</v>
      </c>
      <c r="E34" s="34">
        <f>D34-C34</f>
        <v>7559714</v>
      </c>
      <c r="F34" s="35">
        <f>IF(ISBLANK(E34),"  ",IF(C34&gt;0,E34/C34,IF(E34&gt;0,1,0)))</f>
        <v>1.4804225375066217E-2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f>'LSU BOS'!B36+LSUBR!B36+LSUA!B36+LSUS!B36+UNO!B36+LSUE!B36+LSULAW!B36+LSUAG!B36+Penn!B36+EAConway!B36+HPLong!B36+HSCNO!B36+HSCS!B36</f>
        <v>0</v>
      </c>
      <c r="C36" s="23">
        <f>'LSU BOS'!C36+LSUBR!C36+LSUA!C36+LSUS!C36+UNO!C36+LSUE!C36+LSULAW!C36+LSUAG!C36+Penn!C36+EAConway!C36+HPLong!C36+HSCNO!C36+HSCS!C36</f>
        <v>0</v>
      </c>
      <c r="D36" s="23">
        <f>'LSU BOS'!D36+LSUBR!D36+LSUA!D36+LSUS!D36+UNO!D36+LSUE!D36+LSULAW!D36+LSUAG!D36+Penn!D36+EAConway!D36+HPLong!D36+HSCNO!D36+HSCS!D36</f>
        <v>0</v>
      </c>
      <c r="E36" s="23">
        <f t="shared" ref="E36:E41" si="2">D36-C36</f>
        <v>0</v>
      </c>
      <c r="F36" s="24">
        <f t="shared" ref="F36:F41" si="3">IF(ISBLANK(E36),"  ",IF(C36&gt;0,E36/C36,IF(E36&gt;0,1,0)))</f>
        <v>0</v>
      </c>
    </row>
    <row r="37" spans="1:10" s="13" customFormat="1" ht="26.25">
      <c r="A37" s="38" t="s">
        <v>45</v>
      </c>
      <c r="B37" s="23">
        <f>'LSU BOS'!B37+LSUBR!B37+LSUA!B37+LSUS!B37+UNO!B37+LSUE!B37+LSULAW!B37+LSUAG!B37+Penn!B37+EAConway!B37+HPLong!B37+HSCNO!B37+HSCS!B37</f>
        <v>0</v>
      </c>
      <c r="C37" s="23">
        <f>'LSU BOS'!C37+LSUBR!C37+LSUA!C37+LSUS!C37+UNO!C37+LSUE!C37+LSULAW!C37+LSUAG!C37+Penn!C37+EAConway!C37+HPLong!C37+HSCNO!C37+HSCS!C37</f>
        <v>0</v>
      </c>
      <c r="D37" s="23">
        <f>'LSU BOS'!D37+LSUBR!D37+LSUA!D37+LSUS!D37+UNO!D37+LSUE!D37+LSULAW!D37+LSUAG!D37+Penn!D37+EAConway!D37+HPLong!D37+HSCNO!D37+HSCS!D37</f>
        <v>0</v>
      </c>
      <c r="E37" s="26">
        <f t="shared" si="2"/>
        <v>0</v>
      </c>
      <c r="F37" s="24">
        <f t="shared" si="3"/>
        <v>0</v>
      </c>
    </row>
    <row r="38" spans="1:10" s="13" customFormat="1" ht="26.25">
      <c r="A38" s="38" t="s">
        <v>46</v>
      </c>
      <c r="B38" s="23">
        <f>'LSU BOS'!B38+LSUBR!B38+LSUA!B38+LSUS!B38+UNO!B38+LSUE!B38+LSULAW!B38+LSUAG!B38+Penn!B38+EAConway!B38+HPLong!B38+HSCNO!B38+HSCS!B38</f>
        <v>0</v>
      </c>
      <c r="C38" s="23">
        <f>'LSU BOS'!C38+LSUBR!C38+LSUA!C38+LSUS!C38+UNO!C38+LSUE!C38+LSULAW!C38+LSUAG!C38+Penn!C38+EAConway!C38+HPLong!C38+HSCNO!C38+HSCS!C38</f>
        <v>0</v>
      </c>
      <c r="D38" s="23">
        <f>'LSU BOS'!D38+LSUBR!D38+LSUA!D38+LSUS!D38+UNO!D38+LSUE!D38+LSULAW!D38+LSUAG!D38+Penn!D38+EAConway!D38+HPLong!D38+HSCNO!D38+HSCS!D38</f>
        <v>0</v>
      </c>
      <c r="E38" s="26">
        <f t="shared" si="2"/>
        <v>0</v>
      </c>
      <c r="F38" s="24">
        <f t="shared" si="3"/>
        <v>0</v>
      </c>
    </row>
    <row r="39" spans="1:10" s="13" customFormat="1" ht="26.25">
      <c r="A39" s="38" t="s">
        <v>47</v>
      </c>
      <c r="B39" s="23">
        <f>'LSU BOS'!B39+LSUBR!B39+LSUA!B39+LSUS!B39+UNO!B39+LSUE!B39+LSULAW!B39+LSUAG!B39+Penn!B39+EAConway!B39+HPLong!B39+HSCNO!B39+HSCS!B39</f>
        <v>0</v>
      </c>
      <c r="C39" s="23">
        <f>'LSU BOS'!C39+LSUBR!C39+LSUA!C39+LSUS!C39+UNO!C39+LSUE!C39+LSULAW!C39+LSUAG!C39+Penn!C39+EAConway!C39+HPLong!C39+HSCNO!C39+HSCS!C39</f>
        <v>0</v>
      </c>
      <c r="D39" s="23">
        <f>'LSU BOS'!D39+LSUBR!D39+LSUA!D39+LSUS!D39+UNO!D39+LSUE!D39+LSULAW!D39+LSUAG!D39+Penn!D39+EAConway!D39+HPLong!D39+HSCNO!D39+HSCS!D39</f>
        <v>0</v>
      </c>
      <c r="E39" s="26">
        <f t="shared" si="2"/>
        <v>0</v>
      </c>
      <c r="F39" s="24">
        <f t="shared" si="3"/>
        <v>0</v>
      </c>
    </row>
    <row r="40" spans="1:10" s="13" customFormat="1" ht="26.25">
      <c r="A40" s="39" t="s">
        <v>48</v>
      </c>
      <c r="B40" s="23">
        <f>'LSU BOS'!B40+LSUBR!B40+LSUA!B40+LSUS!B40+UNO!B40+LSUE!B40+LSULAW!B40+LSUAG!B40+Penn!B40+EAConway!B40+HPLong!B40+HSCNO!B40+HSCS!B40</f>
        <v>0</v>
      </c>
      <c r="C40" s="23">
        <f>'LSU BOS'!C40+LSUBR!C40+LSUA!C40+LSUS!C40+UNO!C40+LSUE!C40+LSULAW!C40+LSUAG!C40+Penn!C40+EAConway!C40+HPLong!C40+HSCNO!C40+HSCS!C40</f>
        <v>0</v>
      </c>
      <c r="D40" s="23">
        <f>'LSU BOS'!D40+LSUBR!D40+LSUA!D40+LSUS!D40+UNO!D40+LSUE!D40+LSULAW!D40+LSUAG!D40+Penn!D40+EAConway!D40+HPLong!D40+HSCNO!D40+HSCS!D40</f>
        <v>0</v>
      </c>
      <c r="E40" s="26">
        <f t="shared" si="2"/>
        <v>0</v>
      </c>
      <c r="F40" s="24">
        <f t="shared" si="3"/>
        <v>0</v>
      </c>
    </row>
    <row r="41" spans="1:10" s="36" customFormat="1" ht="26.25">
      <c r="A41" s="31" t="s">
        <v>49</v>
      </c>
      <c r="B41" s="40">
        <f>SUM(B36:B40)</f>
        <v>0</v>
      </c>
      <c r="C41" s="40">
        <f>SUM(C36:C40)</f>
        <v>0</v>
      </c>
      <c r="D41" s="40">
        <f>SUM(D36:D40)</f>
        <v>0</v>
      </c>
      <c r="E41" s="40">
        <f t="shared" si="2"/>
        <v>0</v>
      </c>
      <c r="F41" s="35">
        <f t="shared" si="3"/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42">
        <f>'LSU BOS'!B43+LSUBR!B43+LSUA!B43+LSUS!B43+UNO!B43+LSUE!B43+LSULAW!B43+LSUAG!B43+Penn!B43+EAConway!B43+HPLong!B43+HSCNO!B43+HSCS!B43</f>
        <v>429733110.59000003</v>
      </c>
      <c r="C43" s="42">
        <f>'LSU BOS'!C43+LSUBR!C43+LSUA!C43+LSUS!C43+UNO!C43+LSUE!C43+LSULAW!C43+LSUAG!C43+Penn!C43+EAConway!C43+HPLong!C43+HSCNO!C43+HSCS!C43</f>
        <v>445264385</v>
      </c>
      <c r="D43" s="42">
        <f>'LSU BOS'!D43+LSUBR!D43+LSUA!D43+LSUS!D43+UNO!D43+LSUE!D43+LSULAW!D43+LSUAG!D43+Penn!D43+EAConway!D43+HPLong!D43+HSCNO!D43+HSCS!D43</f>
        <v>420023501</v>
      </c>
      <c r="E43" s="42">
        <f>D43-C43</f>
        <v>-25240884</v>
      </c>
      <c r="F43" s="35">
        <f>IF(ISBLANK(E43),"  ",IF(C43&gt;0,E43/C43,IF(E43&gt;0,1,0)))</f>
        <v>-5.6687408313602264E-2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f>'LSU BOS'!B45+LSUBR!B45+LSUA!B45+LSUS!B45+UNO!B45+LSUE!B45+LSULAW!B45+LSUAG!B45+Penn!B45+EAConway!B45+HPLong!B45+HSCNO!B45+HSCS!B45</f>
        <v>133140481</v>
      </c>
      <c r="C45" s="42">
        <f>'LSU BOS'!C45+LSUBR!C45+LSUA!C45+LSUS!C45+UNO!C45+LSUE!C45+LSULAW!C45+LSUAG!C45+Penn!C45+EAConway!C45+HPLong!C45+HSCNO!C45+HSCS!C45</f>
        <v>133140481</v>
      </c>
      <c r="D45" s="42">
        <f>'LSU BOS'!D45+LSUBR!D45+LSUA!D45+LSUS!D45+UNO!D45+LSUE!D45+LSULAW!D45+LSUAG!D45+Penn!D45+EAConway!D45+HPLong!D45+HSCNO!D45+HSCS!D45</f>
        <v>0</v>
      </c>
      <c r="E45" s="42">
        <f>D45-C45</f>
        <v>-133140481</v>
      </c>
      <c r="F45" s="35">
        <f>IF(ISBLANK(E45),"  ",IF(C45&gt;0,E45/C45,IF(E45&gt;0,1,0)))</f>
        <v>-1</v>
      </c>
    </row>
    <row r="46" spans="1:10" s="13" customFormat="1" ht="26.25">
      <c r="A46" s="29" t="s">
        <v>50</v>
      </c>
      <c r="B46" s="28"/>
      <c r="C46" s="34"/>
      <c r="D46" s="34"/>
      <c r="E46" s="28"/>
      <c r="F46" s="20"/>
    </row>
    <row r="47" spans="1:10" s="36" customFormat="1" ht="26.25">
      <c r="A47" s="31" t="s">
        <v>53</v>
      </c>
      <c r="B47" s="42">
        <f>'LSU BOS'!B47+LSUBR!B47+LSUA!B47+LSUS!B47+UNO!B47+LSUE!B47+LSULAW!B47+LSUAG!B47+Penn!B47+EAConway!B47+HPLong!B47+HSCNO!B47+HSCS!B47</f>
        <v>421802832.88</v>
      </c>
      <c r="C47" s="42">
        <f>'LSU BOS'!C47+LSUBR!C47+LSUA!C47+LSUS!C47+UNO!C47+LSUE!C47+LSULAW!C47+LSUAG!C47+Penn!C47+EAConway!C47+HPLong!C47+HSCNO!C47+HSCS!C47</f>
        <v>383382851</v>
      </c>
      <c r="D47" s="42">
        <f>'LSU BOS'!D47+LSUBR!D47+LSUA!D47+LSUS!D47+UNO!D47+LSUE!D47+LSULAW!D47+LSUAG!D47+Penn!D47+EAConway!D47+HPLong!D47+HSCNO!D47+HSCS!D47</f>
        <v>517252768</v>
      </c>
      <c r="E47" s="40">
        <f>D47-C47</f>
        <v>133869917</v>
      </c>
      <c r="F47" s="35">
        <f>IF(ISBLANK(E47),"  ",IF(C47&gt;0,E47/C47,IF(E47&gt;0,1,0)))</f>
        <v>0.34918076447816909</v>
      </c>
    </row>
    <row r="48" spans="1:10" s="13" customFormat="1" ht="26.25">
      <c r="A48" s="29" t="s">
        <v>50</v>
      </c>
      <c r="B48" s="28"/>
      <c r="C48" s="34"/>
      <c r="D48" s="34"/>
      <c r="E48" s="28"/>
      <c r="F48" s="20"/>
    </row>
    <row r="49" spans="1:13" s="36" customFormat="1" ht="26.25">
      <c r="A49" s="43" t="s">
        <v>54</v>
      </c>
      <c r="B49" s="42">
        <f>'LSU BOS'!B49+LSUBR!B49+LSUA!B49+LSUS!B49+UNO!B49+LSUE!B49+LSULAW!B49+LSUAG!B49+Penn!B49+EAConway!B49+HPLong!B49+HSCNO!B49+HSCS!B49</f>
        <v>80959515.799999997</v>
      </c>
      <c r="C49" s="42">
        <f>'LSU BOS'!C49+LSUBR!C49+LSUA!C49+LSUS!C49+UNO!C49+LSUE!C49+LSULAW!C49+LSUAG!C49+Penn!C49+EAConway!C49+HPLong!C49+HSCNO!C49+HSCS!C49</f>
        <v>83583141</v>
      </c>
      <c r="D49" s="42">
        <f>'LSU BOS'!D49+LSUBR!D49+LSUA!D49+LSUS!D49+UNO!D49+LSUE!D49+LSULAW!D49+LSUAG!D49+Penn!D49+EAConway!D49+HPLong!D49+HSCNO!D49+HSCS!D49</f>
        <v>83583141</v>
      </c>
      <c r="E49" s="44">
        <f>D49-C49</f>
        <v>0</v>
      </c>
      <c r="F49" s="35">
        <f>IF(ISBLANK(E49),"  ",IF(C49&gt;0,E49/C49,IF(E49&gt;0,1,0)))</f>
        <v>0</v>
      </c>
      <c r="M49" s="36" t="s">
        <v>50</v>
      </c>
    </row>
    <row r="50" spans="1:13" s="13" customFormat="1" ht="26.25">
      <c r="A50" s="31"/>
      <c r="B50" s="19"/>
      <c r="C50" s="40"/>
      <c r="D50" s="40"/>
      <c r="E50" s="19"/>
      <c r="F50" s="45"/>
    </row>
    <row r="51" spans="1:13" s="36" customFormat="1" ht="26.25">
      <c r="A51" s="31" t="s">
        <v>55</v>
      </c>
      <c r="B51" s="42">
        <f>'LSU BOS'!B51+LSUBR!B51+LSUA!B51+LSUS!B51+UNO!B51+LSUE!B51+LSULAW!B51+LSUAG!B51+Penn!B51+EAConway!B51+HPLong!B51+HSCNO!B51+HSCS!B51</f>
        <v>0</v>
      </c>
      <c r="C51" s="42">
        <f>'LSU BOS'!C51+LSUBR!C51+LSUA!C51+LSUS!C51+UNO!C51+LSUE!C51+LSULAW!C51+LSUAG!C51+Penn!C51+EAConway!C51+HPLong!C51+HSCNO!C51+HSCS!C51</f>
        <v>0</v>
      </c>
      <c r="D51" s="42">
        <f>'LSU BOS'!D51+LSUBR!D51+LSUA!D51+LSUS!D51+UNO!D51+LSUE!D51+LSULAW!D51+LSUAG!D51+Penn!D51+EAConway!D51+HPLong!D51+HSCNO!D51+HSCS!D51</f>
        <v>0</v>
      </c>
      <c r="E51" s="44">
        <f>D51-C51</f>
        <v>0</v>
      </c>
      <c r="F51" s="35">
        <f>IF(ISBLANK(E51),"  ",IF(C51&gt;0,E51/C51,IF(E51&gt;0,1,0)))</f>
        <v>0</v>
      </c>
    </row>
    <row r="52" spans="1:13" s="13" customFormat="1" ht="26.25">
      <c r="A52" s="29"/>
      <c r="B52" s="28"/>
      <c r="C52" s="34"/>
      <c r="D52" s="34"/>
      <c r="E52" s="28"/>
      <c r="F52" s="20"/>
    </row>
    <row r="53" spans="1:13" s="36" customFormat="1" ht="26.25">
      <c r="A53" s="46" t="s">
        <v>56</v>
      </c>
      <c r="B53" s="40">
        <f>B49+B47+B45+B43+B34-B41</f>
        <v>1575674588.0300002</v>
      </c>
      <c r="C53" s="40">
        <f>C49+C47+C45+C43+C34-C41</f>
        <v>1556016556</v>
      </c>
      <c r="D53" s="42">
        <f>D49+D47+D45+D43+D34-D41</f>
        <v>1539064822</v>
      </c>
      <c r="E53" s="40">
        <f>D53-C53</f>
        <v>-16951734</v>
      </c>
      <c r="F53" s="35">
        <f>IF(ISBLANK(E53),"  ",IF(C53&gt;0,E53/C53,IF(E53&gt;0,1,0)))</f>
        <v>-1.0894314674631264E-2</v>
      </c>
    </row>
    <row r="54" spans="1:13" s="13" customFormat="1" ht="26.25">
      <c r="A54" s="47"/>
      <c r="B54" s="28"/>
      <c r="C54" s="34"/>
      <c r="D54" s="34"/>
      <c r="E54" s="28"/>
      <c r="F54" s="20" t="s">
        <v>50</v>
      </c>
    </row>
    <row r="55" spans="1:13" s="13" customFormat="1" ht="26.25">
      <c r="A55" s="48"/>
      <c r="B55" s="19"/>
      <c r="C55" s="40"/>
      <c r="D55" s="40"/>
      <c r="E55" s="19"/>
      <c r="F55" s="21" t="s">
        <v>50</v>
      </c>
    </row>
    <row r="56" spans="1:13" s="13" customFormat="1" ht="26.25">
      <c r="A56" s="46" t="s">
        <v>57</v>
      </c>
      <c r="B56" s="19"/>
      <c r="C56" s="40"/>
      <c r="D56" s="40"/>
      <c r="E56" s="19"/>
      <c r="F56" s="21"/>
    </row>
    <row r="57" spans="1:13" s="13" customFormat="1" ht="26.25">
      <c r="A57" s="27" t="s">
        <v>58</v>
      </c>
      <c r="B57" s="23">
        <f>'LSU BOS'!B57+LSUBR!B57+LSUA!B57+LSUS!B57+UNO!B57+LSUE!B57+LSULAW!B57+LSUAG!B57+Penn!B57+EAConway!B57+HPLong!B57+HSCNO!B57+HSCS!B57</f>
        <v>397556123.05000001</v>
      </c>
      <c r="C57" s="23">
        <f>'LSU BOS'!C57+LSUBR!C57+LSUA!C57+LSUS!C57+UNO!C57+LSUE!C57+LSULAW!C57+LSUAG!C57+Penn!C57+EAConway!C57+HPLong!C57+HSCNO!C57+HSCS!C57</f>
        <v>414235520</v>
      </c>
      <c r="D57" s="23">
        <f>'LSU BOS'!D57+LSUBR!D57+LSUA!D57+LSUS!D57+UNO!D57+LSUE!D57+LSULAW!D57+LSUAG!D57+Penn!D57+EAConway!D57+HPLong!D57+HSCNO!D57+HSCS!D57</f>
        <v>406557615.04000002</v>
      </c>
      <c r="E57" s="19">
        <f t="shared" ref="E57:E70" si="4">D57-C57</f>
        <v>-7677904.9599999785</v>
      </c>
      <c r="F57" s="24">
        <f t="shared" ref="F57:F70" si="5">IF(ISBLANK(E57),"  ",IF(C57&gt;0,E57/C57,IF(E57&gt;0,1,0)))</f>
        <v>-1.8535119730920174E-2</v>
      </c>
    </row>
    <row r="58" spans="1:13" s="13" customFormat="1" ht="26.25">
      <c r="A58" s="29" t="s">
        <v>59</v>
      </c>
      <c r="B58" s="23">
        <f>'LSU BOS'!B58+LSUBR!B58+LSUA!B58+LSUS!B58+UNO!B58+LSUE!B58+LSULAW!B58+LSUAG!B58+Penn!B58+EAConway!B58+HPLong!B58+HSCNO!B58+HSCS!B58</f>
        <v>140454963.69999999</v>
      </c>
      <c r="C58" s="23">
        <f>'LSU BOS'!C58+LSUBR!C58+LSUA!C58+LSUS!C58+UNO!C58+LSUE!C58+LSULAW!C58+LSUAG!C58+Penn!C58+EAConway!C58+HPLong!C58+HSCNO!C58+HSCS!C58</f>
        <v>137503021.03999999</v>
      </c>
      <c r="D58" s="23">
        <f>'LSU BOS'!D58+LSUBR!D58+LSUA!D58+LSUS!D58+UNO!D58+LSUE!D58+LSULAW!D58+LSUAG!D58+Penn!D58+EAConway!D58+HPLong!D58+HSCNO!D58+HSCS!D58</f>
        <v>138905026.06999999</v>
      </c>
      <c r="E58" s="28">
        <f t="shared" si="4"/>
        <v>1402005.0300000012</v>
      </c>
      <c r="F58" s="24">
        <f t="shared" si="5"/>
        <v>1.019617619595539E-2</v>
      </c>
    </row>
    <row r="59" spans="1:13" s="13" customFormat="1" ht="26.25">
      <c r="A59" s="29" t="s">
        <v>60</v>
      </c>
      <c r="B59" s="23">
        <f>'LSU BOS'!B59+LSUBR!B59+LSUA!B59+LSUS!B59+UNO!B59+LSUE!B59+LSULAW!B59+LSUAG!B59+Penn!B59+EAConway!B59+HPLong!B59+HSCNO!B59+HSCS!B59</f>
        <v>51887754.350000001</v>
      </c>
      <c r="C59" s="23">
        <f>'LSU BOS'!C59+LSUBR!C59+LSUA!C59+LSUS!C59+UNO!C59+LSUE!C59+LSULAW!C59+LSUAG!C59+Penn!C59+EAConway!C59+HPLong!C59+HSCNO!C59+HSCS!C59</f>
        <v>52999834</v>
      </c>
      <c r="D59" s="23">
        <f>'LSU BOS'!D59+LSUBR!D59+LSUA!D59+LSUS!D59+UNO!D59+LSUE!D59+LSULAW!D59+LSUAG!D59+Penn!D59+EAConway!D59+HPLong!D59+HSCNO!D59+HSCS!D59</f>
        <v>54195345</v>
      </c>
      <c r="E59" s="28">
        <f t="shared" si="4"/>
        <v>1195511</v>
      </c>
      <c r="F59" s="24">
        <f t="shared" si="5"/>
        <v>2.2556881970611457E-2</v>
      </c>
    </row>
    <row r="60" spans="1:13" s="13" customFormat="1" ht="26.25">
      <c r="A60" s="29" t="s">
        <v>61</v>
      </c>
      <c r="B60" s="23">
        <f>'LSU BOS'!B60+LSUBR!B60+LSUA!B60+LSUS!B60+UNO!B60+LSUE!B60+LSULAW!B60+LSUAG!B60+Penn!B60+EAConway!B60+HPLong!B60+HSCNO!B60+HSCS!B60</f>
        <v>107342610.69</v>
      </c>
      <c r="C60" s="23">
        <f>'LSU BOS'!C60+LSUBR!C60+LSUA!C60+LSUS!C60+UNO!C60+LSUE!C60+LSULAW!C60+LSUAG!C60+Penn!C60+EAConway!C60+HPLong!C60+HSCNO!C60+HSCS!C60</f>
        <v>103245612.45999999</v>
      </c>
      <c r="D60" s="23">
        <f>'LSU BOS'!D60+LSUBR!D60+LSUA!D60+LSUS!D60+UNO!D60+LSUE!D60+LSULAW!D60+LSUAG!D60+Penn!D60+EAConway!D60+HPLong!D60+HSCNO!D60+HSCS!D60</f>
        <v>100874290.48999999</v>
      </c>
      <c r="E60" s="28">
        <f t="shared" si="4"/>
        <v>-2371321.9699999988</v>
      </c>
      <c r="F60" s="24">
        <f t="shared" si="5"/>
        <v>-2.2967774741214402E-2</v>
      </c>
    </row>
    <row r="61" spans="1:13" s="13" customFormat="1" ht="26.25">
      <c r="A61" s="29" t="s">
        <v>62</v>
      </c>
      <c r="B61" s="23">
        <f>'LSU BOS'!B61+LSUBR!B61+LSUA!B61+LSUS!B61+UNO!B61+LSUE!B61+LSULAW!B61+LSUAG!B61+Penn!B61+EAConway!B61+HPLong!B61+HSCNO!B61+HSCS!B61</f>
        <v>30218400.91</v>
      </c>
      <c r="C61" s="23">
        <f>'LSU BOS'!C61+LSUBR!C61+LSUA!C61+LSUS!C61+UNO!C61+LSUE!C61+LSULAW!C61+LSUAG!C61+Penn!C61+EAConway!C61+HPLong!C61+HSCNO!C61+HSCS!C61</f>
        <v>28268107.280000001</v>
      </c>
      <c r="D61" s="23">
        <f>'LSU BOS'!D61+LSUBR!D61+LSUA!D61+LSUS!D61+UNO!D61+LSUE!D61+LSULAW!D61+LSUAG!D61+Penn!D61+EAConway!D61+HPLong!D61+HSCNO!D61+HSCS!D61</f>
        <v>28816826.370000001</v>
      </c>
      <c r="E61" s="28">
        <f t="shared" si="4"/>
        <v>548719.08999999985</v>
      </c>
      <c r="F61" s="24">
        <f t="shared" si="5"/>
        <v>1.941124266173366E-2</v>
      </c>
    </row>
    <row r="62" spans="1:13" s="13" customFormat="1" ht="26.25">
      <c r="A62" s="29" t="s">
        <v>63</v>
      </c>
      <c r="B62" s="23">
        <f>'LSU BOS'!B62+LSUBR!B62+LSUA!B62+LSUS!B62+UNO!B62+LSUE!B62+LSULAW!B62+LSUAG!B62+Penn!B62+EAConway!B62+HPLong!B62+HSCNO!B62+HSCS!B62</f>
        <v>108905719.81999999</v>
      </c>
      <c r="C62" s="23">
        <f>'LSU BOS'!C62+LSUBR!C62+LSUA!C62+LSUS!C62+UNO!C62+LSUE!C62+LSULAW!C62+LSUAG!C62+Penn!C62+EAConway!C62+HPLong!C62+HSCNO!C62+HSCS!C62</f>
        <v>107146274.97999999</v>
      </c>
      <c r="D62" s="23">
        <f>'LSU BOS'!D62+LSUBR!D62+LSUA!D62+LSUS!D62+UNO!D62+LSUE!D62+LSULAW!D62+LSUAG!D62+Penn!D62+EAConway!D62+HPLong!D62+HSCNO!D62+HSCS!D62</f>
        <v>108752747.72</v>
      </c>
      <c r="E62" s="28">
        <f t="shared" si="4"/>
        <v>1606472.7400000095</v>
      </c>
      <c r="F62" s="24">
        <f t="shared" si="5"/>
        <v>1.4993267290905587E-2</v>
      </c>
    </row>
    <row r="63" spans="1:13" s="13" customFormat="1" ht="26.25">
      <c r="A63" s="29" t="s">
        <v>64</v>
      </c>
      <c r="B63" s="23">
        <f>'LSU BOS'!B63+LSUBR!B63+LSUA!B63+LSUS!B63+UNO!B63+LSUE!B63+LSULAW!B63+LSUAG!B63+Penn!B63+EAConway!B63+HPLong!B63+HSCNO!B63+HSCS!B63</f>
        <v>71063720.780000001</v>
      </c>
      <c r="C63" s="23">
        <f>'LSU BOS'!C63+LSUBR!C63+LSUA!C63+LSUS!C63+UNO!C63+LSUE!C63+LSULAW!C63+LSUAG!C63+Penn!C63+EAConway!C63+HPLong!C63+HSCNO!C63+HSCS!C63</f>
        <v>74298737</v>
      </c>
      <c r="D63" s="23">
        <f>'LSU BOS'!D63+LSUBR!D63+LSUA!D63+LSUS!D63+UNO!D63+LSUE!D63+LSULAW!D63+LSUAG!D63+Penn!D63+EAConway!D63+HPLong!D63+HSCNO!D63+HSCS!D63</f>
        <v>82533698.340000004</v>
      </c>
      <c r="E63" s="28">
        <f t="shared" si="4"/>
        <v>8234961.3400000036</v>
      </c>
      <c r="F63" s="24">
        <f t="shared" si="5"/>
        <v>0.11083581864924573</v>
      </c>
    </row>
    <row r="64" spans="1:13" s="13" customFormat="1" ht="26.25">
      <c r="A64" s="29" t="s">
        <v>65</v>
      </c>
      <c r="B64" s="23">
        <f>'LSU BOS'!B64+LSUBR!B64+LSUA!B64+LSUS!B64+UNO!B64+LSUE!B64+LSULAW!B64+LSUAG!B64+Penn!B64+EAConway!B64+HPLong!B64+HSCNO!B64+HSCS!B64</f>
        <v>121106968.36999999</v>
      </c>
      <c r="C64" s="23">
        <f>'LSU BOS'!C64+LSUBR!C64+LSUA!C64+LSUS!C64+UNO!C64+LSUE!C64+LSULAW!C64+LSUAG!C64+Penn!C64+EAConway!C64+HPLong!C64+HSCNO!C64+HSCS!C64</f>
        <v>115882055.26000001</v>
      </c>
      <c r="D64" s="23">
        <f>'LSU BOS'!D64+LSUBR!D64+LSUA!D64+LSUS!D64+UNO!D64+LSUE!D64+LSULAW!D64+LSUAG!D64+Penn!D64+EAConway!D64+HPLong!D64+HSCNO!D64+HSCS!D64</f>
        <v>115895000.28</v>
      </c>
      <c r="E64" s="28">
        <f t="shared" si="4"/>
        <v>12945.019999995828</v>
      </c>
      <c r="F64" s="24">
        <f t="shared" si="5"/>
        <v>1.117085813757065E-4</v>
      </c>
    </row>
    <row r="65" spans="1:6" s="36" customFormat="1" ht="26.25">
      <c r="A65" s="49" t="s">
        <v>66</v>
      </c>
      <c r="B65" s="264">
        <f>SUM(B57:B64)</f>
        <v>1028536261.67</v>
      </c>
      <c r="C65" s="51">
        <f>SUM(C57:C64)</f>
        <v>1033579162.02</v>
      </c>
      <c r="D65" s="51">
        <f>SUM(D57:D64)</f>
        <v>1036530549.3100001</v>
      </c>
      <c r="E65" s="34">
        <f t="shared" si="4"/>
        <v>2951387.2900000811</v>
      </c>
      <c r="F65" s="35">
        <f t="shared" si="5"/>
        <v>2.8555019281077294E-3</v>
      </c>
    </row>
    <row r="66" spans="1:6" s="13" customFormat="1" ht="26.25">
      <c r="A66" s="29" t="s">
        <v>67</v>
      </c>
      <c r="B66" s="23">
        <f>'LSU BOS'!B66+LSUBR!B66+LSUA!B66+LSUS!B66+UNO!B66+LSUE!B66+LSULAW!B66+LSUAG!B66+Penn!B66+EAConway!B66+HPLong!B66+HSCNO!B66+HSCS!B66</f>
        <v>500499289.78999996</v>
      </c>
      <c r="C66" s="23">
        <f>'LSU BOS'!C66+LSUBR!C66+LSUA!C66+LSUS!C66+UNO!C66+LSUE!C66+LSULAW!C66+LSUAG!C66+Penn!C66+EAConway!C66+HPLong!C66+HSCNO!C66+HSCS!C66</f>
        <v>518202057</v>
      </c>
      <c r="D66" s="23">
        <f>'LSU BOS'!D66+LSUBR!D66+LSUA!D66+LSUS!D66+UNO!D66+LSUE!D66+LSULAW!D66+LSUAG!D66+Penn!D66+EAConway!D66+HPLong!D66+HSCNO!D66+HSCS!D66</f>
        <v>501614134</v>
      </c>
      <c r="E66" s="28">
        <f t="shared" si="4"/>
        <v>-16587923</v>
      </c>
      <c r="F66" s="24">
        <f t="shared" si="5"/>
        <v>-3.2010530980968295E-2</v>
      </c>
    </row>
    <row r="67" spans="1:6" s="13" customFormat="1" ht="26.25">
      <c r="A67" s="29" t="s">
        <v>68</v>
      </c>
      <c r="B67" s="23">
        <f>'LSU BOS'!B67+LSUBR!B67+LSUA!B67+LSUS!B67+UNO!B67+LSUE!B67+LSULAW!B67+LSUAG!B67+Penn!B67+EAConway!B67+HPLong!B67+HSCNO!B67+HSCS!B67</f>
        <v>2751002.22</v>
      </c>
      <c r="C67" s="23">
        <f>'LSU BOS'!C67+LSUBR!C67+LSUA!C67+LSUS!C67+UNO!C67+LSUE!C67+LSULAW!C67+LSUAG!C67+Penn!C67+EAConway!C67+HPLong!C67+HSCNO!C67+HSCS!C67</f>
        <v>951136</v>
      </c>
      <c r="D67" s="23">
        <f>'LSU BOS'!D67+LSUBR!D67+LSUA!D67+LSUS!D67+UNO!D67+LSUE!D67+LSULAW!D67+LSUAG!D67+Penn!D67+EAConway!D67+HPLong!D67+HSCNO!D67+HSCS!D67</f>
        <v>905139</v>
      </c>
      <c r="E67" s="28">
        <f t="shared" si="4"/>
        <v>-45997</v>
      </c>
      <c r="F67" s="24">
        <f t="shared" si="5"/>
        <v>-4.8360066278639438E-2</v>
      </c>
    </row>
    <row r="68" spans="1:6" s="13" customFormat="1" ht="26.25">
      <c r="A68" s="29" t="s">
        <v>69</v>
      </c>
      <c r="B68" s="23">
        <f>'LSU BOS'!B68+LSUBR!B68+LSUA!B68+LSUS!B68+UNO!B68+LSUE!B68+LSULAW!B68+LSUAG!B68+Penn!B68+EAConway!B68+HPLong!B68+HSCNO!B68+HSCS!B68</f>
        <v>0</v>
      </c>
      <c r="C68" s="23">
        <f>'LSU BOS'!C68+LSUBR!C68+LSUA!C68+LSUS!C68+UNO!C68+LSUE!C68+LSULAW!C68+LSUAG!C68+Penn!C68+EAConway!C68+HPLong!C68+HSCNO!C68+HSCS!C68</f>
        <v>0</v>
      </c>
      <c r="D68" s="23">
        <f>'LSU BOS'!D68+LSUBR!D68+LSUA!D68+LSUS!D68+UNO!D68+LSUE!D68+LSULAW!D68+LSUAG!D68+Penn!D68+EAConway!D68+HPLong!D68+HSCNO!D68+HSCS!D68</f>
        <v>0</v>
      </c>
      <c r="E68" s="28">
        <f t="shared" si="4"/>
        <v>0</v>
      </c>
      <c r="F68" s="24">
        <f t="shared" si="5"/>
        <v>0</v>
      </c>
    </row>
    <row r="69" spans="1:6" s="13" customFormat="1" ht="26.25">
      <c r="A69" s="29" t="s">
        <v>70</v>
      </c>
      <c r="B69" s="23">
        <f>'LSU BOS'!B69+LSUBR!B69+LSUA!B69+LSUS!B69+UNO!B69+LSUE!B69+LSULAW!B69+LSUAG!B69+Penn!B69+EAConway!B69+HPLong!B69+HSCNO!B69+HSCS!B69</f>
        <v>1630077</v>
      </c>
      <c r="C69" s="23">
        <f>'LSU BOS'!C69+LSUBR!C69+LSUA!C69+LSUS!C69+UNO!C69+LSUE!C69+LSULAW!C69+LSUAG!C69+Penn!C69+EAConway!C69+HPLong!C69+HSCNO!C69+HSCS!C69</f>
        <v>3284201</v>
      </c>
      <c r="D69" s="23">
        <f>'LSU BOS'!D69+LSUBR!D69+LSUA!D69+LSUS!D69+UNO!D69+LSUE!D69+LSULAW!D69+LSUAG!D69+Penn!D69+EAConway!D69+HPLong!D69+HSCNO!D69+HSCS!D69</f>
        <v>15000</v>
      </c>
      <c r="E69" s="28">
        <f t="shared" si="4"/>
        <v>-3269201</v>
      </c>
      <c r="F69" s="24">
        <f t="shared" si="5"/>
        <v>-0.99543267905953381</v>
      </c>
    </row>
    <row r="70" spans="1:6" s="36" customFormat="1" ht="26.25">
      <c r="A70" s="50" t="s">
        <v>71</v>
      </c>
      <c r="B70" s="51">
        <f>B69+B68+B67+B66+B65</f>
        <v>1533416630.6799998</v>
      </c>
      <c r="C70" s="51">
        <f>C69+C68+C67+C66+C65</f>
        <v>1556016556.02</v>
      </c>
      <c r="D70" s="51">
        <f>D69+D68+D67+D66+D65</f>
        <v>1539064822.3099999</v>
      </c>
      <c r="E70" s="51">
        <f t="shared" si="4"/>
        <v>-16951733.710000038</v>
      </c>
      <c r="F70" s="35">
        <f t="shared" si="5"/>
        <v>-1.0894314488117922E-2</v>
      </c>
    </row>
    <row r="71" spans="1:6" s="13" customFormat="1" ht="26.25">
      <c r="A71" s="48"/>
      <c r="B71" s="19"/>
      <c r="C71" s="40"/>
      <c r="D71" s="40"/>
      <c r="E71" s="19"/>
      <c r="F71" s="21"/>
    </row>
    <row r="72" spans="1:6" s="13" customFormat="1" ht="26.25">
      <c r="A72" s="46" t="s">
        <v>72</v>
      </c>
      <c r="B72" s="19"/>
      <c r="C72" s="40"/>
      <c r="D72" s="40"/>
      <c r="E72" s="19"/>
      <c r="F72" s="21"/>
    </row>
    <row r="73" spans="1:6" s="13" customFormat="1" ht="26.25">
      <c r="A73" s="27" t="s">
        <v>73</v>
      </c>
      <c r="B73" s="23">
        <f>'LSU BOS'!B73+LSUBR!B73+LSUA!B73+LSUS!B73+UNO!B73+LSUE!B73+LSULAW!B73+LSUAG!B73+Penn!B73+EAConway!B73+HPLong!B73+HSCNO!B73+HSCS!B73</f>
        <v>731389373.77999997</v>
      </c>
      <c r="C73" s="23">
        <f>'LSU BOS'!C73+LSUBR!C73+LSUA!C73+LSUS!C73+UNO!C73+LSUE!C73+LSULAW!C73+LSUAG!C73+Penn!C73+EAConway!C73+HPLong!C73+HSCNO!C73+HSCS!C73</f>
        <v>740444602</v>
      </c>
      <c r="D73" s="23">
        <f>'LSU BOS'!D73+LSUBR!D73+LSUA!D73+LSUS!D73+UNO!D73+LSUE!D73+LSULAW!D73+LSUAG!D73+Penn!D73+EAConway!D73+HPLong!D73+HSCNO!D73+HSCS!D73</f>
        <v>723990297</v>
      </c>
      <c r="E73" s="19">
        <f t="shared" ref="E73:E91" si="6">D73-C73</f>
        <v>-16454305</v>
      </c>
      <c r="F73" s="24">
        <f t="shared" ref="F73:F91" si="7">IF(ISBLANK(E73),"  ",IF(C73&gt;0,E73/C73,IF(E73&gt;0,1,0)))</f>
        <v>-2.2222195901699611E-2</v>
      </c>
    </row>
    <row r="74" spans="1:6" s="13" customFormat="1" ht="26.25">
      <c r="A74" s="29" t="s">
        <v>74</v>
      </c>
      <c r="B74" s="23">
        <f>'LSU BOS'!B74+LSUBR!B74+LSUA!B74+LSUS!B74+UNO!B74+LSUE!B74+LSULAW!B74+LSUAG!B74+Penn!B74+EAConway!B74+HPLong!B74+HSCNO!B74+HSCS!B74</f>
        <v>64995135.290000007</v>
      </c>
      <c r="C74" s="23">
        <f>'LSU BOS'!C74+LSUBR!C74+LSUA!C74+LSUS!C74+UNO!C74+LSUE!C74+LSULAW!C74+LSUAG!C74+Penn!C74+EAConway!C74+HPLong!C74+HSCNO!C74+HSCS!C74</f>
        <v>65233266</v>
      </c>
      <c r="D74" s="23">
        <f>'LSU BOS'!D74+LSUBR!D74+LSUA!D74+LSUS!D74+UNO!D74+LSUE!D74+LSULAW!D74+LSUAG!D74+Penn!D74+EAConway!D74+HPLong!D74+HSCNO!D74+HSCS!D74</f>
        <v>61010776</v>
      </c>
      <c r="E74" s="28">
        <f t="shared" si="6"/>
        <v>-4222490</v>
      </c>
      <c r="F74" s="24">
        <f t="shared" si="7"/>
        <v>-6.4729090829209746E-2</v>
      </c>
    </row>
    <row r="75" spans="1:6" s="13" customFormat="1" ht="26.25">
      <c r="A75" s="29" t="s">
        <v>75</v>
      </c>
      <c r="B75" s="23">
        <f>'LSU BOS'!B75+LSUBR!B75+LSUA!B75+LSUS!B75+UNO!B75+LSUE!B75+LSULAW!B75+LSUAG!B75+Penn!B75+EAConway!B75+HPLong!B75+HSCNO!B75+HSCS!B75</f>
        <v>235838166.23000002</v>
      </c>
      <c r="C75" s="23">
        <f>'LSU BOS'!C75+LSUBR!C75+LSUA!C75+LSUS!C75+UNO!C75+LSUE!C75+LSULAW!C75+LSUAG!C75+Penn!C75+EAConway!C75+HPLong!C75+HSCNO!C75+HSCS!C75</f>
        <v>239651189.01999998</v>
      </c>
      <c r="D75" s="23">
        <f>'LSU BOS'!D75+LSUBR!D75+LSUA!D75+LSUS!D75+UNO!D75+LSUE!D75+LSULAW!D75+LSUAG!D75+Penn!D75+EAConway!D75+HPLong!D75+HSCNO!D75+HSCS!D75</f>
        <v>255903495.97</v>
      </c>
      <c r="E75" s="28">
        <f t="shared" si="6"/>
        <v>16252306.950000018</v>
      </c>
      <c r="F75" s="24">
        <f t="shared" si="7"/>
        <v>6.781650872027882E-2</v>
      </c>
    </row>
    <row r="76" spans="1:6" s="36" customFormat="1" ht="26.25">
      <c r="A76" s="49" t="s">
        <v>76</v>
      </c>
      <c r="B76" s="51">
        <f>SUM(B73:B75)</f>
        <v>1032222675.3</v>
      </c>
      <c r="C76" s="51">
        <f>SUM(C73:C75)</f>
        <v>1045329057.02</v>
      </c>
      <c r="D76" s="51">
        <f>SUM(D73:D75)</f>
        <v>1040904568.97</v>
      </c>
      <c r="E76" s="34">
        <f t="shared" si="6"/>
        <v>-4424488.0499999523</v>
      </c>
      <c r="F76" s="35">
        <f t="shared" si="7"/>
        <v>-4.2326270567979631E-3</v>
      </c>
    </row>
    <row r="77" spans="1:6" s="13" customFormat="1" ht="26.25">
      <c r="A77" s="29" t="s">
        <v>77</v>
      </c>
      <c r="B77" s="23">
        <f>'LSU BOS'!B77+LSUBR!B77+LSUA!B77+LSUS!B77+UNO!B77+LSUE!B77+LSULAW!B77+LSUAG!B77+Penn!B77+EAConway!B77+HPLong!B77+HSCNO!B77+HSCS!B77</f>
        <v>5482331.8699999992</v>
      </c>
      <c r="C77" s="23">
        <f>'LSU BOS'!C77+LSUBR!C77+LSUA!C77+LSUS!C77+UNO!C77+LSUE!C77+LSULAW!C77+LSUAG!C77+Penn!C77+EAConway!C77+HPLong!C77+HSCNO!C77+HSCS!C77</f>
        <v>5411087</v>
      </c>
      <c r="D77" s="23">
        <f>'LSU BOS'!D77+LSUBR!D77+LSUA!D77+LSUS!D77+UNO!D77+LSUE!D77+LSULAW!D77+LSUAG!D77+Penn!D77+EAConway!D77+HPLong!D77+HSCNO!D77+HSCS!D77</f>
        <v>6056588</v>
      </c>
      <c r="E77" s="28">
        <f t="shared" si="6"/>
        <v>645501</v>
      </c>
      <c r="F77" s="24">
        <f t="shared" si="7"/>
        <v>0.11929229746259855</v>
      </c>
    </row>
    <row r="78" spans="1:6" s="13" customFormat="1" ht="26.25">
      <c r="A78" s="29" t="s">
        <v>78</v>
      </c>
      <c r="B78" s="23">
        <f>'LSU BOS'!B78+LSUBR!B78+LSUA!B78+LSUS!B78+UNO!B78+LSUE!B78+LSULAW!B78+LSUAG!B78+Penn!B78+EAConway!B78+HPLong!B78+HSCNO!B78+HSCS!B78</f>
        <v>112047205.64999999</v>
      </c>
      <c r="C78" s="23">
        <f>'LSU BOS'!C78+LSUBR!C78+LSUA!C78+LSUS!C78+UNO!C78+LSUE!C78+LSULAW!C78+LSUAG!C78+Penn!C78+EAConway!C78+HPLong!C78+HSCNO!C78+HSCS!C78</f>
        <v>120903451</v>
      </c>
      <c r="D78" s="23">
        <f>'LSU BOS'!D78+LSUBR!D78+LSUA!D78+LSUS!D78+UNO!D78+LSUE!D78+LSULAW!D78+LSUAG!D78+Penn!D78+EAConway!D78+HPLong!D78+HSCNO!D78+HSCS!D78</f>
        <v>114305132</v>
      </c>
      <c r="E78" s="28">
        <f t="shared" si="6"/>
        <v>-6598319</v>
      </c>
      <c r="F78" s="24">
        <f t="shared" si="7"/>
        <v>-5.4575108861036566E-2</v>
      </c>
    </row>
    <row r="79" spans="1:6" s="13" customFormat="1" ht="26.25">
      <c r="A79" s="29" t="s">
        <v>79</v>
      </c>
      <c r="B79" s="23">
        <f>'LSU BOS'!B79+LSUBR!B79+LSUA!B79+LSUS!B79+UNO!B79+LSUE!B79+LSULAW!B79+LSUAG!B79+Penn!B79+EAConway!B79+HPLong!B79+HSCNO!B79+HSCS!B79</f>
        <v>133302866.34999999</v>
      </c>
      <c r="C79" s="23">
        <f>'LSU BOS'!C79+LSUBR!C79+LSUA!C79+LSUS!C79+UNO!C79+LSUE!C79+LSULAW!C79+LSUAG!C79+Penn!C79+EAConway!C79+HPLong!C79+HSCNO!C79+HSCS!C79</f>
        <v>129630217</v>
      </c>
      <c r="D79" s="23">
        <f>'LSU BOS'!D79+LSUBR!D79+LSUA!D79+LSUS!D79+UNO!D79+LSUE!D79+LSULAW!D79+LSUAG!D79+Penn!D79+EAConway!D79+HPLong!D79+HSCNO!D79+HSCS!D79</f>
        <v>128691203</v>
      </c>
      <c r="E79" s="28">
        <f t="shared" si="6"/>
        <v>-939014</v>
      </c>
      <c r="F79" s="24">
        <f t="shared" si="7"/>
        <v>-7.2437894630694019E-3</v>
      </c>
    </row>
    <row r="80" spans="1:6" s="36" customFormat="1" ht="26.25">
      <c r="A80" s="32" t="s">
        <v>80</v>
      </c>
      <c r="B80" s="51">
        <f>SUM(B77:B79)</f>
        <v>250832403.87</v>
      </c>
      <c r="C80" s="51">
        <f>SUM(C77:C79)</f>
        <v>255944755</v>
      </c>
      <c r="D80" s="51">
        <f>SUM(D77:D79)</f>
        <v>249052923</v>
      </c>
      <c r="E80" s="34">
        <f t="shared" si="6"/>
        <v>-6891832</v>
      </c>
      <c r="F80" s="35">
        <f t="shared" si="7"/>
        <v>-2.6927029624029607E-2</v>
      </c>
    </row>
    <row r="81" spans="1:6" s="13" customFormat="1" ht="26.25">
      <c r="A81" s="29" t="s">
        <v>81</v>
      </c>
      <c r="B81" s="23">
        <f>'LSU BOS'!B81+LSUBR!B81+LSUA!B81+LSUS!B81+UNO!B81+LSUE!B81+LSULAW!B81+LSUAG!B81+Penn!B81+EAConway!B81+HPLong!B81+HSCNO!B81+HSCS!B81</f>
        <v>21657322.940000001</v>
      </c>
      <c r="C81" s="23">
        <f>'LSU BOS'!C81+LSUBR!C81+LSUA!C81+LSUS!C81+UNO!C81+LSUE!C81+LSULAW!C81+LSUAG!C81+Penn!C81+EAConway!C81+HPLong!C81+HSCNO!C81+HSCS!C81</f>
        <v>25237043</v>
      </c>
      <c r="D81" s="23">
        <f>'LSU BOS'!D81+LSUBR!D81+LSUA!D81+LSUS!D81+UNO!D81+LSUE!D81+LSULAW!D81+LSUAG!D81+Penn!D81+EAConway!D81+HPLong!D81+HSCNO!D81+HSCS!D81</f>
        <v>19206596</v>
      </c>
      <c r="E81" s="28">
        <f t="shared" si="6"/>
        <v>-6030447</v>
      </c>
      <c r="F81" s="24">
        <f t="shared" si="7"/>
        <v>-0.23895220212605731</v>
      </c>
    </row>
    <row r="82" spans="1:6" s="13" customFormat="1" ht="26.25">
      <c r="A82" s="29" t="s">
        <v>82</v>
      </c>
      <c r="B82" s="23">
        <f>'LSU BOS'!B82+LSUBR!B82+LSUA!B82+LSUS!B82+UNO!B82+LSUE!B82+LSULAW!B82+LSUAG!B82+Penn!B82+EAConway!B82+HPLong!B82+HSCNO!B82+HSCS!B82</f>
        <v>146821852.79999998</v>
      </c>
      <c r="C82" s="23">
        <f>'LSU BOS'!C82+LSUBR!C82+LSUA!C82+LSUS!C82+UNO!C82+LSUE!C82+LSULAW!C82+LSUAG!C82+Penn!C82+EAConway!C82+HPLong!C82+HSCNO!C82+HSCS!C82</f>
        <v>150010141</v>
      </c>
      <c r="D82" s="23">
        <f>'LSU BOS'!D82+LSUBR!D82+LSUA!D82+LSUS!D82+UNO!D82+LSUE!D82+LSULAW!D82+LSUAG!D82+Penn!D82+EAConway!D82+HPLong!D82+HSCNO!D82+HSCS!D82</f>
        <v>157714321.34</v>
      </c>
      <c r="E82" s="28">
        <f t="shared" si="6"/>
        <v>7704180.3400000036</v>
      </c>
      <c r="F82" s="24">
        <f t="shared" si="7"/>
        <v>5.1357730141724241E-2</v>
      </c>
    </row>
    <row r="83" spans="1:6" s="13" customFormat="1" ht="26.25">
      <c r="A83" s="29" t="s">
        <v>83</v>
      </c>
      <c r="B83" s="23">
        <f>'LSU BOS'!B83+LSUBR!B83+LSUA!B83+LSUS!B83+UNO!B83+LSUE!B83+LSULAW!B83+LSUAG!B83+Penn!B83+EAConway!B83+HPLong!B83+HSCNO!B83+HSCS!B83</f>
        <v>260552</v>
      </c>
      <c r="C83" s="23">
        <f>'LSU BOS'!C83+LSUBR!C83+LSUA!C83+LSUS!C83+UNO!C83+LSUE!C83+LSULAW!C83+LSUAG!C83+Penn!C83+EAConway!C83+HPLong!C83+HSCNO!C83+HSCS!C83</f>
        <v>260553</v>
      </c>
      <c r="D83" s="23">
        <f>'LSU BOS'!D83+LSUBR!D83+LSUA!D83+LSUS!D83+UNO!D83+LSUE!D83+LSULAW!D83+LSUAG!D83+Penn!D83+EAConway!D83+HPLong!D83+HSCNO!D83+HSCS!D83</f>
        <v>261769</v>
      </c>
      <c r="E83" s="28">
        <f t="shared" si="6"/>
        <v>1216</v>
      </c>
      <c r="F83" s="24">
        <f t="shared" si="7"/>
        <v>4.6669967338698846E-3</v>
      </c>
    </row>
    <row r="84" spans="1:6" s="13" customFormat="1" ht="26.25">
      <c r="A84" s="29" t="s">
        <v>84</v>
      </c>
      <c r="B84" s="23">
        <f>'LSU BOS'!B84+LSUBR!B84+LSUA!B84+LSUS!B84+UNO!B84+LSUE!B84+LSULAW!B84+LSUAG!B84+Penn!B84+EAConway!B84+HPLong!B84+HSCNO!B84+HSCS!B84</f>
        <v>54341731.739999995</v>
      </c>
      <c r="C84" s="23">
        <f>'LSU BOS'!C84+LSUBR!C84+LSUA!C84+LSUS!C84+UNO!C84+LSUE!C84+LSULAW!C84+LSUAG!C84+Penn!C84+EAConway!C84+HPLong!C84+HSCNO!C84+HSCS!C84</f>
        <v>54886554</v>
      </c>
      <c r="D84" s="23">
        <f>'LSU BOS'!D84+LSUBR!D84+LSUA!D84+LSUS!D84+UNO!D84+LSUE!D84+LSULAW!D84+LSUAG!D84+Penn!D84+EAConway!D84+HPLong!D84+HSCNO!D84+HSCS!D84</f>
        <v>52204167</v>
      </c>
      <c r="E84" s="28">
        <f t="shared" si="6"/>
        <v>-2682387</v>
      </c>
      <c r="F84" s="24">
        <f t="shared" si="7"/>
        <v>-4.8871477702899693E-2</v>
      </c>
    </row>
    <row r="85" spans="1:6" s="36" customFormat="1" ht="26.25">
      <c r="A85" s="32" t="s">
        <v>85</v>
      </c>
      <c r="B85" s="264">
        <f>SUM(B81:B84)</f>
        <v>223081459.47999996</v>
      </c>
      <c r="C85" s="51">
        <f>SUM(C81:C84)</f>
        <v>230394291</v>
      </c>
      <c r="D85" s="51">
        <f>SUM(D81:D84)</f>
        <v>229386853.34</v>
      </c>
      <c r="E85" s="34">
        <f t="shared" si="6"/>
        <v>-1007437.6599999964</v>
      </c>
      <c r="F85" s="35">
        <f t="shared" si="7"/>
        <v>-4.3726676369771527E-3</v>
      </c>
    </row>
    <row r="86" spans="1:6" s="13" customFormat="1" ht="26.25">
      <c r="A86" s="29" t="s">
        <v>86</v>
      </c>
      <c r="B86" s="23">
        <f>'LSU BOS'!B86+LSUBR!B86+LSUA!B86+LSUS!B86+UNO!B86+LSUE!B86+LSULAW!B86+LSUAG!B86+Penn!B86+EAConway!B86+HPLong!B86+HSCNO!B86+HSCS!B86</f>
        <v>16901590.850000001</v>
      </c>
      <c r="C86" s="23">
        <f>'LSU BOS'!C86+LSUBR!C86+LSUA!C86+LSUS!C86+UNO!C86+LSUE!C86+LSULAW!C86+LSUAG!C86+Penn!C86+EAConway!C86+HPLong!C86+HSCNO!C86+HSCS!C86</f>
        <v>12709499</v>
      </c>
      <c r="D86" s="23">
        <f>'LSU BOS'!D86+LSUBR!D86+LSUA!D86+LSUS!D86+UNO!D86+LSUE!D86+LSULAW!D86+LSUAG!D86+Penn!D86+EAConway!D86+HPLong!D86+HSCNO!D86+HSCS!D86</f>
        <v>11680843</v>
      </c>
      <c r="E86" s="28">
        <f t="shared" si="6"/>
        <v>-1028656</v>
      </c>
      <c r="F86" s="24">
        <f t="shared" si="7"/>
        <v>-8.0935999129470013E-2</v>
      </c>
    </row>
    <row r="87" spans="1:6" s="13" customFormat="1" ht="26.25">
      <c r="A87" s="29" t="s">
        <v>87</v>
      </c>
      <c r="B87" s="23">
        <f>'LSU BOS'!B87+LSUBR!B87+LSUA!B87+LSUS!B87+UNO!B87+LSUE!B87+LSULAW!B87+LSUAG!B87+Penn!B87+EAConway!B87+HPLong!B87+HSCNO!B87+HSCS!B87</f>
        <v>10087267.18</v>
      </c>
      <c r="C87" s="23">
        <f>'LSU BOS'!C87+LSUBR!C87+LSUA!C87+LSUS!C87+UNO!C87+LSUE!C87+LSULAW!C87+LSUAG!C87+Penn!C87+EAConway!C87+HPLong!C87+HSCNO!C87+HSCS!C87</f>
        <v>8834806</v>
      </c>
      <c r="D87" s="23">
        <f>'LSU BOS'!D87+LSUBR!D87+LSUA!D87+LSUS!D87+UNO!D87+LSUE!D87+LSULAW!D87+LSUAG!D87+Penn!D87+EAConway!D87+HPLong!D87+HSCNO!D87+HSCS!D87</f>
        <v>8039634</v>
      </c>
      <c r="E87" s="28">
        <f t="shared" si="6"/>
        <v>-795172</v>
      </c>
      <c r="F87" s="24">
        <f t="shared" si="7"/>
        <v>-9.0004466425182394E-2</v>
      </c>
    </row>
    <row r="88" spans="1:6" s="13" customFormat="1" ht="26.25">
      <c r="A88" s="38" t="s">
        <v>88</v>
      </c>
      <c r="B88" s="23">
        <f>'LSU BOS'!B88+LSUBR!B88+LSUA!B88+LSUS!B88+UNO!B88+LSUE!B88+LSULAW!B88+LSUAG!B88+Penn!B88+EAConway!B88+HPLong!B88+HSCNO!B88+HSCS!B88</f>
        <v>291234</v>
      </c>
      <c r="C88" s="23">
        <f>'LSU BOS'!C88+LSUBR!C88+LSUA!C88+LSUS!C88+UNO!C88+LSUE!C88+LSULAW!C88+LSUAG!C88+Penn!C88+EAConway!C88+HPLong!C88+HSCNO!C88+HSCS!C88</f>
        <v>40000</v>
      </c>
      <c r="D88" s="23">
        <f>'LSU BOS'!D88+LSUBR!D88+LSUA!D88+LSUS!D88+UNO!D88+LSUE!D88+LSULAW!D88+LSUAG!D88+Penn!D88+EAConway!D88+HPLong!D88+HSCNO!D88+HSCS!D88</f>
        <v>0</v>
      </c>
      <c r="E88" s="28">
        <f t="shared" si="6"/>
        <v>-40000</v>
      </c>
      <c r="F88" s="24">
        <f t="shared" si="7"/>
        <v>-1</v>
      </c>
    </row>
    <row r="89" spans="1:6" s="36" customFormat="1" ht="26.25">
      <c r="A89" s="52" t="s">
        <v>89</v>
      </c>
      <c r="B89" s="51">
        <f>SUM(B86:B88)</f>
        <v>27280092.030000001</v>
      </c>
      <c r="C89" s="51">
        <f>SUM(C86:C88)</f>
        <v>21584305</v>
      </c>
      <c r="D89" s="51">
        <f>SUM(D86:D88)</f>
        <v>19720477</v>
      </c>
      <c r="E89" s="51">
        <f t="shared" si="6"/>
        <v>-1863828</v>
      </c>
      <c r="F89" s="35">
        <f t="shared" si="7"/>
        <v>-8.6351077785455685E-2</v>
      </c>
    </row>
    <row r="90" spans="1:6" s="13" customFormat="1" ht="26.25">
      <c r="A90" s="38" t="s">
        <v>90</v>
      </c>
      <c r="B90" s="23">
        <f>'LSU BOS'!B90+LSUBR!B90+LSUA!B90+LSUS!B90+UNO!B90+LSUE!B90+LSULAW!B90+LSUAG!B90+Penn!B90+EAConway!B90+HPLong!B90+HSCNO!B90+HSCS!B90</f>
        <v>0</v>
      </c>
      <c r="C90" s="23">
        <f>'LSU BOS'!C90+LSUBR!C90+LSUA!C90+LSUS!C90+UNO!C90+LSUE!C90+LSULAW!C90+LSUAG!C90+Penn!C90+EAConway!C90+HPLong!C90+HSCNO!C90+HSCS!C90</f>
        <v>2764148</v>
      </c>
      <c r="D90" s="23">
        <f>'LSU BOS'!D90+LSUBR!D90+LSUA!D90+LSUS!D90+UNO!D90+LSUE!D90+LSULAW!D90+LSUAG!D90+Penn!D90+EAConway!D90+HPLong!D90+HSCNO!D90+HSCS!D90</f>
        <v>0</v>
      </c>
      <c r="E90" s="28">
        <f t="shared" si="6"/>
        <v>-2764148</v>
      </c>
      <c r="F90" s="24">
        <f t="shared" si="7"/>
        <v>-1</v>
      </c>
    </row>
    <row r="91" spans="1:6" s="36" customFormat="1" ht="27" thickBot="1">
      <c r="A91" s="53" t="s">
        <v>71</v>
      </c>
      <c r="B91" s="54">
        <f>B89+B85+B80+B76+B90</f>
        <v>1533416630.6799998</v>
      </c>
      <c r="C91" s="54">
        <f>C89+C85+C80+C76+C90</f>
        <v>1556016556.02</v>
      </c>
      <c r="D91" s="55">
        <f>D89+D85+D80+D76+D90</f>
        <v>1539064822.3099999</v>
      </c>
      <c r="E91" s="54">
        <f t="shared" si="6"/>
        <v>-16951733.710000038</v>
      </c>
      <c r="F91" s="56">
        <f t="shared" si="7"/>
        <v>-1.0894314488117922E-2</v>
      </c>
    </row>
    <row r="92" spans="1:6" s="60" customFormat="1" ht="32.25" thickBot="1">
      <c r="A92" s="57"/>
      <c r="B92" s="58"/>
      <c r="C92" s="58"/>
      <c r="D92" s="58"/>
      <c r="E92" s="59"/>
      <c r="F92" s="59"/>
    </row>
    <row r="93" spans="1:6" s="13" customFormat="1" ht="26.25">
      <c r="A93" s="160" t="s">
        <v>43</v>
      </c>
      <c r="B93" s="252"/>
      <c r="C93" s="252"/>
      <c r="D93" s="252"/>
      <c r="E93" s="161"/>
      <c r="F93" s="163"/>
    </row>
    <row r="94" spans="1:6" s="13" customFormat="1" ht="26.25">
      <c r="A94" s="164" t="s">
        <v>121</v>
      </c>
      <c r="B94" s="253">
        <f>'LSU BOS'!B94+HSCS!B94</f>
        <v>329991</v>
      </c>
      <c r="C94" s="253">
        <f>'LSU BOS'!C94</f>
        <v>127407</v>
      </c>
      <c r="D94" s="253">
        <f>'LSU BOS'!D94+LSUBR!D94+LSUA!D94+LSUS!D94+UNO!D94+LSUE!D94+LSULAW!D94+LSUAG!D94+Penn!D94+EAConway!D94+HPLong!D94+HSCNO!D94+HSCS!D94</f>
        <v>0</v>
      </c>
      <c r="E94" s="19">
        <f>D94-C94</f>
        <v>-127407</v>
      </c>
      <c r="F94" s="24">
        <f>IF(ISBLANK(E94),"  ",IF(C94&gt;0,E94/C94,IF(E94&gt;0,1,0)))</f>
        <v>-1</v>
      </c>
    </row>
    <row r="95" spans="1:6" s="13" customFormat="1" ht="26.25">
      <c r="A95" s="168" t="s">
        <v>45</v>
      </c>
      <c r="B95" s="253">
        <f>'LSU BOS'!B95+LSUBR!B95+LSUA!B95+LSUS!B95+UNO!B95+LSUE!B95+LSULAW!B95+LSUAG!B95+Penn!B95+EAConway!B95+HPLong!B95+HSCNO!B95+HSCS!B95</f>
        <v>0</v>
      </c>
      <c r="C95" s="253">
        <f>'LSU BOS'!C95+LSUBR!C95+LSUA!C95+LSUS!C95+UNO!C95+LSUE!C95+LSULAW!C95+LSUAG!C95+Penn!C95+EAConway!C95+HPLong!C95+HSCNO!C95+HSCS!C95</f>
        <v>0</v>
      </c>
      <c r="D95" s="253">
        <f>'LSU BOS'!D95+LSUBR!D95+LSUA!D95+LSUS!D95+UNO!D95+LSUE!D95+LSULAW!D95+LSUAG!D95+Penn!D95+EAConway!D95+HPLong!D95+HSCNO!D95+HSCS!D95</f>
        <v>0</v>
      </c>
      <c r="E95" s="28">
        <f>D95-C95</f>
        <v>0</v>
      </c>
      <c r="F95" s="24">
        <f>IF(ISBLANK(E95),"  ",IF(C95&gt;0,E95/C95,IF(E95&gt;0,1,0)))</f>
        <v>0</v>
      </c>
    </row>
    <row r="96" spans="1:6" s="13" customFormat="1" ht="26.25">
      <c r="A96" s="168" t="s">
        <v>122</v>
      </c>
      <c r="B96" s="253">
        <f>'LSU BOS'!B96+LSUBR!B96+LSUA!B96+LSUS!B96+UNO!B96+LSUE!B96+LSULAW!B96+LSUAG!B96+Penn!B96+EAConway!B96+HPLong!B96+HSCNO!B96+HSCS!B96</f>
        <v>41927964</v>
      </c>
      <c r="C96" s="253">
        <f>'LSU BOS'!C96+LSUBR!C96+LSUA!C96+LSUS!C96+UNO!C96+LSUE!C96+LSULAW!C96+LSUAG!C96+Penn!C96+EAConway!C96+HPLong!C96+HSCNO!C96+HSCS!C96</f>
        <v>-127407</v>
      </c>
      <c r="D96" s="253">
        <f>'LSU BOS'!D96+LSUBR!D96+LSUA!D96+LSUS!D96+UNO!D96+LSUE!D96+LSULAW!D96+LSUAG!D96+Penn!D96+EAConway!D96+HPLong!D96+HSCNO!D96+HSCS!D96</f>
        <v>0</v>
      </c>
      <c r="E96" s="28">
        <f>D96-C96</f>
        <v>127407</v>
      </c>
      <c r="F96" s="24">
        <f>IF(ISBLANK(E96),"  ",IF(C96&gt;0,E96/C96,IF(E96&gt;0,1,0)))</f>
        <v>1</v>
      </c>
    </row>
    <row r="97" spans="1:10" s="13" customFormat="1" ht="26.25" hidden="1">
      <c r="A97" s="168" t="s">
        <v>47</v>
      </c>
      <c r="B97" s="253">
        <v>0</v>
      </c>
      <c r="C97" s="253">
        <v>0</v>
      </c>
      <c r="D97" s="253"/>
      <c r="E97" s="169">
        <v>0</v>
      </c>
      <c r="F97" s="167">
        <v>0</v>
      </c>
    </row>
    <row r="98" spans="1:10" s="13" customFormat="1" ht="26.25" hidden="1">
      <c r="A98" s="170" t="s">
        <v>48</v>
      </c>
      <c r="B98" s="253">
        <v>0</v>
      </c>
      <c r="C98" s="253">
        <v>0</v>
      </c>
      <c r="D98" s="253"/>
      <c r="E98" s="169">
        <v>0</v>
      </c>
      <c r="F98" s="167">
        <v>0</v>
      </c>
    </row>
    <row r="99" spans="1:10" s="36" customFormat="1" ht="27" thickBot="1">
      <c r="A99" s="171" t="s">
        <v>49</v>
      </c>
      <c r="B99" s="254">
        <f>SUM(B94:B96)</f>
        <v>42257955</v>
      </c>
      <c r="C99" s="254">
        <f>SUM(C94:C96)</f>
        <v>0</v>
      </c>
      <c r="D99" s="254">
        <f>SUM(D94:D96)</f>
        <v>0</v>
      </c>
      <c r="E99" s="266">
        <f>D99-C99</f>
        <v>0</v>
      </c>
      <c r="F99" s="265">
        <f>IF(ISBLANK(E99),"  ",IF(C99&gt;0,E99/C99,IF(E99&gt;0,1,0)))</f>
        <v>0</v>
      </c>
      <c r="J99" s="36" t="s">
        <v>50</v>
      </c>
    </row>
    <row r="100" spans="1:10" s="36" customFormat="1" ht="26.25">
      <c r="A100" s="175"/>
      <c r="B100" s="176"/>
      <c r="C100" s="176"/>
      <c r="D100" s="176"/>
      <c r="E100" s="176"/>
      <c r="F100" s="177"/>
    </row>
    <row r="101" spans="1:10" s="60" customFormat="1" ht="31.5">
      <c r="A101" s="61" t="s">
        <v>91</v>
      </c>
      <c r="B101" s="62"/>
      <c r="C101" s="62"/>
      <c r="D101" s="62"/>
      <c r="E101" s="59"/>
      <c r="F101" s="59"/>
    </row>
    <row r="102" spans="1:10" s="60" customFormat="1" ht="31.5">
      <c r="A102" s="61" t="s">
        <v>92</v>
      </c>
      <c r="B102" s="62"/>
      <c r="C102" s="62"/>
      <c r="D102" s="62"/>
      <c r="E102" s="59"/>
      <c r="F102" s="59"/>
    </row>
    <row r="103" spans="1:10">
      <c r="A103" s="63" t="s">
        <v>50</v>
      </c>
      <c r="B103" s="64"/>
      <c r="C103" s="64"/>
      <c r="D103" s="64"/>
    </row>
  </sheetData>
  <pageMargins left="0.7" right="0.7" top="0.31" bottom="0.28999999999999998" header="0.3" footer="0.3"/>
  <pageSetup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3"/>
  <sheetViews>
    <sheetView topLeftCell="A61" zoomScale="50" zoomScaleNormal="50" workbookViewId="0">
      <selection activeCell="K19" sqref="K19"/>
    </sheetView>
  </sheetViews>
  <sheetFormatPr defaultRowHeight="15.75"/>
  <cols>
    <col min="1" max="1" width="112.42578125" style="65" customWidth="1"/>
    <col min="2" max="2" width="30.28515625" style="66" customWidth="1"/>
    <col min="3" max="3" width="27.140625" style="66" customWidth="1"/>
    <col min="4" max="4" width="31.5703125" style="66" customWidth="1"/>
    <col min="5" max="5" width="32.28515625" style="65" customWidth="1"/>
    <col min="6" max="6" width="24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155" t="s">
        <v>153</v>
      </c>
      <c r="F1" s="278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97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5285620</v>
      </c>
      <c r="C8" s="23">
        <v>5285620</v>
      </c>
      <c r="D8" s="23">
        <v>4205014</v>
      </c>
      <c r="E8" s="23">
        <v>-1080606</v>
      </c>
      <c r="F8" s="24">
        <v>-0.20444261978727188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59" customFormat="1" ht="26.25">
      <c r="A10" s="157" t="s">
        <v>18</v>
      </c>
      <c r="B10" s="297">
        <v>0</v>
      </c>
      <c r="C10" s="158">
        <v>0</v>
      </c>
      <c r="D10" s="158">
        <v>0</v>
      </c>
      <c r="E10" s="158">
        <v>0</v>
      </c>
      <c r="F10" s="24">
        <v>0</v>
      </c>
    </row>
    <row r="11" spans="1:6" s="13" customFormat="1" ht="26.25">
      <c r="A11" s="27" t="s">
        <v>19</v>
      </c>
      <c r="B11" s="19">
        <v>0</v>
      </c>
      <c r="C11" s="19">
        <v>0</v>
      </c>
      <c r="D11" s="19">
        <v>0</v>
      </c>
      <c r="E11" s="23">
        <v>0</v>
      </c>
      <c r="F11" s="24">
        <v>0</v>
      </c>
    </row>
    <row r="12" spans="1:6" s="13" customFormat="1" ht="26.25">
      <c r="A12" s="29" t="s">
        <v>20</v>
      </c>
      <c r="B12" s="28">
        <v>0</v>
      </c>
      <c r="C12" s="28">
        <v>0</v>
      </c>
      <c r="D12" s="28">
        <v>0</v>
      </c>
      <c r="E12" s="26">
        <v>0</v>
      </c>
      <c r="F12" s="24">
        <v>0</v>
      </c>
    </row>
    <row r="13" spans="1:6" s="13" customFormat="1" ht="26.25">
      <c r="A13" s="29" t="s">
        <v>21</v>
      </c>
      <c r="B13" s="28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8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13" customFormat="1" ht="26.25">
      <c r="A15" s="29" t="s">
        <v>23</v>
      </c>
      <c r="B15" s="28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8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8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8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4">
        <v>5285620</v>
      </c>
      <c r="C34" s="34">
        <v>5285620</v>
      </c>
      <c r="D34" s="34">
        <v>4205014</v>
      </c>
      <c r="E34" s="34">
        <v>-1080606</v>
      </c>
      <c r="F34" s="35">
        <v>-0.20444261978727188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121</v>
      </c>
      <c r="B36" s="23"/>
      <c r="C36" s="23"/>
      <c r="D36" s="23"/>
      <c r="E36" s="23">
        <v>0</v>
      </c>
      <c r="F36" s="24">
        <v>0</v>
      </c>
    </row>
    <row r="37" spans="1:10" s="13" customFormat="1" ht="26.25">
      <c r="A37" s="38" t="s">
        <v>45</v>
      </c>
      <c r="B37" s="23"/>
      <c r="C37" s="23"/>
      <c r="D37" s="23"/>
      <c r="E37" s="26">
        <v>0</v>
      </c>
      <c r="F37" s="24">
        <v>0</v>
      </c>
    </row>
    <row r="38" spans="1:10" s="13" customFormat="1" ht="26.25">
      <c r="A38" s="38" t="s">
        <v>46</v>
      </c>
      <c r="B38" s="23"/>
      <c r="C38" s="23"/>
      <c r="D38" s="23"/>
      <c r="E38" s="26">
        <v>0</v>
      </c>
      <c r="F38" s="24">
        <v>0</v>
      </c>
    </row>
    <row r="39" spans="1:10" s="13" customFormat="1" ht="26.25">
      <c r="A39" s="38" t="s">
        <v>47</v>
      </c>
      <c r="B39" s="23"/>
      <c r="C39" s="23"/>
      <c r="D39" s="23"/>
      <c r="E39" s="26">
        <v>0</v>
      </c>
      <c r="F39" s="24">
        <v>0</v>
      </c>
    </row>
    <row r="40" spans="1:10" s="13" customFormat="1" ht="26.25">
      <c r="A40" s="39" t="s">
        <v>48</v>
      </c>
      <c r="B40" s="23"/>
      <c r="C40" s="23"/>
      <c r="D40" s="23"/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0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v>2764148</v>
      </c>
      <c r="D43" s="42">
        <v>0</v>
      </c>
      <c r="E43" s="42">
        <v>-2764148</v>
      </c>
      <c r="F43" s="35">
        <v>-1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0</v>
      </c>
      <c r="C45" s="42">
        <v>0</v>
      </c>
      <c r="D45" s="42">
        <v>0</v>
      </c>
      <c r="E45" s="42">
        <v>0</v>
      </c>
      <c r="F45" s="35">
        <v>0</v>
      </c>
    </row>
    <row r="46" spans="1:10" s="13" customFormat="1" ht="26.25">
      <c r="A46" s="29" t="s">
        <v>50</v>
      </c>
      <c r="B46" s="28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0</v>
      </c>
      <c r="C47" s="40">
        <v>0</v>
      </c>
      <c r="D47" s="40">
        <v>0</v>
      </c>
      <c r="E47" s="40">
        <v>0</v>
      </c>
      <c r="F47" s="35">
        <v>0</v>
      </c>
    </row>
    <row r="48" spans="1:10" s="13" customFormat="1" ht="26.25">
      <c r="A48" s="29" t="s">
        <v>50</v>
      </c>
      <c r="B48" s="28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8"/>
      <c r="C52" s="28"/>
      <c r="D52" s="28"/>
      <c r="E52" s="28"/>
      <c r="F52" s="20"/>
    </row>
    <row r="53" spans="1:6" s="36" customFormat="1" ht="26.25">
      <c r="A53" s="46" t="s">
        <v>56</v>
      </c>
      <c r="B53" s="40">
        <v>5285620</v>
      </c>
      <c r="C53" s="40">
        <v>8049768</v>
      </c>
      <c r="D53" s="40">
        <v>4205014</v>
      </c>
      <c r="E53" s="40">
        <v>-3844754</v>
      </c>
      <c r="F53" s="35">
        <v>-0.4776229575808893</v>
      </c>
    </row>
    <row r="54" spans="1:6" s="13" customFormat="1" ht="26.25">
      <c r="A54" s="47"/>
      <c r="B54" s="28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0</v>
      </c>
      <c r="C57" s="19">
        <v>0</v>
      </c>
      <c r="D57" s="19">
        <v>0</v>
      </c>
      <c r="E57" s="19">
        <v>0</v>
      </c>
      <c r="F57" s="24">
        <v>0</v>
      </c>
    </row>
    <row r="58" spans="1:6" s="13" customFormat="1" ht="26.25">
      <c r="A58" s="29" t="s">
        <v>59</v>
      </c>
      <c r="B58" s="28">
        <v>0</v>
      </c>
      <c r="C58" s="28">
        <v>0</v>
      </c>
      <c r="D58" s="28">
        <v>0</v>
      </c>
      <c r="E58" s="28">
        <v>0</v>
      </c>
      <c r="F58" s="24">
        <v>0</v>
      </c>
    </row>
    <row r="59" spans="1:6" s="13" customFormat="1" ht="26.25">
      <c r="A59" s="29" t="s">
        <v>60</v>
      </c>
      <c r="B59" s="28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13" customFormat="1" ht="26.25">
      <c r="A60" s="29" t="s">
        <v>61</v>
      </c>
      <c r="B60" s="28">
        <v>0</v>
      </c>
      <c r="C60" s="28">
        <v>0</v>
      </c>
      <c r="D60" s="28">
        <v>0</v>
      </c>
      <c r="E60" s="28">
        <v>0</v>
      </c>
      <c r="F60" s="24">
        <v>0</v>
      </c>
    </row>
    <row r="61" spans="1:6" s="13" customFormat="1" ht="26.25">
      <c r="A61" s="29" t="s">
        <v>62</v>
      </c>
      <c r="B61" s="28">
        <v>0</v>
      </c>
      <c r="C61" s="28">
        <v>0</v>
      </c>
      <c r="D61" s="28">
        <v>0</v>
      </c>
      <c r="E61" s="28">
        <v>0</v>
      </c>
      <c r="F61" s="24">
        <v>0</v>
      </c>
    </row>
    <row r="62" spans="1:6" s="13" customFormat="1" ht="26.25">
      <c r="A62" s="29" t="s">
        <v>63</v>
      </c>
      <c r="B62" s="28">
        <v>5087554</v>
      </c>
      <c r="C62" s="28">
        <v>5087554</v>
      </c>
      <c r="D62" s="28">
        <v>4061524</v>
      </c>
      <c r="E62" s="28">
        <v>-1026030</v>
      </c>
      <c r="F62" s="24">
        <v>-0.20167451785278348</v>
      </c>
    </row>
    <row r="63" spans="1:6" s="13" customFormat="1" ht="26.25">
      <c r="A63" s="29" t="s">
        <v>64</v>
      </c>
      <c r="B63" s="28">
        <v>0</v>
      </c>
      <c r="C63" s="28">
        <v>0</v>
      </c>
      <c r="D63" s="28">
        <v>0</v>
      </c>
      <c r="E63" s="28">
        <v>0</v>
      </c>
      <c r="F63" s="24">
        <v>0</v>
      </c>
    </row>
    <row r="64" spans="1:6" s="13" customFormat="1" ht="26.25">
      <c r="A64" s="29" t="s">
        <v>65</v>
      </c>
      <c r="B64" s="28">
        <v>70659</v>
      </c>
      <c r="C64" s="28">
        <v>70659</v>
      </c>
      <c r="D64" s="28">
        <v>143490</v>
      </c>
      <c r="E64" s="28">
        <v>72831</v>
      </c>
      <c r="F64" s="24">
        <v>1.030739183968072</v>
      </c>
    </row>
    <row r="65" spans="1:6" s="36" customFormat="1" ht="26.25">
      <c r="A65" s="49" t="s">
        <v>66</v>
      </c>
      <c r="B65" s="34">
        <v>5158213</v>
      </c>
      <c r="C65" s="34">
        <v>5158213</v>
      </c>
      <c r="D65" s="34">
        <v>4205014</v>
      </c>
      <c r="E65" s="34">
        <v>-953199</v>
      </c>
      <c r="F65" s="35">
        <v>-0.18479248530450371</v>
      </c>
    </row>
    <row r="66" spans="1:6" s="13" customFormat="1" ht="26.25">
      <c r="A66" s="29" t="s">
        <v>67</v>
      </c>
      <c r="B66" s="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8">
        <v>0</v>
      </c>
      <c r="C67" s="28">
        <v>0</v>
      </c>
      <c r="D67" s="28">
        <v>0</v>
      </c>
      <c r="E67" s="28">
        <v>0</v>
      </c>
      <c r="F67" s="24">
        <v>0</v>
      </c>
    </row>
    <row r="68" spans="1:6" s="13" customFormat="1" ht="26.25">
      <c r="A68" s="29" t="s">
        <v>69</v>
      </c>
      <c r="B68" s="28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13" customFormat="1" ht="26.25">
      <c r="A69" s="29" t="s">
        <v>70</v>
      </c>
      <c r="B69" s="28">
        <v>0</v>
      </c>
      <c r="C69" s="28">
        <v>2764148</v>
      </c>
      <c r="D69" s="28">
        <v>0</v>
      </c>
      <c r="E69" s="28">
        <v>-2764148</v>
      </c>
      <c r="F69" s="24">
        <v>-1</v>
      </c>
    </row>
    <row r="70" spans="1:6" s="36" customFormat="1" ht="26.25">
      <c r="A70" s="50" t="s">
        <v>71</v>
      </c>
      <c r="B70" s="260">
        <v>5158213</v>
      </c>
      <c r="C70" s="51">
        <v>7922361</v>
      </c>
      <c r="D70" s="51">
        <v>4205014</v>
      </c>
      <c r="E70" s="51">
        <v>-3717347</v>
      </c>
      <c r="F70" s="35">
        <v>-0.46922211699264904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1283698</v>
      </c>
      <c r="C73" s="23">
        <v>1283698</v>
      </c>
      <c r="D73" s="23">
        <v>1424480</v>
      </c>
      <c r="E73" s="19">
        <v>140782</v>
      </c>
      <c r="F73" s="24">
        <v>0.1096690966255303</v>
      </c>
    </row>
    <row r="74" spans="1:6" s="13" customFormat="1" ht="26.25">
      <c r="A74" s="29" t="s">
        <v>74</v>
      </c>
      <c r="B74" s="255">
        <v>63070</v>
      </c>
      <c r="C74" s="23">
        <v>63070</v>
      </c>
      <c r="D74" s="23">
        <v>78400</v>
      </c>
      <c r="E74" s="28">
        <v>15330</v>
      </c>
      <c r="F74" s="24">
        <v>0.24306326304106549</v>
      </c>
    </row>
    <row r="75" spans="1:6" s="13" customFormat="1" ht="26.25">
      <c r="A75" s="29" t="s">
        <v>75</v>
      </c>
      <c r="B75" s="19">
        <v>364106</v>
      </c>
      <c r="C75" s="23">
        <v>364106</v>
      </c>
      <c r="D75" s="23">
        <v>490311</v>
      </c>
      <c r="E75" s="28">
        <v>126205</v>
      </c>
      <c r="F75" s="24">
        <v>0.34661609531290338</v>
      </c>
    </row>
    <row r="76" spans="1:6" s="36" customFormat="1" ht="26.25">
      <c r="A76" s="49" t="s">
        <v>76</v>
      </c>
      <c r="B76" s="260">
        <v>1710874</v>
      </c>
      <c r="C76" s="51">
        <v>1710874</v>
      </c>
      <c r="D76" s="51">
        <v>1993191</v>
      </c>
      <c r="E76" s="34">
        <v>282317</v>
      </c>
      <c r="F76" s="35">
        <v>0.16501332067703409</v>
      </c>
    </row>
    <row r="77" spans="1:6" s="13" customFormat="1" ht="26.25">
      <c r="A77" s="29" t="s">
        <v>77</v>
      </c>
      <c r="B77" s="255">
        <v>60011</v>
      </c>
      <c r="C77" s="26">
        <v>60011</v>
      </c>
      <c r="D77" s="26">
        <v>103100</v>
      </c>
      <c r="E77" s="28">
        <v>43089</v>
      </c>
      <c r="F77" s="24">
        <v>0.71801836330006164</v>
      </c>
    </row>
    <row r="78" spans="1:6" s="13" customFormat="1" ht="26.25">
      <c r="A78" s="29" t="s">
        <v>78</v>
      </c>
      <c r="B78" s="23">
        <v>181241</v>
      </c>
      <c r="C78" s="23">
        <v>181241</v>
      </c>
      <c r="D78" s="23">
        <v>429081</v>
      </c>
      <c r="E78" s="28">
        <v>247840</v>
      </c>
      <c r="F78" s="24">
        <v>1.3674610049602463</v>
      </c>
    </row>
    <row r="79" spans="1:6" s="13" customFormat="1" ht="26.25">
      <c r="A79" s="29" t="s">
        <v>79</v>
      </c>
      <c r="B79" s="19">
        <v>23678</v>
      </c>
      <c r="C79" s="19">
        <v>23678</v>
      </c>
      <c r="D79" s="19">
        <v>38500</v>
      </c>
      <c r="E79" s="28">
        <v>14822</v>
      </c>
      <c r="F79" s="24">
        <v>0.62598192414899911</v>
      </c>
    </row>
    <row r="80" spans="1:6" s="36" customFormat="1" ht="26.25">
      <c r="A80" s="32" t="s">
        <v>80</v>
      </c>
      <c r="B80" s="260">
        <v>264930</v>
      </c>
      <c r="C80" s="51">
        <v>264930</v>
      </c>
      <c r="D80" s="51">
        <v>570681</v>
      </c>
      <c r="E80" s="34">
        <v>305751</v>
      </c>
      <c r="F80" s="35">
        <v>1.1540822103951986</v>
      </c>
    </row>
    <row r="81" spans="1:6" s="13" customFormat="1" ht="26.25">
      <c r="A81" s="29" t="s">
        <v>81</v>
      </c>
      <c r="B81" s="19">
        <v>2338718</v>
      </c>
      <c r="C81" s="19">
        <v>2338718</v>
      </c>
      <c r="D81" s="19">
        <v>633484</v>
      </c>
      <c r="E81" s="28">
        <v>-1705234</v>
      </c>
      <c r="F81" s="24">
        <v>-0.7291319432270158</v>
      </c>
    </row>
    <row r="82" spans="1:6" s="13" customFormat="1" ht="26.25">
      <c r="A82" s="29" t="s">
        <v>82</v>
      </c>
      <c r="B82" s="28">
        <v>7027</v>
      </c>
      <c r="C82" s="28">
        <v>7027</v>
      </c>
      <c r="D82" s="28">
        <v>172000</v>
      </c>
      <c r="E82" s="28">
        <v>164973</v>
      </c>
      <c r="F82" s="24">
        <v>23.477017219296997</v>
      </c>
    </row>
    <row r="83" spans="1:6" s="13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28">
        <v>836664</v>
      </c>
      <c r="C84" s="28">
        <v>836664</v>
      </c>
      <c r="D84" s="28">
        <v>835658</v>
      </c>
      <c r="E84" s="28">
        <v>-1006</v>
      </c>
      <c r="F84" s="24">
        <v>-1.2023942705793485E-3</v>
      </c>
    </row>
    <row r="85" spans="1:6" s="36" customFormat="1" ht="26.25">
      <c r="A85" s="32" t="s">
        <v>85</v>
      </c>
      <c r="B85" s="34">
        <v>3182409</v>
      </c>
      <c r="C85" s="34">
        <v>3182409</v>
      </c>
      <c r="D85" s="34">
        <v>1641142</v>
      </c>
      <c r="E85" s="34">
        <v>-1541267</v>
      </c>
      <c r="F85" s="35">
        <v>-0.48430827087278849</v>
      </c>
    </row>
    <row r="86" spans="1:6" s="13" customFormat="1" ht="26.25">
      <c r="A86" s="29" t="s">
        <v>86</v>
      </c>
      <c r="B86" s="28">
        <v>0</v>
      </c>
      <c r="C86" s="28">
        <v>0</v>
      </c>
      <c r="D86" s="28">
        <v>0</v>
      </c>
      <c r="E86" s="28">
        <v>0</v>
      </c>
      <c r="F86" s="24">
        <v>0</v>
      </c>
    </row>
    <row r="87" spans="1:6" s="13" customFormat="1" ht="26.25">
      <c r="A87" s="29" t="s">
        <v>87</v>
      </c>
      <c r="B87" s="28">
        <v>0</v>
      </c>
      <c r="C87" s="28">
        <v>0</v>
      </c>
      <c r="D87" s="28">
        <v>0</v>
      </c>
      <c r="E87" s="28">
        <v>0</v>
      </c>
      <c r="F87" s="24">
        <v>0</v>
      </c>
    </row>
    <row r="88" spans="1:6" s="13" customFormat="1" ht="26.25">
      <c r="A88" s="38" t="s">
        <v>88</v>
      </c>
      <c r="B88" s="28">
        <v>0</v>
      </c>
      <c r="C88" s="28">
        <v>0</v>
      </c>
      <c r="D88" s="28">
        <v>0</v>
      </c>
      <c r="E88" s="28">
        <v>0</v>
      </c>
      <c r="F88" s="24">
        <v>0</v>
      </c>
    </row>
    <row r="89" spans="1:6" s="36" customFormat="1" ht="26.25">
      <c r="A89" s="52" t="s">
        <v>89</v>
      </c>
      <c r="B89" s="260">
        <v>0</v>
      </c>
      <c r="C89" s="51">
        <v>0</v>
      </c>
      <c r="D89" s="51">
        <v>0</v>
      </c>
      <c r="E89" s="51">
        <v>0</v>
      </c>
      <c r="F89" s="35">
        <v>0</v>
      </c>
    </row>
    <row r="90" spans="1:6" s="13" customFormat="1" ht="26.25">
      <c r="A90" s="38" t="s">
        <v>90</v>
      </c>
      <c r="B90" s="28">
        <v>0</v>
      </c>
      <c r="C90" s="28">
        <v>2764148</v>
      </c>
      <c r="D90" s="26">
        <v>0</v>
      </c>
      <c r="E90" s="28">
        <v>-2764148</v>
      </c>
      <c r="F90" s="24">
        <v>-1</v>
      </c>
    </row>
    <row r="91" spans="1:6" s="36" customFormat="1" ht="27" thickBot="1">
      <c r="A91" s="53" t="s">
        <v>71</v>
      </c>
      <c r="B91" s="263">
        <v>5158213</v>
      </c>
      <c r="C91" s="54">
        <v>7922361</v>
      </c>
      <c r="D91" s="55">
        <v>4205014</v>
      </c>
      <c r="E91" s="54">
        <v>-3717347</v>
      </c>
      <c r="F91" s="56">
        <v>-0.46922211699264904</v>
      </c>
    </row>
    <row r="92" spans="1:6" s="60" customFormat="1" ht="32.25" thickBot="1">
      <c r="A92" s="57"/>
      <c r="B92" s="58"/>
      <c r="C92" s="58"/>
      <c r="D92" s="58"/>
      <c r="E92" s="59"/>
      <c r="F92" s="59"/>
    </row>
    <row r="93" spans="1:6" s="13" customFormat="1" ht="26.25">
      <c r="A93" s="160" t="s">
        <v>43</v>
      </c>
      <c r="B93" s="161"/>
      <c r="C93" s="161"/>
      <c r="D93" s="162"/>
      <c r="E93" s="161"/>
      <c r="F93" s="163"/>
    </row>
    <row r="94" spans="1:6" s="13" customFormat="1" ht="26.25">
      <c r="A94" s="164" t="s">
        <v>121</v>
      </c>
      <c r="B94" s="165">
        <v>127407</v>
      </c>
      <c r="C94" s="165">
        <v>127407</v>
      </c>
      <c r="D94" s="166"/>
      <c r="E94" s="165">
        <v>-127407</v>
      </c>
      <c r="F94" s="167">
        <v>-1</v>
      </c>
    </row>
    <row r="95" spans="1:6" s="13" customFormat="1" ht="26.25">
      <c r="A95" s="168" t="s">
        <v>45</v>
      </c>
      <c r="B95" s="165">
        <v>0</v>
      </c>
      <c r="C95" s="165">
        <v>0</v>
      </c>
      <c r="D95" s="166"/>
      <c r="E95" s="169">
        <v>0</v>
      </c>
      <c r="F95" s="167">
        <v>0</v>
      </c>
    </row>
    <row r="96" spans="1:6" s="13" customFormat="1" ht="26.25">
      <c r="A96" s="168" t="s">
        <v>122</v>
      </c>
      <c r="B96" s="165">
        <v>0</v>
      </c>
      <c r="C96" s="165">
        <v>0</v>
      </c>
      <c r="D96" s="166"/>
      <c r="E96" s="169">
        <v>0</v>
      </c>
      <c r="F96" s="167">
        <v>0</v>
      </c>
    </row>
    <row r="97" spans="1:10" s="13" customFormat="1" ht="26.25" hidden="1">
      <c r="A97" s="168" t="s">
        <v>47</v>
      </c>
      <c r="B97" s="165">
        <v>0</v>
      </c>
      <c r="C97" s="165">
        <v>0</v>
      </c>
      <c r="D97" s="166"/>
      <c r="E97" s="169">
        <v>0</v>
      </c>
      <c r="F97" s="167">
        <v>0</v>
      </c>
    </row>
    <row r="98" spans="1:10" s="13" customFormat="1" ht="26.25" hidden="1">
      <c r="A98" s="170" t="s">
        <v>48</v>
      </c>
      <c r="B98" s="165">
        <v>0</v>
      </c>
      <c r="C98" s="165">
        <v>0</v>
      </c>
      <c r="D98" s="166"/>
      <c r="E98" s="169">
        <v>0</v>
      </c>
      <c r="F98" s="167">
        <v>0</v>
      </c>
    </row>
    <row r="99" spans="1:10" s="36" customFormat="1" ht="27" thickBot="1">
      <c r="A99" s="171" t="s">
        <v>49</v>
      </c>
      <c r="B99" s="172">
        <v>127407</v>
      </c>
      <c r="C99" s="172">
        <v>127407</v>
      </c>
      <c r="D99" s="173">
        <v>0</v>
      </c>
      <c r="E99" s="172">
        <v>-127407</v>
      </c>
      <c r="F99" s="174">
        <v>-1</v>
      </c>
      <c r="J99" s="36" t="s">
        <v>50</v>
      </c>
    </row>
    <row r="100" spans="1:10" s="36" customFormat="1" ht="26.25">
      <c r="A100" s="175"/>
      <c r="B100" s="176"/>
      <c r="C100" s="176"/>
      <c r="D100" s="176"/>
      <c r="E100" s="176"/>
      <c r="F100" s="177"/>
    </row>
    <row r="101" spans="1:10" s="60" customFormat="1" ht="31.5">
      <c r="A101" s="61" t="s">
        <v>91</v>
      </c>
      <c r="B101" s="62"/>
      <c r="C101" s="62"/>
      <c r="D101" s="62"/>
      <c r="E101" s="59"/>
      <c r="F101" s="59"/>
    </row>
    <row r="102" spans="1:10" s="60" customFormat="1" ht="31.5">
      <c r="A102" s="61" t="s">
        <v>92</v>
      </c>
      <c r="B102" s="62"/>
      <c r="C102" s="62"/>
      <c r="D102" s="62"/>
      <c r="E102" s="59"/>
      <c r="F102" s="59"/>
    </row>
    <row r="103" spans="1:10" ht="30">
      <c r="A103" s="178" t="s">
        <v>123</v>
      </c>
      <c r="B103" s="64"/>
      <c r="C103" s="64"/>
      <c r="D103" s="64"/>
    </row>
  </sheetData>
  <pageMargins left="0.7" right="0.7" top="0.32" bottom="0.28999999999999998" header="0.3" footer="0.3"/>
  <pageSetup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3"/>
  <sheetViews>
    <sheetView topLeftCell="A25" zoomScale="50" zoomScaleNormal="50" workbookViewId="0">
      <selection activeCell="M46" sqref="M46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0.285156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4" t="s">
        <v>140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f>LSUE!B8+SUS!B8+'LCTC System'!B8-'LCTC BOS'!B8</f>
        <v>150479822</v>
      </c>
      <c r="C8" s="23">
        <f>LSUE!C8+SUS!C8+'LCTC System'!C8-'LCTC BOS'!C8</f>
        <v>150479822</v>
      </c>
      <c r="D8" s="23">
        <f>LSUE!D8+SUS!D8+'LCTC System'!D8-'LCTC BOS'!D8</f>
        <v>148854179</v>
      </c>
      <c r="E8" s="23">
        <f t="shared" ref="E8:E28" si="0">D8-C8</f>
        <v>-1625643</v>
      </c>
      <c r="F8" s="24">
        <f t="shared" ref="F8:F28" si="1">IF(ISBLANK(E8),"  ",IF(C8&gt;0,E8/C8,IF(E8&gt;0,1,0)))</f>
        <v>-1.0803063017977253E-2</v>
      </c>
    </row>
    <row r="9" spans="1:6" s="13" customFormat="1" ht="26.25">
      <c r="A9" s="22" t="s">
        <v>17</v>
      </c>
      <c r="B9" s="23">
        <f>LSUE!B9+SUS!B9+'LCTC System'!B9-'LCTC BOS'!B9</f>
        <v>0</v>
      </c>
      <c r="C9" s="23">
        <f>LSUE!C9+SUS!C9+'LCTC System'!C9-'LCTC BOS'!C9</f>
        <v>0</v>
      </c>
      <c r="D9" s="23">
        <f>LSUE!D9+SUS!D9+'LCTC System'!D9-'LCTC BOS'!D9</f>
        <v>0</v>
      </c>
      <c r="E9" s="23">
        <f t="shared" si="0"/>
        <v>0</v>
      </c>
      <c r="F9" s="24">
        <f t="shared" si="1"/>
        <v>0</v>
      </c>
    </row>
    <row r="10" spans="1:6" s="13" customFormat="1" ht="26.25">
      <c r="A10" s="25" t="s">
        <v>18</v>
      </c>
      <c r="B10" s="26">
        <f>SUM(B11:B28)</f>
        <v>6359371</v>
      </c>
      <c r="C10" s="26">
        <f>SUM(C11:C28)</f>
        <v>6382301</v>
      </c>
      <c r="D10" s="26">
        <f>SUM(D11:D28)</f>
        <v>7423463</v>
      </c>
      <c r="E10" s="26">
        <f t="shared" si="0"/>
        <v>1041162</v>
      </c>
      <c r="F10" s="24">
        <f t="shared" si="1"/>
        <v>0.16313270088640444</v>
      </c>
    </row>
    <row r="11" spans="1:6" s="13" customFormat="1" ht="26.25">
      <c r="A11" s="27" t="s">
        <v>19</v>
      </c>
      <c r="B11" s="23">
        <f>LSUE!B11+SUS!B11+'LCTC System'!B11-'LCTC BOS'!B11</f>
        <v>117840</v>
      </c>
      <c r="C11" s="23">
        <f>LSUE!C11+SUS!C11+'LCTC System'!C11-'LCTC BOS'!C11</f>
        <v>114210</v>
      </c>
      <c r="D11" s="23">
        <f>LSUE!D11+SUS!D11+'LCTC System'!D11-'LCTC BOS'!D11</f>
        <v>0</v>
      </c>
      <c r="E11" s="26">
        <f t="shared" si="0"/>
        <v>-114210</v>
      </c>
      <c r="F11" s="24">
        <f t="shared" si="1"/>
        <v>-1</v>
      </c>
    </row>
    <row r="12" spans="1:6" s="13" customFormat="1" ht="26.25">
      <c r="A12" s="29" t="s">
        <v>20</v>
      </c>
      <c r="B12" s="23">
        <f>LSUE!B12+SUS!B12+'LCTC System'!B12-'LCTC BOS'!B12</f>
        <v>5566330</v>
      </c>
      <c r="C12" s="23">
        <f>LSUE!C12+SUS!C12+'LCTC System'!C12-'LCTC BOS'!C12</f>
        <v>5592890</v>
      </c>
      <c r="D12" s="23">
        <f>LSUE!D12+SUS!D12+'LCTC System'!D12-'LCTC BOS'!D12</f>
        <v>5632282</v>
      </c>
      <c r="E12" s="26">
        <f t="shared" si="0"/>
        <v>39392</v>
      </c>
      <c r="F12" s="24">
        <f t="shared" si="1"/>
        <v>7.0432280985322435E-3</v>
      </c>
    </row>
    <row r="13" spans="1:6" s="13" customFormat="1" ht="26.25">
      <c r="A13" s="29" t="s">
        <v>21</v>
      </c>
      <c r="B13" s="23">
        <f>LSUE!B13+SUS!B13+'LCTC System'!B13-'LCTC BOS'!B13</f>
        <v>0</v>
      </c>
      <c r="C13" s="23">
        <f>LSUE!C13+SUS!C13+'LCTC System'!C13-'LCTC BOS'!C13</f>
        <v>0</v>
      </c>
      <c r="D13" s="23">
        <f>LSUE!D13+SUS!D13+'LCTC System'!D13-'LCTC BOS'!D13</f>
        <v>0</v>
      </c>
      <c r="E13" s="26">
        <f t="shared" si="0"/>
        <v>0</v>
      </c>
      <c r="F13" s="24">
        <f t="shared" si="1"/>
        <v>0</v>
      </c>
    </row>
    <row r="14" spans="1:6" s="13" customFormat="1" ht="26.25">
      <c r="A14" s="29" t="s">
        <v>22</v>
      </c>
      <c r="B14" s="23">
        <f>LSUE!B14+SUS!B14+'LCTC System'!B14-'LCTC BOS'!B14</f>
        <v>175201</v>
      </c>
      <c r="C14" s="23">
        <f>LSUE!C14+SUS!C14+'LCTC System'!C14-'LCTC BOS'!C14</f>
        <v>175201</v>
      </c>
      <c r="D14" s="23">
        <f>LSUE!D14+SUS!D14+'LCTC System'!D14-'LCTC BOS'!D14</f>
        <v>175201</v>
      </c>
      <c r="E14" s="26">
        <f t="shared" si="0"/>
        <v>0</v>
      </c>
      <c r="F14" s="24">
        <f t="shared" si="1"/>
        <v>0</v>
      </c>
    </row>
    <row r="15" spans="1:6" s="13" customFormat="1" ht="26.25">
      <c r="A15" s="29" t="s">
        <v>23</v>
      </c>
      <c r="B15" s="23">
        <f>LSUE!B15+SUS!B15+'LCTC System'!B15-'LCTC BOS'!B15</f>
        <v>0</v>
      </c>
      <c r="C15" s="23">
        <f>LSUE!C15+SUS!C15+'LCTC System'!C15-'LCTC BOS'!C15</f>
        <v>0</v>
      </c>
      <c r="D15" s="23">
        <f>LSUE!D15+SUS!D15+'LCTC System'!D15-'LCTC BOS'!D15</f>
        <v>150000</v>
      </c>
      <c r="E15" s="26">
        <f t="shared" si="0"/>
        <v>150000</v>
      </c>
      <c r="F15" s="24">
        <f t="shared" si="1"/>
        <v>1</v>
      </c>
    </row>
    <row r="16" spans="1:6" s="13" customFormat="1" ht="26.25">
      <c r="A16" s="29" t="s">
        <v>24</v>
      </c>
      <c r="B16" s="23">
        <f>LSUE!B16+SUS!B16+'LCTC System'!B16-'LCTC BOS'!B16</f>
        <v>0</v>
      </c>
      <c r="C16" s="23">
        <f>LSUE!C16+SUS!C16+'LCTC System'!C16-'LCTC BOS'!C16</f>
        <v>0</v>
      </c>
      <c r="D16" s="23">
        <f>LSUE!D16+SUS!D16+'LCTC System'!D16-'LCTC BOS'!D16</f>
        <v>0</v>
      </c>
      <c r="E16" s="26">
        <f t="shared" si="0"/>
        <v>0</v>
      </c>
      <c r="F16" s="24">
        <f t="shared" si="1"/>
        <v>0</v>
      </c>
    </row>
    <row r="17" spans="1:6" s="13" customFormat="1" ht="26.25">
      <c r="A17" s="29" t="s">
        <v>25</v>
      </c>
      <c r="B17" s="23">
        <f>LSUE!B17+SUS!B17+'LCTC System'!B17-'LCTC BOS'!B17</f>
        <v>0</v>
      </c>
      <c r="C17" s="23">
        <f>LSUE!C17+SUS!C17+'LCTC System'!C17-'LCTC BOS'!C17</f>
        <v>0</v>
      </c>
      <c r="D17" s="23">
        <f>LSUE!D17+SUS!D17+'LCTC System'!D17-'LCTC BOS'!D17</f>
        <v>0</v>
      </c>
      <c r="E17" s="26">
        <f t="shared" si="0"/>
        <v>0</v>
      </c>
      <c r="F17" s="24">
        <f t="shared" si="1"/>
        <v>0</v>
      </c>
    </row>
    <row r="18" spans="1:6" s="13" customFormat="1" ht="26.25">
      <c r="A18" s="29" t="s">
        <v>26</v>
      </c>
      <c r="B18" s="23">
        <f>LSUE!B18+SUS!B18+'LCTC System'!B18-'LCTC BOS'!B18</f>
        <v>0</v>
      </c>
      <c r="C18" s="23">
        <f>LSUE!C18+SUS!C18+'LCTC System'!C18-'LCTC BOS'!C18</f>
        <v>0</v>
      </c>
      <c r="D18" s="23">
        <f>LSUE!D18+SUS!D18+'LCTC System'!D18-'LCTC BOS'!D18</f>
        <v>0</v>
      </c>
      <c r="E18" s="26">
        <f t="shared" si="0"/>
        <v>0</v>
      </c>
      <c r="F18" s="24">
        <f t="shared" si="1"/>
        <v>0</v>
      </c>
    </row>
    <row r="19" spans="1:6" s="13" customFormat="1" ht="26.25">
      <c r="A19" s="29" t="s">
        <v>27</v>
      </c>
      <c r="B19" s="23">
        <f>LSUE!B19+SUS!B19+'LCTC System'!B19-'LCTC BOS'!B19</f>
        <v>0</v>
      </c>
      <c r="C19" s="23">
        <f>LSUE!C19+SUS!C19+'LCTC System'!C19-'LCTC BOS'!C19</f>
        <v>0</v>
      </c>
      <c r="D19" s="23">
        <f>LSUE!D19+SUS!D19+'LCTC System'!D19-'LCTC BOS'!D19</f>
        <v>0</v>
      </c>
      <c r="E19" s="26">
        <f t="shared" si="0"/>
        <v>0</v>
      </c>
      <c r="F19" s="24">
        <f t="shared" si="1"/>
        <v>0</v>
      </c>
    </row>
    <row r="20" spans="1:6" s="13" customFormat="1" ht="26.25">
      <c r="A20" s="29" t="s">
        <v>28</v>
      </c>
      <c r="B20" s="23">
        <f>LSUE!B20+SUS!B20+'LCTC System'!B20-'LCTC BOS'!B20</f>
        <v>0</v>
      </c>
      <c r="C20" s="23">
        <f>LSUE!C20+SUS!C20+'LCTC System'!C20-'LCTC BOS'!C20</f>
        <v>0</v>
      </c>
      <c r="D20" s="23">
        <f>LSUE!D20+SUS!D20+'LCTC System'!D20-'LCTC BOS'!D20</f>
        <v>0</v>
      </c>
      <c r="E20" s="26">
        <f t="shared" si="0"/>
        <v>0</v>
      </c>
      <c r="F20" s="24">
        <f t="shared" si="1"/>
        <v>0</v>
      </c>
    </row>
    <row r="21" spans="1:6" s="13" customFormat="1" ht="26.25">
      <c r="A21" s="29" t="s">
        <v>29</v>
      </c>
      <c r="B21" s="23">
        <f>LSUE!B21+SUS!B21+'LCTC System'!B21-'LCTC BOS'!B21</f>
        <v>0</v>
      </c>
      <c r="C21" s="23">
        <f>LSUE!C21+SUS!C21+'LCTC System'!C21-'LCTC BOS'!C21</f>
        <v>0</v>
      </c>
      <c r="D21" s="23">
        <f>LSUE!D21+SUS!D21+'LCTC System'!D21-'LCTC BOS'!D21</f>
        <v>0</v>
      </c>
      <c r="E21" s="26">
        <f t="shared" si="0"/>
        <v>0</v>
      </c>
      <c r="F21" s="24">
        <f t="shared" si="1"/>
        <v>0</v>
      </c>
    </row>
    <row r="22" spans="1:6" s="13" customFormat="1" ht="26.25">
      <c r="A22" s="29" t="s">
        <v>30</v>
      </c>
      <c r="B22" s="23">
        <f>LSUE!B22+SUS!B22+'LCTC System'!B22-'LCTC BOS'!B22</f>
        <v>0</v>
      </c>
      <c r="C22" s="23">
        <f>LSUE!C22+SUS!C22+'LCTC System'!C22-'LCTC BOS'!C22</f>
        <v>0</v>
      </c>
      <c r="D22" s="23">
        <f>LSUE!D22+SUS!D22+'LCTC System'!D22-'LCTC BOS'!D22</f>
        <v>0</v>
      </c>
      <c r="E22" s="26">
        <f t="shared" si="0"/>
        <v>0</v>
      </c>
      <c r="F22" s="24">
        <f t="shared" si="1"/>
        <v>0</v>
      </c>
    </row>
    <row r="23" spans="1:6" s="13" customFormat="1" ht="26.25">
      <c r="A23" s="30" t="s">
        <v>31</v>
      </c>
      <c r="B23" s="23">
        <f>LSUE!B23+SUS!B23+'LCTC System'!B23-'LCTC BOS'!B23</f>
        <v>0</v>
      </c>
      <c r="C23" s="23">
        <f>LSUE!C23+SUS!C23+'LCTC System'!C23-'LCTC BOS'!C23</f>
        <v>0</v>
      </c>
      <c r="D23" s="23">
        <f>LSUE!D23+SUS!D23+'LCTC System'!D23-'LCTC BOS'!D23</f>
        <v>0</v>
      </c>
      <c r="E23" s="26">
        <f t="shared" si="0"/>
        <v>0</v>
      </c>
      <c r="F23" s="24">
        <f t="shared" si="1"/>
        <v>0</v>
      </c>
    </row>
    <row r="24" spans="1:6" s="13" customFormat="1" ht="26.25">
      <c r="A24" s="30" t="s">
        <v>32</v>
      </c>
      <c r="B24" s="23">
        <f>LSUE!B24+SUS!B24+'LCTC System'!B24-'LCTC BOS'!B24</f>
        <v>0</v>
      </c>
      <c r="C24" s="23">
        <f>LSUE!C24+SUS!C24+'LCTC System'!C24-'LCTC BOS'!C24</f>
        <v>0</v>
      </c>
      <c r="D24" s="23">
        <f>LSUE!D24+SUS!D24+'LCTC System'!D24-'LCTC BOS'!D24</f>
        <v>0</v>
      </c>
      <c r="E24" s="26">
        <f t="shared" si="0"/>
        <v>0</v>
      </c>
      <c r="F24" s="24">
        <f t="shared" si="1"/>
        <v>0</v>
      </c>
    </row>
    <row r="25" spans="1:6" s="13" customFormat="1" ht="26.25">
      <c r="A25" s="30" t="s">
        <v>33</v>
      </c>
      <c r="B25" s="23">
        <f>LSUE!B25+SUS!B25+'LCTC System'!B25-'LCTC BOS'!B25</f>
        <v>0</v>
      </c>
      <c r="C25" s="23">
        <f>LSUE!C25+SUS!C25+'LCTC System'!C25-'LCTC BOS'!C25</f>
        <v>0</v>
      </c>
      <c r="D25" s="23">
        <f>LSUE!D25+SUS!D25+'LCTC System'!D25-'LCTC BOS'!D25</f>
        <v>0</v>
      </c>
      <c r="E25" s="26">
        <f t="shared" si="0"/>
        <v>0</v>
      </c>
      <c r="F25" s="24">
        <f t="shared" si="1"/>
        <v>0</v>
      </c>
    </row>
    <row r="26" spans="1:6" s="13" customFormat="1" ht="26.25">
      <c r="A26" s="30" t="s">
        <v>34</v>
      </c>
      <c r="B26" s="23">
        <f>LSUE!B26+SUS!B26+'LCTC System'!B26-'LCTC BOS'!B26</f>
        <v>0</v>
      </c>
      <c r="C26" s="23">
        <f>LSUE!C26+SUS!C26+'LCTC System'!C26-'LCTC BOS'!C26</f>
        <v>0</v>
      </c>
      <c r="D26" s="23">
        <f>LSUE!D26+SUS!D26+'LCTC System'!D26-'LCTC BOS'!D26</f>
        <v>1465980</v>
      </c>
      <c r="E26" s="26">
        <f t="shared" si="0"/>
        <v>1465980</v>
      </c>
      <c r="F26" s="24">
        <f t="shared" si="1"/>
        <v>1</v>
      </c>
    </row>
    <row r="27" spans="1:6" s="13" customFormat="1" ht="26.25">
      <c r="A27" s="30" t="s">
        <v>35</v>
      </c>
      <c r="B27" s="23">
        <f>LSUE!B27+SUS!B27+'LCTC System'!B27-'LCTC BOS'!B27</f>
        <v>0</v>
      </c>
      <c r="C27" s="23">
        <f>LSUE!C27+SUS!C27+'LCTC System'!C27-'LCTC BOS'!C27</f>
        <v>0</v>
      </c>
      <c r="D27" s="23">
        <f>LSUE!D27+SUS!D27+'LCTC System'!D27-'LCTC BOS'!D27</f>
        <v>0</v>
      </c>
      <c r="E27" s="26">
        <f t="shared" si="0"/>
        <v>0</v>
      </c>
      <c r="F27" s="24">
        <f t="shared" si="1"/>
        <v>0</v>
      </c>
    </row>
    <row r="28" spans="1:6" s="13" customFormat="1" ht="26.25">
      <c r="A28" s="30" t="s">
        <v>36</v>
      </c>
      <c r="B28" s="23">
        <f>LSUE!B28+SUS!B28+'LCTC System'!B28-'LCTC BOS'!B28</f>
        <v>500000</v>
      </c>
      <c r="C28" s="23">
        <f>LSUE!C28+SUS!C28+'LCTC System'!C28-'LCTC BOS'!C28</f>
        <v>500000</v>
      </c>
      <c r="D28" s="23">
        <f>LSUE!D28+SUS!D28+'LCTC System'!D28-'LCTC BOS'!D28</f>
        <v>0</v>
      </c>
      <c r="E28" s="26">
        <f t="shared" si="0"/>
        <v>-500000</v>
      </c>
      <c r="F28" s="24">
        <f t="shared" si="1"/>
        <v>-1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f>'LSU BOS'!B30+LSUBR!B30+LSUA!B30+LSUS!B30+UNO!B30+LSUE!B30+LSULAW!B30+LSUAG!B30+Penn!B30+EAConway!B30+HPLong!B30+HSCNO!B30+HSCS!B30</f>
        <v>0</v>
      </c>
      <c r="C30" s="23">
        <f>'LSU BOS'!C30+LSUBR!C30+LSUA!C30+LSUS!C30+UNO!C30+LSUE!C30+LSULAW!C30+LSUAG!C30+Penn!C30+EAConway!C30+HPLong!C30+HSCNO!C30+HSCS!C30</f>
        <v>0</v>
      </c>
      <c r="D30" s="23">
        <f>'LSU BOS'!D30+LSUBR!D30+LSUA!D30+LSUS!D30+UNO!D30+LSUE!D30+LSULAW!D30+LSUAG!D30+Penn!D30+EAConway!D30+HPLong!D30+HSCNO!D30+HSCS!D30</f>
        <v>0</v>
      </c>
      <c r="E30" s="23">
        <f>D30-C30</f>
        <v>0</v>
      </c>
      <c r="F30" s="24">
        <f>IF(ISBLANK(E30),"  ",IF(C30&gt;0,E30/C30,IF(E30&gt;0,1,0)))</f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23">
        <f>'LSU BOS'!B32+LSUBR!B32+LSUA!B32+LSUS!B32+UNO!B32+LSUE!B32+LSULAW!B32+LSUAG!B32+Penn!B32+EAConway!B32+HPLong!B32+HSCNO!B32+HSCS!B32</f>
        <v>0</v>
      </c>
      <c r="C32" s="23">
        <f>'LSU BOS'!C32+LSUBR!C32+LSUA!C32+LSUS!C32+UNO!C32+LSUE!C32+LSULAW!C32+LSUAG!C32+Penn!C32+EAConway!C32+HPLong!C32+HSCNO!C32+HSCS!C32</f>
        <v>0</v>
      </c>
      <c r="D32" s="23">
        <f>'LSU BOS'!D32+LSUBR!D32+LSUA!D32+LSUS!D32+UNO!D32+LSUE!D32+LSULAW!D32+LSUAG!D32+Penn!D32+EAConway!D32+HPLong!D32+HSCNO!D32+HSCS!D32</f>
        <v>0</v>
      </c>
      <c r="E32" s="23">
        <f>D32-C32</f>
        <v>0</v>
      </c>
      <c r="F32" s="24">
        <f>IF(ISBLANK(E32),"  ",IF(C32&gt;0,E32/C32,IF(E32&gt;0,1,0)))</f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tr">
        <f>IF(ISBLANK(E33),"  ",IF(C33&gt;0,E33/C33,IF(E33&gt;0,1,0)))</f>
        <v xml:space="preserve">  </v>
      </c>
    </row>
    <row r="34" spans="1:10" s="36" customFormat="1" ht="26.25">
      <c r="A34" s="33" t="s">
        <v>42</v>
      </c>
      <c r="B34" s="34">
        <f>B33+B32+B30+B10+B9+B8</f>
        <v>156839193</v>
      </c>
      <c r="C34" s="34">
        <f>C33+C32+C30+C10+C9+C8</f>
        <v>156862123</v>
      </c>
      <c r="D34" s="34">
        <f>D33+D32+D30+D10+D9+D8</f>
        <v>156277642</v>
      </c>
      <c r="E34" s="34">
        <f>D34-C34</f>
        <v>-584481</v>
      </c>
      <c r="F34" s="35">
        <f>IF(ISBLANK(E34),"  ",IF(C34&gt;0,E34/C34,IF(E34&gt;0,1,0)))</f>
        <v>-3.7260811521720892E-3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f>LSUE!B36+SUS!B36+'LCTC System'!B36-'LCTC BOS'!B36</f>
        <v>0</v>
      </c>
      <c r="C36" s="23">
        <f>LSUE!C36+SUS!C36+'LCTC System'!C36-'LCTC BOS'!C36</f>
        <v>0</v>
      </c>
      <c r="D36" s="23">
        <f>LSUE!D36+SUS!D36+'LCTC System'!D36-'LCTC BOS'!D36</f>
        <v>0</v>
      </c>
      <c r="E36" s="23">
        <f t="shared" ref="E36:E41" si="2">D36-C36</f>
        <v>0</v>
      </c>
      <c r="F36" s="24">
        <f t="shared" ref="F36:F41" si="3">IF(ISBLANK(E36),"  ",IF(C36&gt;0,E36/C36,IF(E36&gt;0,1,0)))</f>
        <v>0</v>
      </c>
    </row>
    <row r="37" spans="1:10" s="13" customFormat="1" ht="26.25">
      <c r="A37" s="38" t="s">
        <v>45</v>
      </c>
      <c r="B37" s="23">
        <f>LSUE!B37+SUS!B37+'LCTC System'!B37-'LCTC BOS'!B37</f>
        <v>0</v>
      </c>
      <c r="C37" s="23">
        <f>LSUE!C37+SUS!C37+'LCTC System'!C37-'LCTC BOS'!C37</f>
        <v>0</v>
      </c>
      <c r="D37" s="23">
        <f>LSUE!D37+SUS!D37+'LCTC System'!D37-'LCTC BOS'!D37</f>
        <v>0</v>
      </c>
      <c r="E37" s="26">
        <f t="shared" si="2"/>
        <v>0</v>
      </c>
      <c r="F37" s="24">
        <f t="shared" si="3"/>
        <v>0</v>
      </c>
    </row>
    <row r="38" spans="1:10" s="13" customFormat="1" ht="26.25">
      <c r="A38" s="38" t="s">
        <v>46</v>
      </c>
      <c r="B38" s="23">
        <f>LSUE!B38+SUS!B38+'LCTC System'!B38-'LCTC BOS'!B38</f>
        <v>19759691</v>
      </c>
      <c r="C38" s="23">
        <f>LSUE!C38+SUS!C38+'LCTC System'!C38-'LCTC BOS'!C38</f>
        <v>0</v>
      </c>
      <c r="D38" s="23">
        <f>LSUE!D38+SUS!D38+'LCTC System'!D38-'LCTC BOS'!D38</f>
        <v>0</v>
      </c>
      <c r="E38" s="26">
        <f t="shared" si="2"/>
        <v>0</v>
      </c>
      <c r="F38" s="24">
        <f t="shared" si="3"/>
        <v>0</v>
      </c>
    </row>
    <row r="39" spans="1:10" s="13" customFormat="1" ht="26.25">
      <c r="A39" s="38" t="s">
        <v>47</v>
      </c>
      <c r="B39" s="23">
        <f>LSUE!B39+SUS!B39+'LCTC System'!B39-'LCTC BOS'!B39</f>
        <v>0</v>
      </c>
      <c r="C39" s="23">
        <f>LSUE!C39+SUS!C39+'LCTC System'!C39-'LCTC BOS'!C39</f>
        <v>0</v>
      </c>
      <c r="D39" s="23">
        <f>LSUE!D39+SUS!D39+'LCTC System'!D39-'LCTC BOS'!D39</f>
        <v>0</v>
      </c>
      <c r="E39" s="26">
        <f t="shared" si="2"/>
        <v>0</v>
      </c>
      <c r="F39" s="24">
        <f t="shared" si="3"/>
        <v>0</v>
      </c>
    </row>
    <row r="40" spans="1:10" s="13" customFormat="1" ht="26.25">
      <c r="A40" s="39" t="s">
        <v>48</v>
      </c>
      <c r="B40" s="23">
        <f>LSUE!B40+SUS!B40+'LCTC System'!B40-'LCTC BOS'!B40</f>
        <v>0</v>
      </c>
      <c r="C40" s="23">
        <f>LSUE!C40+SUS!C40+'LCTC System'!C40-'LCTC BOS'!C40</f>
        <v>0</v>
      </c>
      <c r="D40" s="23">
        <f>LSUE!D40+SUS!D40+'LCTC System'!D40-'LCTC BOS'!D40</f>
        <v>0</v>
      </c>
      <c r="E40" s="26">
        <f t="shared" si="2"/>
        <v>0</v>
      </c>
      <c r="F40" s="24">
        <f t="shared" si="3"/>
        <v>0</v>
      </c>
    </row>
    <row r="41" spans="1:10" s="36" customFormat="1" ht="26.25">
      <c r="A41" s="31" t="s">
        <v>49</v>
      </c>
      <c r="B41" s="40">
        <f>SUM(B36:B40)</f>
        <v>19759691</v>
      </c>
      <c r="C41" s="40">
        <f>SUM(C36:C40)</f>
        <v>0</v>
      </c>
      <c r="D41" s="40">
        <f>SUM(D36:D40)</f>
        <v>0</v>
      </c>
      <c r="E41" s="40">
        <f t="shared" si="2"/>
        <v>0</v>
      </c>
      <c r="F41" s="35">
        <f t="shared" si="3"/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23">
        <f>LSUE!B43+SUS!B43+'LCTC System'!B43-'LCTC BOS'!B43</f>
        <v>0</v>
      </c>
      <c r="C43" s="23">
        <f>LSUE!C43+SUS!C43+'LCTC System'!C43-'LCTC BOS'!C43</f>
        <v>0</v>
      </c>
      <c r="D43" s="23">
        <f>LSUE!D43+SUS!D43+'LCTC System'!D43-'LCTC BOS'!D43</f>
        <v>0</v>
      </c>
      <c r="E43" s="42">
        <f>D43-C43</f>
        <v>0</v>
      </c>
      <c r="F43" s="35">
        <f>IF(ISBLANK(E43),"  ",IF(C43&gt;0,E43/C43,IF(E43&gt;0,1,0)))</f>
        <v>0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f>LSUE!B45+SUS!B45+'LCTC System'!B45-'LCTC BOS'!B45</f>
        <v>46300787</v>
      </c>
      <c r="C45" s="42">
        <f>LSUE!C45+SUS!C45+'LCTC System'!C45-'LCTC BOS'!C45</f>
        <v>46300787</v>
      </c>
      <c r="D45" s="42">
        <f>LSUE!D45+SUS!D45+'LCTC System'!D45-'LCTC BOS'!D45</f>
        <v>0</v>
      </c>
      <c r="E45" s="42">
        <f>D45-C45</f>
        <v>-46300787</v>
      </c>
      <c r="F45" s="35">
        <f>IF(ISBLANK(E45),"  ",IF(C45&gt;0,E45/C45,IF(E45&gt;0,1,0)))</f>
        <v>-1</v>
      </c>
    </row>
    <row r="46" spans="1:10" s="13" customFormat="1" ht="26.25">
      <c r="A46" s="29" t="s">
        <v>50</v>
      </c>
      <c r="B46" s="34"/>
      <c r="C46" s="34"/>
      <c r="D46" s="34"/>
      <c r="E46" s="28"/>
      <c r="F46" s="20"/>
    </row>
    <row r="47" spans="1:10" s="36" customFormat="1" ht="26.25">
      <c r="A47" s="31" t="s">
        <v>53</v>
      </c>
      <c r="B47" s="42">
        <f>LSUE!B47+SUS!B47+'LCTC System'!B47-'LCTC BOS'!B47</f>
        <v>119119127.64999999</v>
      </c>
      <c r="C47" s="42">
        <f>LSUE!C47+SUS!C47+'LCTC System'!C47-'LCTC BOS'!C47</f>
        <v>107195391</v>
      </c>
      <c r="D47" s="42">
        <f>LSUE!D47+SUS!D47+'LCTC System'!D47-'LCTC BOS'!D47</f>
        <v>159077958</v>
      </c>
      <c r="E47" s="40">
        <f>D47-C47</f>
        <v>51882567</v>
      </c>
      <c r="F47" s="35">
        <f>IF(ISBLANK(E47),"  ",IF(C47&gt;0,E47/C47,IF(E47&gt;0,1,0)))</f>
        <v>0.48399997906626413</v>
      </c>
    </row>
    <row r="48" spans="1:10" s="13" customFormat="1" ht="26.25">
      <c r="A48" s="29" t="s">
        <v>50</v>
      </c>
      <c r="B48" s="34"/>
      <c r="C48" s="34"/>
      <c r="D48" s="34"/>
      <c r="E48" s="28"/>
      <c r="F48" s="20"/>
    </row>
    <row r="49" spans="1:13" s="36" customFormat="1" ht="26.25">
      <c r="A49" s="43" t="s">
        <v>54</v>
      </c>
      <c r="B49" s="42">
        <f>LSUE!B49+SUS!B49+'LCTC System'!B49-'LCTC BOS'!B49</f>
        <v>0</v>
      </c>
      <c r="C49" s="42">
        <f>LSUE!C49+SUS!C49+'LCTC System'!C49-'LCTC BOS'!C49</f>
        <v>0</v>
      </c>
      <c r="D49" s="42">
        <f>LSUE!D49+SUS!D49+'LCTC System'!D49-'LCTC BOS'!D49</f>
        <v>0</v>
      </c>
      <c r="E49" s="44">
        <f>D49-C49</f>
        <v>0</v>
      </c>
      <c r="F49" s="35">
        <f>IF(ISBLANK(E49),"  ",IF(C49&gt;0,E49/C49,IF(E49&gt;0,1,0)))</f>
        <v>0</v>
      </c>
      <c r="M49" s="36" t="s">
        <v>50</v>
      </c>
    </row>
    <row r="50" spans="1:13" s="13" customFormat="1" ht="26.25">
      <c r="A50" s="31"/>
      <c r="B50" s="40"/>
      <c r="C50" s="40"/>
      <c r="D50" s="40"/>
      <c r="E50" s="19"/>
      <c r="F50" s="45"/>
    </row>
    <row r="51" spans="1:13" s="36" customFormat="1" ht="26.25">
      <c r="A51" s="31" t="s">
        <v>55</v>
      </c>
      <c r="B51" s="42">
        <f>LSUE!B51+SUS!B51+'LCTC System'!B51-'LCTC BOS'!B51</f>
        <v>10000</v>
      </c>
      <c r="C51" s="42">
        <f>LSUE!C51+SUS!C51+'LCTC System'!C51-'LCTC BOS'!C51</f>
        <v>10000</v>
      </c>
      <c r="D51" s="42">
        <f>LSUE!D51+SUS!D51+'LCTC System'!D51-'LCTC BOS'!D51</f>
        <v>0</v>
      </c>
      <c r="E51" s="44">
        <f>D51-C51</f>
        <v>-10000</v>
      </c>
      <c r="F51" s="35">
        <f>IF(ISBLANK(E51),"  ",IF(C51&gt;0,E51/C51,IF(E51&gt;0,1,0)))</f>
        <v>-1</v>
      </c>
    </row>
    <row r="52" spans="1:13" s="13" customFormat="1" ht="26.25">
      <c r="A52" s="29"/>
      <c r="B52" s="28"/>
      <c r="C52" s="34"/>
      <c r="D52" s="34"/>
      <c r="E52" s="28"/>
      <c r="F52" s="20"/>
    </row>
    <row r="53" spans="1:13" s="36" customFormat="1" ht="26.25">
      <c r="A53" s="46" t="s">
        <v>56</v>
      </c>
      <c r="B53" s="40">
        <f>B49+B47+B45+B43+B34-B41+B51</f>
        <v>302509416.64999998</v>
      </c>
      <c r="C53" s="40">
        <f>C49+C47+C45+C43+C34-C41+C51</f>
        <v>310368301</v>
      </c>
      <c r="D53" s="42">
        <f>D49+D47+D45+D43+D34-D41</f>
        <v>315355600</v>
      </c>
      <c r="E53" s="40">
        <f>D53-C53</f>
        <v>4987299</v>
      </c>
      <c r="F53" s="35">
        <f>IF(ISBLANK(E53),"  ",IF(C53&gt;0,E53/C53,IF(E53&gt;0,1,0)))</f>
        <v>1.6068970265104489E-2</v>
      </c>
    </row>
    <row r="54" spans="1:13" s="13" customFormat="1" ht="26.25">
      <c r="A54" s="47"/>
      <c r="B54" s="28"/>
      <c r="C54" s="34"/>
      <c r="D54" s="34"/>
      <c r="E54" s="28"/>
      <c r="F54" s="20" t="s">
        <v>50</v>
      </c>
    </row>
    <row r="55" spans="1:13" s="13" customFormat="1" ht="26.25">
      <c r="A55" s="48"/>
      <c r="B55" s="19"/>
      <c r="C55" s="40"/>
      <c r="D55" s="40"/>
      <c r="E55" s="19"/>
      <c r="F55" s="21" t="s">
        <v>50</v>
      </c>
    </row>
    <row r="56" spans="1:13" s="13" customFormat="1" ht="26.25">
      <c r="A56" s="46" t="s">
        <v>57</v>
      </c>
      <c r="B56" s="19"/>
      <c r="C56" s="40"/>
      <c r="D56" s="40"/>
      <c r="E56" s="19"/>
      <c r="F56" s="21"/>
    </row>
    <row r="57" spans="1:13" s="13" customFormat="1" ht="26.25">
      <c r="A57" s="27" t="s">
        <v>58</v>
      </c>
      <c r="B57" s="23">
        <f>LSUE!B57+SUS!B57+'LCTC System'!B57-'LCTC BOS'!B57</f>
        <v>150811573</v>
      </c>
      <c r="C57" s="23">
        <f>LSUE!C57+SUS!C57+'LCTC System'!C57-'LCTC BOS'!C57</f>
        <v>155441463</v>
      </c>
      <c r="D57" s="23">
        <f>LSUE!D57+SUS!D57+'LCTC System'!D57-'LCTC BOS'!D57</f>
        <v>159864577.55000001</v>
      </c>
      <c r="E57" s="19">
        <f t="shared" ref="E57:E70" si="4">D57-C57</f>
        <v>4423114.5500000119</v>
      </c>
      <c r="F57" s="24">
        <f t="shared" ref="F57:F70" si="5">IF(ISBLANK(E57),"  ",IF(C57&gt;0,E57/C57,IF(E57&gt;0,1,0)))</f>
        <v>2.8455178332952333E-2</v>
      </c>
    </row>
    <row r="58" spans="1:13" s="13" customFormat="1" ht="26.25">
      <c r="A58" s="29" t="s">
        <v>59</v>
      </c>
      <c r="B58" s="23">
        <f>LSUE!B58+SUS!B58+'LCTC System'!B58-'LCTC BOS'!B58</f>
        <v>0</v>
      </c>
      <c r="C58" s="23">
        <f>LSUE!C58+SUS!C58+'LCTC System'!C58-'LCTC BOS'!C58</f>
        <v>0</v>
      </c>
      <c r="D58" s="23">
        <f>LSUE!D58+SUS!D58+'LCTC System'!D58-'LCTC BOS'!D58</f>
        <v>0</v>
      </c>
      <c r="E58" s="28">
        <f t="shared" si="4"/>
        <v>0</v>
      </c>
      <c r="F58" s="24">
        <f t="shared" si="5"/>
        <v>0</v>
      </c>
    </row>
    <row r="59" spans="1:13" s="13" customFormat="1" ht="26.25">
      <c r="A59" s="29" t="s">
        <v>60</v>
      </c>
      <c r="B59" s="23">
        <f>LSUE!B59+SUS!B59+'LCTC System'!B59-'LCTC BOS'!B59</f>
        <v>370298</v>
      </c>
      <c r="C59" s="23">
        <f>LSUE!C59+SUS!C59+'LCTC System'!C59-'LCTC BOS'!C59</f>
        <v>370298</v>
      </c>
      <c r="D59" s="23">
        <f>LSUE!D59+SUS!D59+'LCTC System'!D59-'LCTC BOS'!D59</f>
        <v>205139</v>
      </c>
      <c r="E59" s="28">
        <f t="shared" si="4"/>
        <v>-165159</v>
      </c>
      <c r="F59" s="24">
        <f t="shared" si="5"/>
        <v>-0.44601645161464548</v>
      </c>
    </row>
    <row r="60" spans="1:13" s="13" customFormat="1" ht="26.25">
      <c r="A60" s="29" t="s">
        <v>61</v>
      </c>
      <c r="B60" s="23">
        <f>LSUE!B60+SUS!B60+'LCTC System'!B60-'LCTC BOS'!B60</f>
        <v>22267898</v>
      </c>
      <c r="C60" s="23">
        <f>LSUE!C60+SUS!C60+'LCTC System'!C60-'LCTC BOS'!C60</f>
        <v>22886841</v>
      </c>
      <c r="D60" s="23">
        <f>LSUE!D60+SUS!D60+'LCTC System'!D60-'LCTC BOS'!D60</f>
        <v>23052736</v>
      </c>
      <c r="E60" s="28">
        <f t="shared" si="4"/>
        <v>165895</v>
      </c>
      <c r="F60" s="24">
        <f t="shared" si="5"/>
        <v>7.2484883344101532E-3</v>
      </c>
    </row>
    <row r="61" spans="1:13" s="13" customFormat="1" ht="26.25">
      <c r="A61" s="29" t="s">
        <v>62</v>
      </c>
      <c r="B61" s="23">
        <f>LSUE!B61+SUS!B61+'LCTC System'!B61-'LCTC BOS'!B61</f>
        <v>20461257</v>
      </c>
      <c r="C61" s="23">
        <f>LSUE!C61+SUS!C61+'LCTC System'!C61-'LCTC BOS'!C61</f>
        <v>21393124</v>
      </c>
      <c r="D61" s="23">
        <f>LSUE!D61+SUS!D61+'LCTC System'!D61-'LCTC BOS'!D61</f>
        <v>22091893</v>
      </c>
      <c r="E61" s="28">
        <f t="shared" si="4"/>
        <v>698769</v>
      </c>
      <c r="F61" s="24">
        <f t="shared" si="5"/>
        <v>3.2663251986946834E-2</v>
      </c>
    </row>
    <row r="62" spans="1:13" s="13" customFormat="1" ht="26.25">
      <c r="A62" s="29" t="s">
        <v>63</v>
      </c>
      <c r="B62" s="23">
        <f>LSUE!B62+SUS!B62+'LCTC System'!B62-'LCTC BOS'!B62</f>
        <v>59111786.479999997</v>
      </c>
      <c r="C62" s="23">
        <f>LSUE!C62+SUS!C62+'LCTC System'!C62-'LCTC BOS'!C62</f>
        <v>60447887.5</v>
      </c>
      <c r="D62" s="23">
        <f>LSUE!D62+SUS!D62+'LCTC System'!D62-'LCTC BOS'!D62</f>
        <v>61062992.950000003</v>
      </c>
      <c r="E62" s="28">
        <f t="shared" si="4"/>
        <v>615105.45000000298</v>
      </c>
      <c r="F62" s="24">
        <f t="shared" si="5"/>
        <v>1.0175797293164347E-2</v>
      </c>
    </row>
    <row r="63" spans="1:13" s="13" customFormat="1" ht="26.25">
      <c r="A63" s="29" t="s">
        <v>64</v>
      </c>
      <c r="B63" s="23">
        <f>LSUE!B63+SUS!B63+'LCTC System'!B63-'LCTC BOS'!B63</f>
        <v>5316178</v>
      </c>
      <c r="C63" s="23">
        <f>LSUE!C63+SUS!C63+'LCTC System'!C63-'LCTC BOS'!C63</f>
        <v>5121461</v>
      </c>
      <c r="D63" s="23">
        <f>LSUE!D63+SUS!D63+'LCTC System'!D63-'LCTC BOS'!D63</f>
        <v>4038358</v>
      </c>
      <c r="E63" s="28">
        <f t="shared" si="4"/>
        <v>-1083103</v>
      </c>
      <c r="F63" s="24">
        <f t="shared" si="5"/>
        <v>-0.21148320762376205</v>
      </c>
    </row>
    <row r="64" spans="1:13" s="13" customFormat="1" ht="26.25">
      <c r="A64" s="29" t="s">
        <v>65</v>
      </c>
      <c r="B64" s="23">
        <f>LSUE!B64+SUS!B64+'LCTC System'!B64-'LCTC BOS'!B64</f>
        <v>37500851.480000004</v>
      </c>
      <c r="C64" s="23">
        <f>LSUE!C64+SUS!C64+'LCTC System'!C64-'LCTC BOS'!C64</f>
        <v>38700266</v>
      </c>
      <c r="D64" s="23">
        <f>LSUE!D64+SUS!D64+'LCTC System'!D64-'LCTC BOS'!D64</f>
        <v>38119964.450000003</v>
      </c>
      <c r="E64" s="28">
        <f t="shared" si="4"/>
        <v>-580301.54999999702</v>
      </c>
      <c r="F64" s="24">
        <f t="shared" si="5"/>
        <v>-1.4994769028202468E-2</v>
      </c>
    </row>
    <row r="65" spans="1:6" s="36" customFormat="1" ht="26.25">
      <c r="A65" s="49" t="s">
        <v>66</v>
      </c>
      <c r="B65" s="264">
        <f>SUM(B57:B64)</f>
        <v>295839841.95999998</v>
      </c>
      <c r="C65" s="51">
        <f>SUM(C57:C64)</f>
        <v>304361340.5</v>
      </c>
      <c r="D65" s="51">
        <f>SUM(D57:D64)</f>
        <v>308435660.94999999</v>
      </c>
      <c r="E65" s="34">
        <f t="shared" si="4"/>
        <v>4074320.4499999881</v>
      </c>
      <c r="F65" s="35">
        <f t="shared" si="5"/>
        <v>1.3386458488146881E-2</v>
      </c>
    </row>
    <row r="66" spans="1:6" s="13" customFormat="1" ht="26.25">
      <c r="A66" s="29" t="s">
        <v>67</v>
      </c>
      <c r="B66" s="23">
        <f>LSUE!B66+SUS!B66+'LCTC System'!B66-'LCTC BOS'!B66</f>
        <v>0</v>
      </c>
      <c r="C66" s="23">
        <f>LSUE!C66+SUS!C66+'LCTC System'!C66-'LCTC BOS'!C66</f>
        <v>0</v>
      </c>
      <c r="D66" s="23">
        <f>LSUE!D66+SUS!D66+'LCTC System'!D66-'LCTC BOS'!D66</f>
        <v>0</v>
      </c>
      <c r="E66" s="28">
        <f t="shared" si="4"/>
        <v>0</v>
      </c>
      <c r="F66" s="24">
        <f t="shared" si="5"/>
        <v>0</v>
      </c>
    </row>
    <row r="67" spans="1:6" s="13" customFormat="1" ht="26.25">
      <c r="A67" s="29" t="s">
        <v>68</v>
      </c>
      <c r="B67" s="23">
        <f>LSUE!B67+SUS!B67+'LCTC System'!B67-'LCTC BOS'!B67</f>
        <v>4392863</v>
      </c>
      <c r="C67" s="23">
        <f>LSUE!C67+SUS!C67+'LCTC System'!C67-'LCTC BOS'!C67</f>
        <v>4538371</v>
      </c>
      <c r="D67" s="23">
        <f>LSUE!D67+SUS!D67+'LCTC System'!D67-'LCTC BOS'!D67</f>
        <v>5926686</v>
      </c>
      <c r="E67" s="28">
        <f t="shared" si="4"/>
        <v>1388315</v>
      </c>
      <c r="F67" s="24">
        <f t="shared" si="5"/>
        <v>0.30590601782005039</v>
      </c>
    </row>
    <row r="68" spans="1:6" s="13" customFormat="1" ht="26.25">
      <c r="A68" s="29" t="s">
        <v>69</v>
      </c>
      <c r="B68" s="23">
        <f>LSUE!B68+SUS!B68+'LCTC System'!B68-'LCTC BOS'!B68</f>
        <v>1395704</v>
      </c>
      <c r="C68" s="23">
        <f>LSUE!C68+SUS!C68+'LCTC System'!C68-'LCTC BOS'!C68</f>
        <v>1353997</v>
      </c>
      <c r="D68" s="23">
        <f>LSUE!D68+SUS!D68+'LCTC System'!D68-'LCTC BOS'!D68</f>
        <v>993253</v>
      </c>
      <c r="E68" s="28">
        <f t="shared" si="4"/>
        <v>-360744</v>
      </c>
      <c r="F68" s="24">
        <f t="shared" si="5"/>
        <v>-0.2664289507288421</v>
      </c>
    </row>
    <row r="69" spans="1:6" s="13" customFormat="1" ht="26.25">
      <c r="A69" s="29" t="s">
        <v>70</v>
      </c>
      <c r="B69" s="23">
        <f>LSUE!B69+SUS!B69+'LCTC System'!B69-'LCTC BOS'!B69</f>
        <v>0</v>
      </c>
      <c r="C69" s="23">
        <f>LSUE!C69+SUS!C69+'LCTC System'!C69-'LCTC BOS'!C69</f>
        <v>0</v>
      </c>
      <c r="D69" s="23">
        <f>LSUE!D69+SUS!D69+'LCTC System'!D69-'LCTC BOS'!D69</f>
        <v>0</v>
      </c>
      <c r="E69" s="28">
        <f t="shared" si="4"/>
        <v>0</v>
      </c>
      <c r="F69" s="24">
        <f t="shared" si="5"/>
        <v>0</v>
      </c>
    </row>
    <row r="70" spans="1:6" s="36" customFormat="1" ht="26.25">
      <c r="A70" s="50" t="s">
        <v>71</v>
      </c>
      <c r="B70" s="51">
        <f>B69+B68+B67+B66+B65</f>
        <v>301628408.95999998</v>
      </c>
      <c r="C70" s="51">
        <f>C69+C68+C67+C66+C65</f>
        <v>310253708.5</v>
      </c>
      <c r="D70" s="51">
        <f>D69+D68+D67+D66+D65</f>
        <v>315355599.94999999</v>
      </c>
      <c r="E70" s="51">
        <f t="shared" si="4"/>
        <v>5101891.4499999881</v>
      </c>
      <c r="F70" s="35">
        <f t="shared" si="5"/>
        <v>1.644425613690928E-2</v>
      </c>
    </row>
    <row r="71" spans="1:6" s="13" customFormat="1" ht="26.25">
      <c r="A71" s="48"/>
      <c r="B71" s="19"/>
      <c r="C71" s="40"/>
      <c r="D71" s="40"/>
      <c r="E71" s="19"/>
      <c r="F71" s="21"/>
    </row>
    <row r="72" spans="1:6" s="13" customFormat="1" ht="26.25">
      <c r="A72" s="46" t="s">
        <v>72</v>
      </c>
      <c r="B72" s="19"/>
      <c r="C72" s="40"/>
      <c r="D72" s="40"/>
      <c r="E72" s="19"/>
      <c r="F72" s="21"/>
    </row>
    <row r="73" spans="1:6" s="13" customFormat="1" ht="26.25">
      <c r="A73" s="27" t="s">
        <v>73</v>
      </c>
      <c r="B73" s="23">
        <f>LSUE!B73+SUS!B73+'LCTC System'!B73-'LCTC BOS'!B73</f>
        <v>170433246.47999999</v>
      </c>
      <c r="C73" s="23">
        <f>LSUE!C73+SUS!C73+'LCTC System'!C73-'LCTC BOS'!C73</f>
        <v>173785693.5</v>
      </c>
      <c r="D73" s="23">
        <f>LSUE!D73+SUS!D73+'LCTC System'!D73-'LCTC BOS'!D73</f>
        <v>175461256</v>
      </c>
      <c r="E73" s="19">
        <f t="shared" ref="E73:E91" si="6">D73-C73</f>
        <v>1675562.5</v>
      </c>
      <c r="F73" s="24">
        <f t="shared" ref="F73:F91" si="7">IF(ISBLANK(E73),"  ",IF(C73&gt;0,E73/C73,IF(E73&gt;0,1,0)))</f>
        <v>9.6415445152854308E-3</v>
      </c>
    </row>
    <row r="74" spans="1:6" s="13" customFormat="1" ht="26.25">
      <c r="A74" s="29" t="s">
        <v>74</v>
      </c>
      <c r="B74" s="23">
        <f>LSUE!B74+SUS!B74+'LCTC System'!B74-'LCTC BOS'!B74</f>
        <v>5367668.5</v>
      </c>
      <c r="C74" s="23">
        <f>LSUE!C74+SUS!C74+'LCTC System'!C74-'LCTC BOS'!C74</f>
        <v>5333921.5</v>
      </c>
      <c r="D74" s="23">
        <f>LSUE!D74+SUS!D74+'LCTC System'!D74-'LCTC BOS'!D74</f>
        <v>5337227</v>
      </c>
      <c r="E74" s="28">
        <f t="shared" si="6"/>
        <v>3305.5</v>
      </c>
      <c r="F74" s="24">
        <f t="shared" si="7"/>
        <v>6.1971290728594333E-4</v>
      </c>
    </row>
    <row r="75" spans="1:6" s="13" customFormat="1" ht="26.25">
      <c r="A75" s="29" t="s">
        <v>75</v>
      </c>
      <c r="B75" s="23">
        <f>LSUE!B75+SUS!B75+'LCTC System'!B75-'LCTC BOS'!B75</f>
        <v>57716392.980000004</v>
      </c>
      <c r="C75" s="23">
        <f>LSUE!C75+SUS!C75+'LCTC System'!C75-'LCTC BOS'!C75</f>
        <v>57968870</v>
      </c>
      <c r="D75" s="23">
        <f>LSUE!D75+SUS!D75+'LCTC System'!D75-'LCTC BOS'!D75</f>
        <v>64889108</v>
      </c>
      <c r="E75" s="28">
        <f t="shared" si="6"/>
        <v>6920238</v>
      </c>
      <c r="F75" s="24">
        <f t="shared" si="7"/>
        <v>0.11937852160996065</v>
      </c>
    </row>
    <row r="76" spans="1:6" s="36" customFormat="1" ht="26.25">
      <c r="A76" s="49" t="s">
        <v>76</v>
      </c>
      <c r="B76" s="51">
        <f>SUM(B73:B75)</f>
        <v>233517307.95999998</v>
      </c>
      <c r="C76" s="51">
        <f>SUM(C73:C75)</f>
        <v>237088485</v>
      </c>
      <c r="D76" s="51">
        <f>SUM(D73:D75)</f>
        <v>245687591</v>
      </c>
      <c r="E76" s="34">
        <f t="shared" si="6"/>
        <v>8599106</v>
      </c>
      <c r="F76" s="35">
        <f t="shared" si="7"/>
        <v>3.6269606261139169E-2</v>
      </c>
    </row>
    <row r="77" spans="1:6" s="13" customFormat="1" ht="26.25">
      <c r="A77" s="29" t="s">
        <v>77</v>
      </c>
      <c r="B77" s="23">
        <f>LSUE!B77+SUS!B77+'LCTC System'!B77-'LCTC BOS'!B77</f>
        <v>867039</v>
      </c>
      <c r="C77" s="23">
        <f>LSUE!C77+SUS!C77+'LCTC System'!C77-'LCTC BOS'!C77</f>
        <v>1323129</v>
      </c>
      <c r="D77" s="23">
        <f>LSUE!D77+SUS!D77+'LCTC System'!D77-'LCTC BOS'!D77</f>
        <v>1312962</v>
      </c>
      <c r="E77" s="28">
        <f t="shared" si="6"/>
        <v>-10167</v>
      </c>
      <c r="F77" s="24">
        <f t="shared" si="7"/>
        <v>-7.6840580170187489E-3</v>
      </c>
    </row>
    <row r="78" spans="1:6" s="13" customFormat="1" ht="26.25">
      <c r="A78" s="29" t="s">
        <v>78</v>
      </c>
      <c r="B78" s="23">
        <f>LSUE!B78+SUS!B78+'LCTC System'!B78-'LCTC BOS'!B78</f>
        <v>33382540.5</v>
      </c>
      <c r="C78" s="23">
        <f>LSUE!C78+SUS!C78+'LCTC System'!C78-'LCTC BOS'!C78</f>
        <v>34791106.5</v>
      </c>
      <c r="D78" s="23">
        <f>LSUE!D78+SUS!D78+'LCTC System'!D78-'LCTC BOS'!D78</f>
        <v>33982311.950000003</v>
      </c>
      <c r="E78" s="28">
        <f t="shared" si="6"/>
        <v>-808794.54999999702</v>
      </c>
      <c r="F78" s="24">
        <f t="shared" si="7"/>
        <v>-2.3247163754334662E-2</v>
      </c>
    </row>
    <row r="79" spans="1:6" s="13" customFormat="1" ht="26.25">
      <c r="A79" s="29" t="s">
        <v>79</v>
      </c>
      <c r="B79" s="23">
        <f>LSUE!B79+SUS!B79+'LCTC System'!B79-'LCTC BOS'!B79</f>
        <v>6722872</v>
      </c>
      <c r="C79" s="23">
        <f>LSUE!C79+SUS!C79+'LCTC System'!C79-'LCTC BOS'!C79</f>
        <v>7411895</v>
      </c>
      <c r="D79" s="23">
        <f>LSUE!D79+SUS!D79+'LCTC System'!D79-'LCTC BOS'!D79</f>
        <v>7363664.5499999998</v>
      </c>
      <c r="E79" s="28">
        <f t="shared" si="6"/>
        <v>-48230.450000000186</v>
      </c>
      <c r="F79" s="24">
        <f t="shared" si="7"/>
        <v>-6.5071685446164828E-3</v>
      </c>
    </row>
    <row r="80" spans="1:6" s="36" customFormat="1" ht="26.25">
      <c r="A80" s="32" t="s">
        <v>80</v>
      </c>
      <c r="B80" s="51">
        <f>SUM(B77:B79)</f>
        <v>40972451.5</v>
      </c>
      <c r="C80" s="51">
        <f>SUM(C77:C79)</f>
        <v>43526130.5</v>
      </c>
      <c r="D80" s="51">
        <f>SUM(D77:D79)</f>
        <v>42658938.5</v>
      </c>
      <c r="E80" s="34">
        <f t="shared" si="6"/>
        <v>-867192</v>
      </c>
      <c r="F80" s="35">
        <f t="shared" si="7"/>
        <v>-1.9923480218394327E-2</v>
      </c>
    </row>
    <row r="81" spans="1:6" s="13" customFormat="1" ht="26.25">
      <c r="A81" s="29" t="s">
        <v>81</v>
      </c>
      <c r="B81" s="23">
        <f>LSUE!B81+SUS!B81+'LCTC System'!B81-'LCTC BOS'!B81</f>
        <v>3758301</v>
      </c>
      <c r="C81" s="23">
        <f>LSUE!C81+SUS!C81+'LCTC System'!C81-'LCTC BOS'!C81</f>
        <v>3908204</v>
      </c>
      <c r="D81" s="23">
        <f>LSUE!D81+SUS!D81+'LCTC System'!D81-'LCTC BOS'!D81</f>
        <v>3522605</v>
      </c>
      <c r="E81" s="28">
        <f t="shared" si="6"/>
        <v>-385599</v>
      </c>
      <c r="F81" s="24">
        <f t="shared" si="7"/>
        <v>-9.8663989904314103E-2</v>
      </c>
    </row>
    <row r="82" spans="1:6" s="13" customFormat="1" ht="26.25">
      <c r="A82" s="29" t="s">
        <v>82</v>
      </c>
      <c r="B82" s="23">
        <f>LSUE!B82+SUS!B82+'LCTC System'!B82-'LCTC BOS'!B82</f>
        <v>10798543</v>
      </c>
      <c r="C82" s="23">
        <f>LSUE!C82+SUS!C82+'LCTC System'!C82-'LCTC BOS'!C82</f>
        <v>12481752</v>
      </c>
      <c r="D82" s="23">
        <f>LSUE!D82+SUS!D82+'LCTC System'!D82-'LCTC BOS'!D82</f>
        <v>12167235.449999999</v>
      </c>
      <c r="E82" s="28">
        <f t="shared" si="6"/>
        <v>-314516.55000000075</v>
      </c>
      <c r="F82" s="24">
        <f t="shared" si="7"/>
        <v>-2.5198109207745897E-2</v>
      </c>
    </row>
    <row r="83" spans="1:6" s="13" customFormat="1" ht="26.25">
      <c r="A83" s="29" t="s">
        <v>83</v>
      </c>
      <c r="B83" s="23">
        <f>LSUE!B83+SUS!B83+'LCTC System'!B83-'LCTC BOS'!B83</f>
        <v>0</v>
      </c>
      <c r="C83" s="23">
        <f>LSUE!C83+SUS!C83+'LCTC System'!C83-'LCTC BOS'!C83</f>
        <v>75542</v>
      </c>
      <c r="D83" s="23">
        <f>LSUE!D83+SUS!D83+'LCTC System'!D83-'LCTC BOS'!D83</f>
        <v>75542</v>
      </c>
      <c r="E83" s="28">
        <f t="shared" si="6"/>
        <v>0</v>
      </c>
      <c r="F83" s="24">
        <f t="shared" si="7"/>
        <v>0</v>
      </c>
    </row>
    <row r="84" spans="1:6" s="13" customFormat="1" ht="26.25">
      <c r="A84" s="29" t="s">
        <v>84</v>
      </c>
      <c r="B84" s="23">
        <f>LSUE!B84+SUS!B84+'LCTC System'!B84-'LCTC BOS'!B84</f>
        <v>6241145</v>
      </c>
      <c r="C84" s="23">
        <f>LSUE!C84+SUS!C84+'LCTC System'!C84-'LCTC BOS'!C84</f>
        <v>6142187</v>
      </c>
      <c r="D84" s="23">
        <f>LSUE!D84+SUS!D84+'LCTC System'!D84-'LCTC BOS'!D84</f>
        <v>5447784</v>
      </c>
      <c r="E84" s="28">
        <f t="shared" si="6"/>
        <v>-694403</v>
      </c>
      <c r="F84" s="24">
        <f t="shared" si="7"/>
        <v>-0.11305468231429619</v>
      </c>
    </row>
    <row r="85" spans="1:6" s="36" customFormat="1" ht="26.25">
      <c r="A85" s="32" t="s">
        <v>85</v>
      </c>
      <c r="B85" s="264">
        <f>SUM(B81:B84)</f>
        <v>20797989</v>
      </c>
      <c r="C85" s="51">
        <f>SUM(C81:C84)</f>
        <v>22607685</v>
      </c>
      <c r="D85" s="51">
        <f>SUM(D81:D84)</f>
        <v>21213166.449999999</v>
      </c>
      <c r="E85" s="34">
        <f t="shared" si="6"/>
        <v>-1394518.5500000007</v>
      </c>
      <c r="F85" s="35">
        <f t="shared" si="7"/>
        <v>-6.1683385539032444E-2</v>
      </c>
    </row>
    <row r="86" spans="1:6" s="13" customFormat="1" ht="26.25">
      <c r="A86" s="29" t="s">
        <v>86</v>
      </c>
      <c r="B86" s="23">
        <f>LSUE!B86+SUS!B86+'LCTC System'!B86-'LCTC BOS'!B86</f>
        <v>4737884.5</v>
      </c>
      <c r="C86" s="23">
        <f>LSUE!C86+SUS!C86+'LCTC System'!C86-'LCTC BOS'!C86</f>
        <v>5729985</v>
      </c>
      <c r="D86" s="23">
        <f>LSUE!D86+SUS!D86+'LCTC System'!D86-'LCTC BOS'!D86</f>
        <v>4639209</v>
      </c>
      <c r="E86" s="28">
        <f t="shared" si="6"/>
        <v>-1090776</v>
      </c>
      <c r="F86" s="24">
        <f t="shared" si="7"/>
        <v>-0.19036280199686387</v>
      </c>
    </row>
    <row r="87" spans="1:6" s="13" customFormat="1" ht="26.25">
      <c r="A87" s="29" t="s">
        <v>87</v>
      </c>
      <c r="B87" s="23">
        <f>LSUE!B87+SUS!B87+'LCTC System'!B87-'LCTC BOS'!B87</f>
        <v>514274</v>
      </c>
      <c r="C87" s="23">
        <f>LSUE!C87+SUS!C87+'LCTC System'!C87-'LCTC BOS'!C87</f>
        <v>578408</v>
      </c>
      <c r="D87" s="23">
        <f>LSUE!D87+SUS!D87+'LCTC System'!D87-'LCTC BOS'!D87</f>
        <v>574997</v>
      </c>
      <c r="E87" s="28">
        <f t="shared" si="6"/>
        <v>-3411</v>
      </c>
      <c r="F87" s="24">
        <f t="shared" si="7"/>
        <v>-5.8972213385706978E-3</v>
      </c>
    </row>
    <row r="88" spans="1:6" s="13" customFormat="1" ht="26.25">
      <c r="A88" s="38" t="s">
        <v>88</v>
      </c>
      <c r="B88" s="23">
        <f>LSUE!B88+SUS!B88+'LCTC System'!B88-'LCTC BOS'!B88</f>
        <v>1088502</v>
      </c>
      <c r="C88" s="23">
        <f>LSUE!C88+SUS!C88+'LCTC System'!C88-'LCTC BOS'!C88</f>
        <v>723015</v>
      </c>
      <c r="D88" s="23">
        <f>LSUE!D88+SUS!D88+'LCTC System'!D88-'LCTC BOS'!D88</f>
        <v>581700</v>
      </c>
      <c r="E88" s="28">
        <f t="shared" si="6"/>
        <v>-141315</v>
      </c>
      <c r="F88" s="24">
        <f t="shared" si="7"/>
        <v>-0.19545237650671149</v>
      </c>
    </row>
    <row r="89" spans="1:6" s="36" customFormat="1" ht="26.25">
      <c r="A89" s="52" t="s">
        <v>89</v>
      </c>
      <c r="B89" s="51">
        <f>SUM(B86:B88)</f>
        <v>6340660.5</v>
      </c>
      <c r="C89" s="51">
        <f>SUM(C86:C88)</f>
        <v>7031408</v>
      </c>
      <c r="D89" s="51">
        <f>SUM(D86:D88)</f>
        <v>5795906</v>
      </c>
      <c r="E89" s="51">
        <f t="shared" si="6"/>
        <v>-1235502</v>
      </c>
      <c r="F89" s="35">
        <f t="shared" si="7"/>
        <v>-0.17571189155856123</v>
      </c>
    </row>
    <row r="90" spans="1:6" s="13" customFormat="1" ht="26.25">
      <c r="A90" s="38" t="s">
        <v>90</v>
      </c>
      <c r="B90" s="23">
        <f>LSUE!B90+SUS!B90+'LCTC System'!B90-'LCTC BOS'!B90</f>
        <v>0</v>
      </c>
      <c r="C90" s="23">
        <f>LSUE!C90+SUS!C90+'LCTC System'!C90-'LCTC BOS'!C90</f>
        <v>0</v>
      </c>
      <c r="D90" s="23">
        <f>LSUE!D90+SUS!D90+'LCTC System'!D90-'LCTC BOS'!D90</f>
        <v>0</v>
      </c>
      <c r="E90" s="28">
        <f t="shared" si="6"/>
        <v>0</v>
      </c>
      <c r="F90" s="24">
        <f t="shared" si="7"/>
        <v>0</v>
      </c>
    </row>
    <row r="91" spans="1:6" s="36" customFormat="1" ht="27" thickBot="1">
      <c r="A91" s="53" t="s">
        <v>71</v>
      </c>
      <c r="B91" s="54">
        <f>B89+B85+B80+B76+B90</f>
        <v>301628408.95999998</v>
      </c>
      <c r="C91" s="54">
        <f>C89+C85+C80+C76+C90</f>
        <v>310253708.5</v>
      </c>
      <c r="D91" s="55">
        <f>D89+D85+D80+D76+D90</f>
        <v>315355601.94999999</v>
      </c>
      <c r="E91" s="54">
        <f t="shared" si="6"/>
        <v>5101893.4499999881</v>
      </c>
      <c r="F91" s="56">
        <f t="shared" si="7"/>
        <v>1.6444262583246407E-2</v>
      </c>
    </row>
    <row r="92" spans="1:6" s="60" customFormat="1" ht="32.25" thickBot="1">
      <c r="A92" s="57"/>
      <c r="B92" s="58"/>
      <c r="C92" s="58"/>
      <c r="D92" s="58"/>
      <c r="E92" s="59"/>
      <c r="F92" s="59"/>
    </row>
    <row r="93" spans="1:6" s="13" customFormat="1" ht="26.25">
      <c r="A93" s="160" t="s">
        <v>139</v>
      </c>
      <c r="B93" s="252"/>
      <c r="C93" s="252"/>
      <c r="D93" s="252"/>
      <c r="E93" s="161"/>
      <c r="F93" s="163"/>
    </row>
    <row r="94" spans="1:6" s="13" customFormat="1" ht="26.25">
      <c r="A94" s="164" t="s">
        <v>121</v>
      </c>
      <c r="B94" s="23">
        <v>0</v>
      </c>
      <c r="C94" s="23">
        <v>0</v>
      </c>
      <c r="D94" s="23">
        <v>0</v>
      </c>
      <c r="E94" s="19">
        <f>D94-C94</f>
        <v>0</v>
      </c>
      <c r="F94" s="24">
        <f>IF(ISBLANK(E94),"  ",IF(C94&gt;0,E94/C94,IF(E94&gt;0,1,0)))</f>
        <v>0</v>
      </c>
    </row>
    <row r="95" spans="1:6" s="13" customFormat="1" ht="26.25">
      <c r="A95" s="168" t="s">
        <v>45</v>
      </c>
      <c r="B95" s="253">
        <v>0</v>
      </c>
      <c r="C95" s="253">
        <v>0</v>
      </c>
      <c r="D95" s="253">
        <v>0</v>
      </c>
      <c r="E95" s="28">
        <f>D95-C95</f>
        <v>0</v>
      </c>
      <c r="F95" s="24">
        <f>IF(ISBLANK(E95),"  ",IF(C95&gt;0,E95/C95,IF(E95&gt;0,1,0)))</f>
        <v>0</v>
      </c>
    </row>
    <row r="96" spans="1:6" s="13" customFormat="1" ht="26.25">
      <c r="A96" s="168" t="s">
        <v>122</v>
      </c>
      <c r="B96" s="23">
        <f>LSUE!B96</f>
        <v>881007</v>
      </c>
      <c r="C96" s="23">
        <f>LSUE!C96</f>
        <v>114592</v>
      </c>
      <c r="D96" s="23">
        <f>LSUE!D96</f>
        <v>0</v>
      </c>
      <c r="E96" s="28">
        <f>D96-C96</f>
        <v>-114592</v>
      </c>
      <c r="F96" s="24">
        <f>IF(ISBLANK(E96),"  ",IF(C96&gt;0,E96/C96,IF(E96&gt;0,1,0)))</f>
        <v>-1</v>
      </c>
    </row>
    <row r="97" spans="1:10" s="13" customFormat="1" ht="26.25" hidden="1">
      <c r="A97" s="168" t="s">
        <v>47</v>
      </c>
      <c r="B97" s="253">
        <v>0</v>
      </c>
      <c r="C97" s="253">
        <v>0</v>
      </c>
      <c r="D97" s="253"/>
      <c r="E97" s="169">
        <v>0</v>
      </c>
      <c r="F97" s="167">
        <v>0</v>
      </c>
    </row>
    <row r="98" spans="1:10" s="13" customFormat="1" ht="26.25" hidden="1">
      <c r="A98" s="170" t="s">
        <v>48</v>
      </c>
      <c r="B98" s="253">
        <v>0</v>
      </c>
      <c r="C98" s="253">
        <v>0</v>
      </c>
      <c r="D98" s="253"/>
      <c r="E98" s="169">
        <v>0</v>
      </c>
      <c r="F98" s="167">
        <v>0</v>
      </c>
    </row>
    <row r="99" spans="1:10" s="36" customFormat="1" ht="27" thickBot="1">
      <c r="A99" s="171" t="s">
        <v>49</v>
      </c>
      <c r="B99" s="254">
        <f>SUM(B94:B96)</f>
        <v>881007</v>
      </c>
      <c r="C99" s="254">
        <f>SUM(C94:C96)</f>
        <v>114592</v>
      </c>
      <c r="D99" s="254">
        <f>SUM(D94:D96)</f>
        <v>0</v>
      </c>
      <c r="E99" s="266">
        <f>D99-C99</f>
        <v>-114592</v>
      </c>
      <c r="F99" s="265">
        <f>IF(ISBLANK(E99),"  ",IF(C99&gt;0,E99/C99,IF(E99&gt;0,1,0)))</f>
        <v>-1</v>
      </c>
      <c r="J99" s="36" t="s">
        <v>50</v>
      </c>
    </row>
    <row r="100" spans="1:10" s="36" customFormat="1" ht="26.25">
      <c r="A100" s="175"/>
      <c r="B100" s="176"/>
      <c r="C100" s="176"/>
      <c r="D100" s="176"/>
      <c r="E100" s="176"/>
      <c r="F100" s="177"/>
    </row>
    <row r="101" spans="1:10" s="60" customFormat="1" ht="31.5">
      <c r="A101" s="61" t="s">
        <v>91</v>
      </c>
      <c r="B101" s="62"/>
      <c r="C101" s="62"/>
      <c r="D101" s="62"/>
      <c r="E101" s="59"/>
      <c r="F101" s="59"/>
    </row>
    <row r="102" spans="1:10" s="60" customFormat="1" ht="31.5">
      <c r="A102" s="61" t="s">
        <v>92</v>
      </c>
      <c r="B102" s="62"/>
      <c r="C102" s="62"/>
      <c r="D102" s="62"/>
      <c r="E102" s="59"/>
      <c r="F102" s="59"/>
    </row>
    <row r="103" spans="1:10">
      <c r="A103" s="63" t="s">
        <v>50</v>
      </c>
      <c r="B103" s="64"/>
      <c r="C103" s="64"/>
      <c r="D103" s="64"/>
    </row>
  </sheetData>
  <pageMargins left="0.7" right="0.7" top="0.31" bottom="0.3" header="0.3" footer="0.3"/>
  <pageSetup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3"/>
  <sheetViews>
    <sheetView topLeftCell="A58" zoomScale="50" zoomScaleNormal="50" workbookViewId="0">
      <selection activeCell="B8" sqref="B8:B99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2.1406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4" t="s">
        <v>124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179"/>
      <c r="C3" s="179"/>
      <c r="D3" s="179"/>
      <c r="E3" s="3"/>
      <c r="F3" s="3"/>
    </row>
    <row r="4" spans="1:6" s="13" customFormat="1" ht="27" thickTop="1">
      <c r="A4" s="180" t="s">
        <v>4</v>
      </c>
      <c r="B4" s="181" t="s">
        <v>5</v>
      </c>
      <c r="C4" s="182" t="s">
        <v>6</v>
      </c>
      <c r="D4" s="183" t="s">
        <v>6</v>
      </c>
      <c r="E4" s="11" t="s">
        <v>7</v>
      </c>
      <c r="F4" s="12" t="s">
        <v>8</v>
      </c>
    </row>
    <row r="5" spans="1:6" s="17" customFormat="1" ht="52.5">
      <c r="A5" s="184"/>
      <c r="B5" s="185" t="s">
        <v>9</v>
      </c>
      <c r="C5" s="186" t="s">
        <v>10</v>
      </c>
      <c r="D5" s="187" t="s">
        <v>11</v>
      </c>
      <c r="E5" s="15" t="s">
        <v>97</v>
      </c>
      <c r="F5" s="16" t="s">
        <v>12</v>
      </c>
    </row>
    <row r="6" spans="1:6" s="13" customFormat="1" ht="26.25">
      <c r="A6" s="188" t="s">
        <v>14</v>
      </c>
      <c r="B6" s="189"/>
      <c r="C6" s="190"/>
      <c r="D6" s="191"/>
      <c r="E6" s="19"/>
      <c r="F6" s="20"/>
    </row>
    <row r="7" spans="1:6" s="13" customFormat="1" ht="26.25">
      <c r="A7" s="188" t="s">
        <v>15</v>
      </c>
      <c r="B7" s="189"/>
      <c r="C7" s="190"/>
      <c r="D7" s="191"/>
      <c r="E7" s="19"/>
      <c r="F7" s="21"/>
    </row>
    <row r="8" spans="1:6" s="13" customFormat="1" ht="26.25">
      <c r="A8" s="192" t="s">
        <v>16</v>
      </c>
      <c r="B8" s="165">
        <v>145940704</v>
      </c>
      <c r="C8" s="166">
        <v>145940704</v>
      </c>
      <c r="D8" s="193">
        <v>152453174</v>
      </c>
      <c r="E8" s="23">
        <v>6512470</v>
      </c>
      <c r="F8" s="24">
        <v>4.4624082394449732E-2</v>
      </c>
    </row>
    <row r="9" spans="1:6" s="13" customFormat="1" ht="26.25">
      <c r="A9" s="192" t="s">
        <v>17</v>
      </c>
      <c r="B9" s="165">
        <v>0</v>
      </c>
      <c r="C9" s="166">
        <v>0</v>
      </c>
      <c r="D9" s="193">
        <v>0</v>
      </c>
      <c r="E9" s="23">
        <v>0</v>
      </c>
      <c r="F9" s="24">
        <v>0</v>
      </c>
    </row>
    <row r="10" spans="1:6" s="13" customFormat="1" ht="26.25">
      <c r="A10" s="194" t="s">
        <v>18</v>
      </c>
      <c r="B10" s="307">
        <v>13699795</v>
      </c>
      <c r="C10" s="195">
        <v>14253550</v>
      </c>
      <c r="D10" s="196">
        <v>12487198</v>
      </c>
      <c r="E10" s="26">
        <v>-1766352</v>
      </c>
      <c r="F10" s="24">
        <v>-0.12392365410722241</v>
      </c>
    </row>
    <row r="11" spans="1:6" s="13" customFormat="1" ht="26.25">
      <c r="A11" s="197" t="s">
        <v>19</v>
      </c>
      <c r="B11" s="198">
        <v>123007</v>
      </c>
      <c r="C11" s="199">
        <v>123007</v>
      </c>
      <c r="D11" s="200">
        <v>0</v>
      </c>
      <c r="E11" s="26">
        <v>-123007</v>
      </c>
      <c r="F11" s="24">
        <v>-1</v>
      </c>
    </row>
    <row r="12" spans="1:6" s="13" customFormat="1" ht="26.25">
      <c r="A12" s="201" t="s">
        <v>20</v>
      </c>
      <c r="B12" s="198">
        <v>8231951</v>
      </c>
      <c r="C12" s="199">
        <v>8263593</v>
      </c>
      <c r="D12" s="200">
        <v>8327198</v>
      </c>
      <c r="E12" s="26">
        <v>63605</v>
      </c>
      <c r="F12" s="24">
        <v>7.6970150877469397E-3</v>
      </c>
    </row>
    <row r="13" spans="1:6" s="13" customFormat="1" ht="26.25">
      <c r="A13" s="201" t="s">
        <v>21</v>
      </c>
      <c r="B13" s="198">
        <v>0</v>
      </c>
      <c r="C13" s="199">
        <v>0</v>
      </c>
      <c r="D13" s="200">
        <v>0</v>
      </c>
      <c r="E13" s="26">
        <v>0</v>
      </c>
      <c r="F13" s="24">
        <v>0</v>
      </c>
    </row>
    <row r="14" spans="1:6" s="13" customFormat="1" ht="26.25">
      <c r="A14" s="201" t="s">
        <v>22</v>
      </c>
      <c r="B14" s="198">
        <v>0</v>
      </c>
      <c r="C14" s="199">
        <v>0</v>
      </c>
      <c r="D14" s="200">
        <v>0</v>
      </c>
      <c r="E14" s="26">
        <v>0</v>
      </c>
      <c r="F14" s="24">
        <v>0</v>
      </c>
    </row>
    <row r="15" spans="1:6" s="13" customFormat="1" ht="26.25">
      <c r="A15" s="201" t="s">
        <v>23</v>
      </c>
      <c r="B15" s="198">
        <v>0</v>
      </c>
      <c r="C15" s="199">
        <v>0</v>
      </c>
      <c r="D15" s="200">
        <v>0</v>
      </c>
      <c r="E15" s="26">
        <v>0</v>
      </c>
      <c r="F15" s="24">
        <v>0</v>
      </c>
    </row>
    <row r="16" spans="1:6" s="13" customFormat="1" ht="26.25">
      <c r="A16" s="201" t="s">
        <v>24</v>
      </c>
      <c r="B16" s="198">
        <v>0</v>
      </c>
      <c r="C16" s="199">
        <v>0</v>
      </c>
      <c r="D16" s="200">
        <v>0</v>
      </c>
      <c r="E16" s="26">
        <v>0</v>
      </c>
      <c r="F16" s="24">
        <v>0</v>
      </c>
    </row>
    <row r="17" spans="1:6" s="13" customFormat="1" ht="26.25">
      <c r="A17" s="201" t="s">
        <v>25</v>
      </c>
      <c r="B17" s="198">
        <v>0</v>
      </c>
      <c r="C17" s="199">
        <v>0</v>
      </c>
      <c r="D17" s="200">
        <v>0</v>
      </c>
      <c r="E17" s="26">
        <v>0</v>
      </c>
      <c r="F17" s="24">
        <v>0</v>
      </c>
    </row>
    <row r="18" spans="1:6" s="13" customFormat="1" ht="26.25">
      <c r="A18" s="201" t="s">
        <v>26</v>
      </c>
      <c r="B18" s="198">
        <v>750000</v>
      </c>
      <c r="C18" s="199">
        <v>750000</v>
      </c>
      <c r="D18" s="200">
        <v>750000</v>
      </c>
      <c r="E18" s="26">
        <v>0</v>
      </c>
      <c r="F18" s="24">
        <v>0</v>
      </c>
    </row>
    <row r="19" spans="1:6" s="13" customFormat="1" ht="26.25">
      <c r="A19" s="201" t="s">
        <v>27</v>
      </c>
      <c r="B19" s="198">
        <v>3001837</v>
      </c>
      <c r="C19" s="199">
        <v>3523950</v>
      </c>
      <c r="D19" s="200">
        <v>3200000</v>
      </c>
      <c r="E19" s="26">
        <v>-323950</v>
      </c>
      <c r="F19" s="24">
        <v>-9.1928092055789667E-2</v>
      </c>
    </row>
    <row r="20" spans="1:6" s="13" customFormat="1" ht="26.25">
      <c r="A20" s="201" t="s">
        <v>28</v>
      </c>
      <c r="B20" s="198">
        <v>210000</v>
      </c>
      <c r="C20" s="199">
        <v>210000</v>
      </c>
      <c r="D20" s="200">
        <v>210000</v>
      </c>
      <c r="E20" s="26">
        <v>0</v>
      </c>
      <c r="F20" s="24">
        <v>0</v>
      </c>
    </row>
    <row r="21" spans="1:6" s="13" customFormat="1" ht="26.25">
      <c r="A21" s="201" t="s">
        <v>29</v>
      </c>
      <c r="B21" s="198">
        <v>0</v>
      </c>
      <c r="C21" s="199">
        <v>0</v>
      </c>
      <c r="D21" s="200">
        <v>0</v>
      </c>
      <c r="E21" s="26">
        <v>0</v>
      </c>
      <c r="F21" s="24">
        <v>0</v>
      </c>
    </row>
    <row r="22" spans="1:6" s="13" customFormat="1" ht="26.25">
      <c r="A22" s="201" t="s">
        <v>30</v>
      </c>
      <c r="B22" s="198">
        <v>0</v>
      </c>
      <c r="C22" s="199">
        <v>0</v>
      </c>
      <c r="D22" s="200">
        <v>0</v>
      </c>
      <c r="E22" s="26">
        <v>0</v>
      </c>
      <c r="F22" s="24">
        <v>0</v>
      </c>
    </row>
    <row r="23" spans="1:6" s="13" customFormat="1" ht="26.25">
      <c r="A23" s="202" t="s">
        <v>31</v>
      </c>
      <c r="B23" s="198">
        <v>0</v>
      </c>
      <c r="C23" s="199">
        <v>0</v>
      </c>
      <c r="D23" s="200">
        <v>0</v>
      </c>
      <c r="E23" s="26">
        <v>0</v>
      </c>
      <c r="F23" s="24">
        <v>0</v>
      </c>
    </row>
    <row r="24" spans="1:6" s="13" customFormat="1" ht="26.25">
      <c r="A24" s="202" t="s">
        <v>32</v>
      </c>
      <c r="B24" s="198">
        <v>0</v>
      </c>
      <c r="C24" s="199">
        <v>0</v>
      </c>
      <c r="D24" s="200">
        <v>0</v>
      </c>
      <c r="E24" s="26">
        <v>0</v>
      </c>
      <c r="F24" s="24">
        <v>0</v>
      </c>
    </row>
    <row r="25" spans="1:6" s="13" customFormat="1" ht="26.25">
      <c r="A25" s="202" t="s">
        <v>33</v>
      </c>
      <c r="B25" s="198">
        <v>0</v>
      </c>
      <c r="C25" s="199">
        <v>0</v>
      </c>
      <c r="D25" s="200">
        <v>0</v>
      </c>
      <c r="E25" s="26">
        <v>0</v>
      </c>
      <c r="F25" s="24">
        <v>0</v>
      </c>
    </row>
    <row r="26" spans="1:6" s="13" customFormat="1" ht="26.25">
      <c r="A26" s="202" t="s">
        <v>34</v>
      </c>
      <c r="B26" s="198">
        <v>0</v>
      </c>
      <c r="C26" s="199">
        <v>0</v>
      </c>
      <c r="D26" s="200">
        <v>0</v>
      </c>
      <c r="E26" s="26">
        <v>0</v>
      </c>
      <c r="F26" s="24">
        <v>0</v>
      </c>
    </row>
    <row r="27" spans="1:6" s="13" customFormat="1" ht="26.25">
      <c r="A27" s="202" t="s">
        <v>35</v>
      </c>
      <c r="B27" s="198">
        <v>0</v>
      </c>
      <c r="C27" s="199">
        <v>0</v>
      </c>
      <c r="D27" s="200">
        <v>0</v>
      </c>
      <c r="E27" s="26">
        <v>0</v>
      </c>
      <c r="F27" s="24">
        <v>0</v>
      </c>
    </row>
    <row r="28" spans="1:6" s="13" customFormat="1" ht="26.25">
      <c r="A28" s="202" t="s">
        <v>36</v>
      </c>
      <c r="B28" s="198">
        <v>1383000</v>
      </c>
      <c r="C28" s="199">
        <v>1383000</v>
      </c>
      <c r="D28" s="200">
        <v>0</v>
      </c>
      <c r="E28" s="26">
        <v>-1383000</v>
      </c>
      <c r="F28" s="24">
        <v>-1</v>
      </c>
    </row>
    <row r="29" spans="1:6" s="13" customFormat="1" ht="26.25">
      <c r="A29" s="203" t="s">
        <v>37</v>
      </c>
      <c r="B29" s="198"/>
      <c r="C29" s="199"/>
      <c r="D29" s="200"/>
      <c r="E29" s="28"/>
      <c r="F29" s="20"/>
    </row>
    <row r="30" spans="1:6" s="13" customFormat="1" ht="26.25">
      <c r="A30" s="197" t="s">
        <v>38</v>
      </c>
      <c r="B30" s="165">
        <v>0</v>
      </c>
      <c r="C30" s="166">
        <v>0</v>
      </c>
      <c r="D30" s="193">
        <v>0</v>
      </c>
      <c r="E30" s="23">
        <v>0</v>
      </c>
      <c r="F30" s="24">
        <v>0</v>
      </c>
    </row>
    <row r="31" spans="1:6" s="13" customFormat="1" ht="26.25">
      <c r="A31" s="204" t="s">
        <v>39</v>
      </c>
      <c r="B31" s="198"/>
      <c r="C31" s="199"/>
      <c r="D31" s="200"/>
      <c r="E31" s="28"/>
      <c r="F31" s="20"/>
    </row>
    <row r="32" spans="1:6" s="13" customFormat="1" ht="26.25">
      <c r="A32" s="197" t="s">
        <v>38</v>
      </c>
      <c r="B32" s="189">
        <v>0</v>
      </c>
      <c r="C32" s="190">
        <v>0</v>
      </c>
      <c r="D32" s="191">
        <v>0</v>
      </c>
      <c r="E32" s="23">
        <v>0</v>
      </c>
      <c r="F32" s="24">
        <v>0</v>
      </c>
    </row>
    <row r="33" spans="1:10" s="13" customFormat="1" ht="26.25">
      <c r="A33" s="201" t="s">
        <v>40</v>
      </c>
      <c r="B33" s="198"/>
      <c r="C33" s="199"/>
      <c r="D33" s="200"/>
      <c r="E33" s="26"/>
      <c r="F33" s="24" t="s">
        <v>41</v>
      </c>
    </row>
    <row r="34" spans="1:10" s="36" customFormat="1" ht="26.25">
      <c r="A34" s="205" t="s">
        <v>42</v>
      </c>
      <c r="B34" s="206">
        <v>159640499</v>
      </c>
      <c r="C34" s="207">
        <v>160194254</v>
      </c>
      <c r="D34" s="208">
        <v>164940372</v>
      </c>
      <c r="E34" s="34">
        <v>4746118</v>
      </c>
      <c r="F34" s="35">
        <v>2.9627267404984451E-2</v>
      </c>
    </row>
    <row r="35" spans="1:10" s="13" customFormat="1" ht="26.25">
      <c r="A35" s="203" t="s">
        <v>43</v>
      </c>
      <c r="B35" s="198"/>
      <c r="C35" s="199"/>
      <c r="D35" s="200"/>
      <c r="E35" s="28"/>
      <c r="F35" s="20"/>
    </row>
    <row r="36" spans="1:10" s="13" customFormat="1" ht="26.25">
      <c r="A36" s="209" t="s">
        <v>44</v>
      </c>
      <c r="B36" s="165">
        <v>0</v>
      </c>
      <c r="C36" s="166"/>
      <c r="D36" s="193"/>
      <c r="E36" s="23">
        <v>0</v>
      </c>
      <c r="F36" s="24">
        <v>0</v>
      </c>
    </row>
    <row r="37" spans="1:10" s="13" customFormat="1" ht="26.25">
      <c r="A37" s="210" t="s">
        <v>45</v>
      </c>
      <c r="B37" s="165">
        <v>0</v>
      </c>
      <c r="C37" s="166"/>
      <c r="D37" s="193"/>
      <c r="E37" s="26">
        <v>0</v>
      </c>
      <c r="F37" s="24">
        <v>0</v>
      </c>
    </row>
    <row r="38" spans="1:10" s="13" customFormat="1" ht="26.25">
      <c r="A38" s="210" t="s">
        <v>46</v>
      </c>
      <c r="B38" s="165">
        <v>0</v>
      </c>
      <c r="C38" s="166"/>
      <c r="D38" s="193"/>
      <c r="E38" s="26">
        <v>0</v>
      </c>
      <c r="F38" s="24">
        <v>0</v>
      </c>
    </row>
    <row r="39" spans="1:10" s="13" customFormat="1" ht="26.25">
      <c r="A39" s="210" t="s">
        <v>47</v>
      </c>
      <c r="B39" s="165">
        <v>0</v>
      </c>
      <c r="C39" s="166"/>
      <c r="D39" s="193"/>
      <c r="E39" s="26">
        <v>0</v>
      </c>
      <c r="F39" s="24">
        <v>0</v>
      </c>
    </row>
    <row r="40" spans="1:10" s="13" customFormat="1" ht="26.25">
      <c r="A40" s="211" t="s">
        <v>48</v>
      </c>
      <c r="B40" s="165">
        <v>0</v>
      </c>
      <c r="C40" s="166"/>
      <c r="D40" s="193"/>
      <c r="E40" s="26">
        <v>0</v>
      </c>
      <c r="F40" s="24">
        <v>0</v>
      </c>
    </row>
    <row r="41" spans="1:10" s="36" customFormat="1" ht="26.25">
      <c r="A41" s="203" t="s">
        <v>49</v>
      </c>
      <c r="B41" s="212">
        <v>0</v>
      </c>
      <c r="C41" s="213">
        <v>0</v>
      </c>
      <c r="D41" s="214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01" t="s">
        <v>50</v>
      </c>
      <c r="B42" s="198"/>
      <c r="C42" s="199"/>
      <c r="D42" s="200"/>
      <c r="E42" s="28"/>
      <c r="F42" s="20"/>
    </row>
    <row r="43" spans="1:10" s="36" customFormat="1" ht="26.25">
      <c r="A43" s="215" t="s">
        <v>51</v>
      </c>
      <c r="B43" s="216">
        <v>6507304</v>
      </c>
      <c r="C43" s="217">
        <v>6649986</v>
      </c>
      <c r="D43" s="218">
        <v>6715292</v>
      </c>
      <c r="E43" s="42">
        <v>65306</v>
      </c>
      <c r="F43" s="35">
        <v>9.8204718024970279E-3</v>
      </c>
    </row>
    <row r="44" spans="1:10" s="13" customFormat="1" ht="26.25">
      <c r="A44" s="201" t="s">
        <v>50</v>
      </c>
      <c r="B44" s="198"/>
      <c r="C44" s="199"/>
      <c r="D44" s="200"/>
      <c r="E44" s="28"/>
      <c r="F44" s="20"/>
    </row>
    <row r="45" spans="1:10" s="36" customFormat="1" ht="26.25">
      <c r="A45" s="215" t="s">
        <v>52</v>
      </c>
      <c r="B45" s="216">
        <v>56507987</v>
      </c>
      <c r="C45" s="217">
        <v>56507987</v>
      </c>
      <c r="D45" s="218">
        <v>0</v>
      </c>
      <c r="E45" s="42">
        <v>-56507987</v>
      </c>
      <c r="F45" s="35">
        <v>-1</v>
      </c>
    </row>
    <row r="46" spans="1:10" s="13" customFormat="1" ht="26.25">
      <c r="A46" s="201" t="s">
        <v>50</v>
      </c>
      <c r="B46" s="198"/>
      <c r="C46" s="199"/>
      <c r="D46" s="200"/>
      <c r="E46" s="28"/>
      <c r="F46" s="20"/>
    </row>
    <row r="47" spans="1:10" s="36" customFormat="1" ht="26.25">
      <c r="A47" s="203" t="s">
        <v>53</v>
      </c>
      <c r="B47" s="212">
        <v>227943441</v>
      </c>
      <c r="C47" s="213">
        <v>217506982</v>
      </c>
      <c r="D47" s="214">
        <v>269621486</v>
      </c>
      <c r="E47" s="40">
        <v>52114504</v>
      </c>
      <c r="F47" s="35">
        <v>0.23959922353205196</v>
      </c>
    </row>
    <row r="48" spans="1:10" s="13" customFormat="1" ht="26.25">
      <c r="A48" s="201" t="s">
        <v>50</v>
      </c>
      <c r="B48" s="198"/>
      <c r="C48" s="199"/>
      <c r="D48" s="200"/>
      <c r="E48" s="28"/>
      <c r="F48" s="20"/>
    </row>
    <row r="49" spans="1:6" s="36" customFormat="1" ht="26.25">
      <c r="A49" s="219" t="s">
        <v>54</v>
      </c>
      <c r="B49" s="220">
        <v>0</v>
      </c>
      <c r="C49" s="221">
        <v>0</v>
      </c>
      <c r="D49" s="222">
        <v>0</v>
      </c>
      <c r="E49" s="44">
        <v>0</v>
      </c>
      <c r="F49" s="35">
        <v>0</v>
      </c>
    </row>
    <row r="50" spans="1:6" s="13" customFormat="1" ht="26.25">
      <c r="A50" s="203"/>
      <c r="B50" s="189"/>
      <c r="C50" s="190"/>
      <c r="D50" s="191"/>
      <c r="E50" s="19"/>
      <c r="F50" s="45"/>
    </row>
    <row r="51" spans="1:6" s="36" customFormat="1" ht="26.25">
      <c r="A51" s="203" t="s">
        <v>55</v>
      </c>
      <c r="B51" s="212">
        <v>0</v>
      </c>
      <c r="C51" s="213">
        <v>0</v>
      </c>
      <c r="D51" s="214">
        <v>0</v>
      </c>
      <c r="E51" s="44">
        <v>0</v>
      </c>
      <c r="F51" s="35">
        <v>0</v>
      </c>
    </row>
    <row r="52" spans="1:6" s="13" customFormat="1" ht="26.25">
      <c r="A52" s="201"/>
      <c r="B52" s="198"/>
      <c r="C52" s="199"/>
      <c r="D52" s="200"/>
      <c r="E52" s="28"/>
      <c r="F52" s="20"/>
    </row>
    <row r="53" spans="1:6" s="36" customFormat="1" ht="26.25">
      <c r="A53" s="223" t="s">
        <v>56</v>
      </c>
      <c r="B53" s="212">
        <v>450599231</v>
      </c>
      <c r="C53" s="213">
        <v>440859209</v>
      </c>
      <c r="D53" s="214">
        <v>441277150</v>
      </c>
      <c r="E53" s="40">
        <v>417941</v>
      </c>
      <c r="F53" s="35">
        <v>9.4801467558773393E-4</v>
      </c>
    </row>
    <row r="54" spans="1:6" s="13" customFormat="1" ht="26.25">
      <c r="A54" s="224"/>
      <c r="B54" s="198"/>
      <c r="C54" s="199"/>
      <c r="D54" s="200"/>
      <c r="E54" s="28"/>
      <c r="F54" s="20" t="s">
        <v>50</v>
      </c>
    </row>
    <row r="55" spans="1:6" s="13" customFormat="1" ht="26.25">
      <c r="A55" s="225"/>
      <c r="B55" s="189"/>
      <c r="C55" s="190"/>
      <c r="D55" s="191"/>
      <c r="E55" s="19"/>
      <c r="F55" s="21" t="s">
        <v>50</v>
      </c>
    </row>
    <row r="56" spans="1:6" s="13" customFormat="1" ht="26.25">
      <c r="A56" s="223" t="s">
        <v>57</v>
      </c>
      <c r="B56" s="189"/>
      <c r="C56" s="190"/>
      <c r="D56" s="191"/>
      <c r="E56" s="19"/>
      <c r="F56" s="21"/>
    </row>
    <row r="57" spans="1:6" s="13" customFormat="1" ht="26.25">
      <c r="A57" s="197" t="s">
        <v>58</v>
      </c>
      <c r="B57" s="189">
        <v>177238514</v>
      </c>
      <c r="C57" s="190">
        <v>185002677</v>
      </c>
      <c r="D57" s="191">
        <v>185772661</v>
      </c>
      <c r="E57" s="19">
        <v>769984</v>
      </c>
      <c r="F57" s="24">
        <v>4.1620154501872423E-3</v>
      </c>
    </row>
    <row r="58" spans="1:6" s="13" customFormat="1" ht="26.25">
      <c r="A58" s="201" t="s">
        <v>59</v>
      </c>
      <c r="B58" s="198">
        <v>53876911</v>
      </c>
      <c r="C58" s="199">
        <v>53621067</v>
      </c>
      <c r="D58" s="200">
        <v>53030269</v>
      </c>
      <c r="E58" s="28">
        <v>-590798</v>
      </c>
      <c r="F58" s="24">
        <v>-1.1018020212093131E-2</v>
      </c>
    </row>
    <row r="59" spans="1:6" s="13" customFormat="1" ht="26.25">
      <c r="A59" s="201" t="s">
        <v>60</v>
      </c>
      <c r="B59" s="198">
        <v>6774773</v>
      </c>
      <c r="C59" s="199">
        <v>6120655</v>
      </c>
      <c r="D59" s="200">
        <v>4974747</v>
      </c>
      <c r="E59" s="28">
        <v>-1145908</v>
      </c>
      <c r="F59" s="24">
        <v>-0.18721983186440014</v>
      </c>
    </row>
    <row r="60" spans="1:6" s="13" customFormat="1" ht="26.25">
      <c r="A60" s="201" t="s">
        <v>61</v>
      </c>
      <c r="B60" s="198">
        <v>58581602</v>
      </c>
      <c r="C60" s="199">
        <v>56166301</v>
      </c>
      <c r="D60" s="200">
        <v>53540319</v>
      </c>
      <c r="E60" s="28">
        <v>-2625982</v>
      </c>
      <c r="F60" s="24">
        <v>-4.6753693108613298E-2</v>
      </c>
    </row>
    <row r="61" spans="1:6" s="13" customFormat="1" ht="26.25">
      <c r="A61" s="201" t="s">
        <v>62</v>
      </c>
      <c r="B61" s="198">
        <v>13207617</v>
      </c>
      <c r="C61" s="199">
        <v>12396982</v>
      </c>
      <c r="D61" s="200">
        <v>12705583</v>
      </c>
      <c r="E61" s="28">
        <v>308601</v>
      </c>
      <c r="F61" s="24">
        <v>2.4893236111821409E-2</v>
      </c>
    </row>
    <row r="62" spans="1:6" s="13" customFormat="1" ht="26.25">
      <c r="A62" s="201" t="s">
        <v>63</v>
      </c>
      <c r="B62" s="198">
        <v>21519228</v>
      </c>
      <c r="C62" s="199">
        <v>21743575</v>
      </c>
      <c r="D62" s="200">
        <v>20502661</v>
      </c>
      <c r="E62" s="28">
        <v>-1240914</v>
      </c>
      <c r="F62" s="24">
        <v>-5.7070375961634646E-2</v>
      </c>
    </row>
    <row r="63" spans="1:6" s="13" customFormat="1" ht="26.25">
      <c r="A63" s="201" t="s">
        <v>64</v>
      </c>
      <c r="B63" s="198">
        <v>51329336</v>
      </c>
      <c r="C63" s="199">
        <v>51365903</v>
      </c>
      <c r="D63" s="200">
        <v>57091776</v>
      </c>
      <c r="E63" s="28">
        <v>5725873</v>
      </c>
      <c r="F63" s="24">
        <v>0.11147225426952972</v>
      </c>
    </row>
    <row r="64" spans="1:6" s="13" customFormat="1" ht="26.25">
      <c r="A64" s="201" t="s">
        <v>65</v>
      </c>
      <c r="B64" s="198">
        <v>54108199</v>
      </c>
      <c r="C64" s="199">
        <v>50987676</v>
      </c>
      <c r="D64" s="200">
        <v>53096387</v>
      </c>
      <c r="E64" s="28">
        <v>2108711</v>
      </c>
      <c r="F64" s="24">
        <v>4.1357268372067005E-2</v>
      </c>
    </row>
    <row r="65" spans="1:6" s="36" customFormat="1" ht="26.25">
      <c r="A65" s="226" t="s">
        <v>66</v>
      </c>
      <c r="B65" s="206">
        <v>436636180</v>
      </c>
      <c r="C65" s="207">
        <v>437404836</v>
      </c>
      <c r="D65" s="208">
        <v>440714403</v>
      </c>
      <c r="E65" s="34">
        <v>3309567</v>
      </c>
      <c r="F65" s="35">
        <v>7.5663703910214654E-3</v>
      </c>
    </row>
    <row r="66" spans="1:6" s="13" customFormat="1" ht="26.25">
      <c r="A66" s="201" t="s">
        <v>67</v>
      </c>
      <c r="B66" s="198">
        <v>0</v>
      </c>
      <c r="C66" s="199">
        <v>0</v>
      </c>
      <c r="D66" s="200">
        <v>0</v>
      </c>
      <c r="E66" s="28">
        <v>0</v>
      </c>
      <c r="F66" s="24">
        <v>0</v>
      </c>
    </row>
    <row r="67" spans="1:6" s="13" customFormat="1" ht="26.25">
      <c r="A67" s="201" t="s">
        <v>68</v>
      </c>
      <c r="B67" s="198">
        <v>626336</v>
      </c>
      <c r="C67" s="199">
        <v>574910</v>
      </c>
      <c r="D67" s="200">
        <v>562747</v>
      </c>
      <c r="E67" s="28">
        <v>-12163</v>
      </c>
      <c r="F67" s="24">
        <v>-2.1156354907724686E-2</v>
      </c>
    </row>
    <row r="68" spans="1:6" s="13" customFormat="1" ht="26.25">
      <c r="A68" s="201" t="s">
        <v>69</v>
      </c>
      <c r="B68" s="198">
        <v>0</v>
      </c>
      <c r="C68" s="199">
        <v>0</v>
      </c>
      <c r="D68" s="200">
        <v>0</v>
      </c>
      <c r="E68" s="28">
        <v>0</v>
      </c>
      <c r="F68" s="24">
        <v>0</v>
      </c>
    </row>
    <row r="69" spans="1:6" s="13" customFormat="1" ht="26.25">
      <c r="A69" s="201" t="s">
        <v>70</v>
      </c>
      <c r="B69" s="198">
        <v>0</v>
      </c>
      <c r="C69" s="199">
        <v>0</v>
      </c>
      <c r="D69" s="200">
        <v>0</v>
      </c>
      <c r="E69" s="28">
        <v>0</v>
      </c>
      <c r="F69" s="24">
        <v>0</v>
      </c>
    </row>
    <row r="70" spans="1:6" s="36" customFormat="1" ht="26.25">
      <c r="A70" s="227" t="s">
        <v>71</v>
      </c>
      <c r="B70" s="315">
        <v>437262516</v>
      </c>
      <c r="C70" s="228">
        <v>437979746</v>
      </c>
      <c r="D70" s="229">
        <v>441277150</v>
      </c>
      <c r="E70" s="51">
        <v>3297404</v>
      </c>
      <c r="F70" s="35">
        <v>7.5286677754272226E-3</v>
      </c>
    </row>
    <row r="71" spans="1:6" s="13" customFormat="1" ht="26.25">
      <c r="A71" s="225"/>
      <c r="B71" s="189"/>
      <c r="C71" s="190"/>
      <c r="D71" s="191"/>
      <c r="E71" s="19"/>
      <c r="F71" s="21"/>
    </row>
    <row r="72" spans="1:6" s="13" customFormat="1" ht="26.25">
      <c r="A72" s="223" t="s">
        <v>72</v>
      </c>
      <c r="B72" s="189"/>
      <c r="C72" s="190"/>
      <c r="D72" s="191"/>
      <c r="E72" s="19"/>
      <c r="F72" s="21"/>
    </row>
    <row r="73" spans="1:6" s="13" customFormat="1" ht="26.25">
      <c r="A73" s="197" t="s">
        <v>73</v>
      </c>
      <c r="B73" s="165">
        <v>222116370</v>
      </c>
      <c r="C73" s="166">
        <v>227687270</v>
      </c>
      <c r="D73" s="193">
        <v>219577872</v>
      </c>
      <c r="E73" s="19">
        <v>-8109398</v>
      </c>
      <c r="F73" s="24">
        <v>-3.5616387336894151E-2</v>
      </c>
    </row>
    <row r="74" spans="1:6" s="13" customFormat="1" ht="26.25">
      <c r="A74" s="201" t="s">
        <v>74</v>
      </c>
      <c r="B74" s="307">
        <v>27374747</v>
      </c>
      <c r="C74" s="166">
        <v>24992101</v>
      </c>
      <c r="D74" s="193">
        <v>24772509</v>
      </c>
      <c r="E74" s="28">
        <v>-219592</v>
      </c>
      <c r="F74" s="24">
        <v>-8.7864561686910592E-3</v>
      </c>
    </row>
    <row r="75" spans="1:6" s="13" customFormat="1" ht="26.25">
      <c r="A75" s="201" t="s">
        <v>75</v>
      </c>
      <c r="B75" s="189">
        <v>75381789</v>
      </c>
      <c r="C75" s="166">
        <v>77351282</v>
      </c>
      <c r="D75" s="193">
        <v>85019813</v>
      </c>
      <c r="E75" s="28">
        <v>7668531</v>
      </c>
      <c r="F75" s="24">
        <v>9.9139029137228774E-2</v>
      </c>
    </row>
    <row r="76" spans="1:6" s="36" customFormat="1" ht="26.25">
      <c r="A76" s="226" t="s">
        <v>76</v>
      </c>
      <c r="B76" s="315">
        <v>324872906</v>
      </c>
      <c r="C76" s="228">
        <v>330030653</v>
      </c>
      <c r="D76" s="229">
        <v>329370194</v>
      </c>
      <c r="E76" s="34">
        <v>-660459</v>
      </c>
      <c r="F76" s="35">
        <v>-2.0012050214014516E-3</v>
      </c>
    </row>
    <row r="77" spans="1:6" s="13" customFormat="1" ht="26.25">
      <c r="A77" s="201" t="s">
        <v>77</v>
      </c>
      <c r="B77" s="307">
        <v>2720845</v>
      </c>
      <c r="C77" s="195">
        <v>1970237</v>
      </c>
      <c r="D77" s="196">
        <v>2347330</v>
      </c>
      <c r="E77" s="28">
        <v>377093</v>
      </c>
      <c r="F77" s="24">
        <v>0.19139474083574717</v>
      </c>
    </row>
    <row r="78" spans="1:6" s="13" customFormat="1" ht="26.25">
      <c r="A78" s="201" t="s">
        <v>78</v>
      </c>
      <c r="B78" s="165">
        <v>12278390</v>
      </c>
      <c r="C78" s="166">
        <v>15286499</v>
      </c>
      <c r="D78" s="193">
        <v>15275169</v>
      </c>
      <c r="E78" s="28">
        <v>-11330</v>
      </c>
      <c r="F78" s="24">
        <v>-7.4117690388099985E-4</v>
      </c>
    </row>
    <row r="79" spans="1:6" s="13" customFormat="1" ht="26.25">
      <c r="A79" s="201" t="s">
        <v>79</v>
      </c>
      <c r="B79" s="189">
        <v>16100600</v>
      </c>
      <c r="C79" s="190">
        <v>11145983</v>
      </c>
      <c r="D79" s="191">
        <v>11585397</v>
      </c>
      <c r="E79" s="28">
        <v>439414</v>
      </c>
      <c r="F79" s="24">
        <v>3.942353043244369E-2</v>
      </c>
    </row>
    <row r="80" spans="1:6" s="36" customFormat="1" ht="26.25">
      <c r="A80" s="204" t="s">
        <v>80</v>
      </c>
      <c r="B80" s="315">
        <v>31099835</v>
      </c>
      <c r="C80" s="228">
        <v>28402719</v>
      </c>
      <c r="D80" s="229">
        <v>29207896</v>
      </c>
      <c r="E80" s="34">
        <v>805177</v>
      </c>
      <c r="F80" s="35">
        <v>2.8348588738986574E-2</v>
      </c>
    </row>
    <row r="81" spans="1:12" s="13" customFormat="1" ht="26.25">
      <c r="A81" s="201" t="s">
        <v>81</v>
      </c>
      <c r="B81" s="189">
        <v>3005300</v>
      </c>
      <c r="C81" s="190">
        <v>2441928</v>
      </c>
      <c r="D81" s="191">
        <v>1913070</v>
      </c>
      <c r="E81" s="28">
        <v>-528858</v>
      </c>
      <c r="F81" s="24">
        <v>-0.21657395304038449</v>
      </c>
    </row>
    <row r="82" spans="1:12" s="13" customFormat="1" ht="26.25">
      <c r="A82" s="201" t="s">
        <v>82</v>
      </c>
      <c r="B82" s="198">
        <v>53072676</v>
      </c>
      <c r="C82" s="199">
        <v>52886399</v>
      </c>
      <c r="D82" s="200">
        <v>58521629</v>
      </c>
      <c r="E82" s="28">
        <v>5635230</v>
      </c>
      <c r="F82" s="24">
        <v>0.10655348268275933</v>
      </c>
    </row>
    <row r="83" spans="1:12" s="13" customFormat="1" ht="26.25">
      <c r="A83" s="201" t="s">
        <v>83</v>
      </c>
      <c r="B83" s="198">
        <v>0</v>
      </c>
      <c r="C83" s="199">
        <v>0</v>
      </c>
      <c r="D83" s="200">
        <v>0</v>
      </c>
      <c r="E83" s="28">
        <v>0</v>
      </c>
      <c r="F83" s="24">
        <v>0</v>
      </c>
    </row>
    <row r="84" spans="1:12" s="13" customFormat="1" ht="26.25">
      <c r="A84" s="201" t="s">
        <v>84</v>
      </c>
      <c r="B84" s="198">
        <v>13231727</v>
      </c>
      <c r="C84" s="199">
        <v>13824245</v>
      </c>
      <c r="D84" s="200">
        <v>12390088</v>
      </c>
      <c r="E84" s="28">
        <v>-1434157</v>
      </c>
      <c r="F84" s="24">
        <v>-0.10374215734747178</v>
      </c>
    </row>
    <row r="85" spans="1:12" s="36" customFormat="1" ht="26.25">
      <c r="A85" s="204" t="s">
        <v>85</v>
      </c>
      <c r="B85" s="206">
        <v>69309703</v>
      </c>
      <c r="C85" s="207">
        <v>69152572</v>
      </c>
      <c r="D85" s="208">
        <v>72824787</v>
      </c>
      <c r="E85" s="34">
        <v>3672215</v>
      </c>
      <c r="F85" s="35">
        <v>5.3103086317599295E-2</v>
      </c>
    </row>
    <row r="86" spans="1:12" s="13" customFormat="1" ht="26.25">
      <c r="A86" s="201" t="s">
        <v>86</v>
      </c>
      <c r="B86" s="198">
        <v>6274278.1699999999</v>
      </c>
      <c r="C86" s="199">
        <v>5699790</v>
      </c>
      <c r="D86" s="200">
        <v>5809033</v>
      </c>
      <c r="E86" s="28">
        <v>109243</v>
      </c>
      <c r="F86" s="24">
        <v>1.9166144717612403E-2</v>
      </c>
    </row>
    <row r="87" spans="1:12" s="13" customFormat="1" ht="26.25">
      <c r="A87" s="201" t="s">
        <v>87</v>
      </c>
      <c r="B87" s="198">
        <v>5705793.8300000001</v>
      </c>
      <c r="C87" s="199">
        <v>4694012</v>
      </c>
      <c r="D87" s="200">
        <v>4065240</v>
      </c>
      <c r="E87" s="28">
        <v>-628772</v>
      </c>
      <c r="F87" s="24">
        <v>-0.13395193706364619</v>
      </c>
    </row>
    <row r="88" spans="1:12" s="13" customFormat="1" ht="26.25">
      <c r="A88" s="210" t="s">
        <v>88</v>
      </c>
      <c r="B88" s="198">
        <v>0</v>
      </c>
      <c r="C88" s="199">
        <v>0</v>
      </c>
      <c r="D88" s="200">
        <v>0</v>
      </c>
      <c r="E88" s="28">
        <v>0</v>
      </c>
      <c r="F88" s="24">
        <v>0</v>
      </c>
    </row>
    <row r="89" spans="1:12" s="36" customFormat="1" ht="26.25">
      <c r="A89" s="230" t="s">
        <v>89</v>
      </c>
      <c r="B89" s="315">
        <v>11980072</v>
      </c>
      <c r="C89" s="228">
        <v>10393802</v>
      </c>
      <c r="D89" s="229">
        <v>9874273</v>
      </c>
      <c r="E89" s="51">
        <v>-519529</v>
      </c>
      <c r="F89" s="35">
        <v>-4.9984500378206169E-2</v>
      </c>
    </row>
    <row r="90" spans="1:12" s="13" customFormat="1" ht="26.25">
      <c r="A90" s="210" t="s">
        <v>90</v>
      </c>
      <c r="B90" s="198">
        <v>0</v>
      </c>
      <c r="C90" s="199">
        <v>0</v>
      </c>
      <c r="D90" s="196">
        <v>0</v>
      </c>
      <c r="E90" s="28">
        <v>0</v>
      </c>
      <c r="F90" s="24">
        <v>0</v>
      </c>
    </row>
    <row r="91" spans="1:12" s="36" customFormat="1" ht="27" thickBot="1">
      <c r="A91" s="231" t="s">
        <v>71</v>
      </c>
      <c r="B91" s="316">
        <v>437262516</v>
      </c>
      <c r="C91" s="232">
        <v>437979746</v>
      </c>
      <c r="D91" s="233">
        <v>441277150</v>
      </c>
      <c r="E91" s="54">
        <v>3297404</v>
      </c>
      <c r="F91" s="56">
        <v>7.5286677754272226E-3</v>
      </c>
    </row>
    <row r="92" spans="1:12" s="60" customFormat="1" ht="13.5" customHeight="1" thickBot="1">
      <c r="A92" s="57"/>
      <c r="B92" s="58"/>
      <c r="C92" s="58"/>
      <c r="D92" s="58"/>
      <c r="E92" s="59"/>
      <c r="F92" s="59"/>
    </row>
    <row r="93" spans="1:12" s="60" customFormat="1" ht="31.5">
      <c r="A93" s="160" t="s">
        <v>43</v>
      </c>
      <c r="B93" s="317"/>
      <c r="C93" s="161"/>
      <c r="D93" s="162"/>
      <c r="E93" s="161"/>
      <c r="F93" s="163"/>
      <c r="G93" s="13"/>
      <c r="H93" s="13"/>
      <c r="I93" s="13"/>
      <c r="J93" s="13"/>
      <c r="K93" s="13"/>
      <c r="L93" s="13"/>
    </row>
    <row r="94" spans="1:12" s="60" customFormat="1" ht="31.5" hidden="1">
      <c r="A94" s="164" t="s">
        <v>121</v>
      </c>
      <c r="B94" s="318">
        <v>0</v>
      </c>
      <c r="C94" s="165">
        <v>0</v>
      </c>
      <c r="D94" s="166"/>
      <c r="E94" s="165">
        <v>0</v>
      </c>
      <c r="F94" s="167">
        <v>0</v>
      </c>
      <c r="G94" s="13"/>
      <c r="H94" s="13"/>
      <c r="I94" s="13"/>
      <c r="J94" s="13"/>
      <c r="K94" s="13"/>
      <c r="L94" s="13"/>
    </row>
    <row r="95" spans="1:12" ht="26.25" hidden="1">
      <c r="A95" s="234" t="s">
        <v>45</v>
      </c>
      <c r="B95" s="319">
        <v>0</v>
      </c>
      <c r="C95" s="189">
        <v>0</v>
      </c>
      <c r="D95" s="190"/>
      <c r="E95" s="198">
        <v>0</v>
      </c>
      <c r="F95" s="235">
        <v>0</v>
      </c>
      <c r="G95" s="13"/>
      <c r="H95" s="13"/>
      <c r="I95" s="13"/>
      <c r="J95" s="13"/>
      <c r="K95" s="13"/>
      <c r="L95" s="13"/>
    </row>
    <row r="96" spans="1:12" s="242" customFormat="1" ht="26.25">
      <c r="A96" s="236" t="s">
        <v>122</v>
      </c>
      <c r="B96" s="320">
        <v>13336715</v>
      </c>
      <c r="C96" s="237">
        <v>2879463</v>
      </c>
      <c r="D96" s="238"/>
      <c r="E96" s="237">
        <v>-2879463</v>
      </c>
      <c r="F96" s="240">
        <v>-1</v>
      </c>
      <c r="G96" s="241"/>
      <c r="H96" s="241"/>
      <c r="I96" s="241"/>
      <c r="J96" s="241"/>
      <c r="K96" s="241"/>
      <c r="L96" s="241"/>
    </row>
    <row r="97" spans="1:12" ht="26.25" hidden="1">
      <c r="A97" s="164" t="s">
        <v>47</v>
      </c>
      <c r="B97" s="318">
        <v>0</v>
      </c>
      <c r="C97" s="165">
        <v>0</v>
      </c>
      <c r="D97" s="166"/>
      <c r="E97" s="165">
        <v>0</v>
      </c>
      <c r="F97" s="167">
        <v>0</v>
      </c>
      <c r="G97" s="13"/>
      <c r="H97" s="13"/>
      <c r="I97" s="13"/>
      <c r="J97" s="13"/>
      <c r="K97" s="13"/>
      <c r="L97" s="13"/>
    </row>
    <row r="98" spans="1:12" ht="26.25" hidden="1">
      <c r="A98" s="170" t="s">
        <v>48</v>
      </c>
      <c r="B98" s="318">
        <v>0</v>
      </c>
      <c r="C98" s="165">
        <v>0</v>
      </c>
      <c r="D98" s="166"/>
      <c r="E98" s="169">
        <v>0</v>
      </c>
      <c r="F98" s="167">
        <v>0</v>
      </c>
      <c r="G98" s="13"/>
      <c r="H98" s="13"/>
      <c r="I98" s="13"/>
      <c r="J98" s="13"/>
      <c r="K98" s="13"/>
      <c r="L98" s="13"/>
    </row>
    <row r="99" spans="1:12" ht="27" thickBot="1">
      <c r="A99" s="171" t="s">
        <v>49</v>
      </c>
      <c r="B99" s="321">
        <v>13336715</v>
      </c>
      <c r="C99" s="172">
        <v>2879463</v>
      </c>
      <c r="D99" s="173">
        <v>0</v>
      </c>
      <c r="E99" s="172">
        <v>-2879463</v>
      </c>
      <c r="F99" s="174">
        <v>-1</v>
      </c>
      <c r="G99" s="36"/>
      <c r="H99" s="36"/>
      <c r="I99" s="36"/>
      <c r="J99" s="36" t="s">
        <v>50</v>
      </c>
      <c r="K99" s="36"/>
      <c r="L99" s="36"/>
    </row>
    <row r="100" spans="1:12" ht="17.25" customHeight="1">
      <c r="A100" s="175"/>
      <c r="B100" s="176"/>
      <c r="C100" s="176"/>
      <c r="D100" s="176"/>
      <c r="E100" s="176"/>
      <c r="F100" s="177"/>
      <c r="G100" s="36"/>
      <c r="H100" s="36"/>
      <c r="I100" s="36"/>
      <c r="J100" s="36"/>
      <c r="K100" s="36"/>
      <c r="L100" s="36"/>
    </row>
    <row r="101" spans="1:12" ht="31.5">
      <c r="A101" s="61" t="s">
        <v>91</v>
      </c>
      <c r="B101" s="62"/>
      <c r="C101" s="62"/>
      <c r="D101" s="62"/>
      <c r="E101" s="59"/>
      <c r="F101" s="59"/>
      <c r="G101" s="60"/>
      <c r="H101" s="60"/>
      <c r="I101" s="60"/>
      <c r="J101" s="60"/>
      <c r="K101" s="60"/>
      <c r="L101" s="60"/>
    </row>
    <row r="102" spans="1:12" ht="31.5">
      <c r="A102" s="61" t="s">
        <v>92</v>
      </c>
      <c r="B102" s="62"/>
      <c r="C102" s="62"/>
      <c r="D102" s="62"/>
      <c r="E102" s="59"/>
      <c r="F102" s="59"/>
      <c r="G102" s="60"/>
      <c r="H102" s="60"/>
      <c r="I102" s="60"/>
      <c r="J102" s="60"/>
      <c r="K102" s="60"/>
      <c r="L102" s="60"/>
    </row>
    <row r="103" spans="1:12" ht="30">
      <c r="A103" s="178" t="s">
        <v>123</v>
      </c>
      <c r="B103" s="64"/>
      <c r="C103" s="64"/>
      <c r="D103" s="64"/>
    </row>
  </sheetData>
  <pageMargins left="0.7" right="0.7" top="0.32" bottom="0.3" header="0.3" footer="0.3"/>
  <pageSetup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3"/>
  <sheetViews>
    <sheetView topLeftCell="A76" zoomScale="50" zoomScaleNormal="50" workbookViewId="0">
      <selection activeCell="R17" sqref="R17"/>
    </sheetView>
  </sheetViews>
  <sheetFormatPr defaultRowHeight="15.75"/>
  <cols>
    <col min="1" max="1" width="108" style="65" customWidth="1"/>
    <col min="2" max="2" width="32.7109375" style="66" customWidth="1"/>
    <col min="3" max="4" width="32.85546875" style="66" customWidth="1"/>
    <col min="5" max="5" width="37.5703125" style="65" customWidth="1"/>
    <col min="6" max="6" width="27.7109375" style="65" customWidth="1"/>
    <col min="7" max="16384" width="9.140625" style="65"/>
  </cols>
  <sheetData>
    <row r="1" spans="1:6" s="6" customFormat="1" ht="46.5">
      <c r="A1" s="1" t="s">
        <v>0</v>
      </c>
      <c r="D1" s="286" t="s">
        <v>1</v>
      </c>
      <c r="E1" s="289" t="s">
        <v>125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159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8094278</v>
      </c>
      <c r="C8" s="23">
        <v>8094278</v>
      </c>
      <c r="D8" s="23">
        <v>8091785</v>
      </c>
      <c r="E8" s="23">
        <v>-2493</v>
      </c>
      <c r="F8" s="24">
        <v>-3.0799535177813265E-4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98">
        <v>273193</v>
      </c>
      <c r="C10" s="26">
        <v>274220</v>
      </c>
      <c r="D10" s="26">
        <v>270277</v>
      </c>
      <c r="E10" s="26">
        <v>-3943</v>
      </c>
      <c r="F10" s="24">
        <v>-1.4378965793888119E-2</v>
      </c>
    </row>
    <row r="11" spans="1:6" s="13" customFormat="1" ht="26.25">
      <c r="A11" s="27" t="s">
        <v>19</v>
      </c>
      <c r="B11" s="299">
        <v>6007</v>
      </c>
      <c r="C11" s="28">
        <v>6007</v>
      </c>
      <c r="D11" s="28">
        <v>0</v>
      </c>
      <c r="E11" s="26">
        <v>-6007</v>
      </c>
      <c r="F11" s="24">
        <v>-1</v>
      </c>
    </row>
    <row r="12" spans="1:6" s="13" customFormat="1" ht="26.25">
      <c r="A12" s="29" t="s">
        <v>20</v>
      </c>
      <c r="B12" s="299">
        <v>267186</v>
      </c>
      <c r="C12" s="28">
        <v>268213</v>
      </c>
      <c r="D12" s="28">
        <v>270277</v>
      </c>
      <c r="E12" s="26">
        <v>2064</v>
      </c>
      <c r="F12" s="24">
        <v>7.6953764358923694E-3</v>
      </c>
    </row>
    <row r="13" spans="1:6" s="13" customFormat="1" ht="26.25">
      <c r="A13" s="29" t="s">
        <v>21</v>
      </c>
      <c r="B13" s="299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99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13" customFormat="1" ht="26.25">
      <c r="A15" s="29" t="s">
        <v>23</v>
      </c>
      <c r="B15" s="299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299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99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99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99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99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99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99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99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99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99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99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99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99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13" customFormat="1" ht="26.25">
      <c r="A29" s="31" t="s">
        <v>37</v>
      </c>
      <c r="B29" s="299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99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99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00">
        <v>8367471</v>
      </c>
      <c r="C34" s="34">
        <v>8368498</v>
      </c>
      <c r="D34" s="34">
        <v>8362062</v>
      </c>
      <c r="E34" s="34">
        <v>-6436</v>
      </c>
      <c r="F34" s="35">
        <v>-7.690746893887051E-4</v>
      </c>
    </row>
    <row r="35" spans="1:10" s="13" customFormat="1" ht="26.25">
      <c r="A35" s="31" t="s">
        <v>43</v>
      </c>
      <c r="B35" s="299"/>
      <c r="C35" s="28"/>
      <c r="D35" s="28"/>
      <c r="E35" s="28"/>
      <c r="F35" s="20"/>
    </row>
    <row r="36" spans="1:10" s="13" customFormat="1" ht="26.25">
      <c r="A36" s="37" t="s">
        <v>44</v>
      </c>
      <c r="B36" s="23"/>
      <c r="C36" s="23"/>
      <c r="D36" s="23"/>
      <c r="E36" s="23">
        <v>0</v>
      </c>
      <c r="F36" s="24">
        <v>0</v>
      </c>
    </row>
    <row r="37" spans="1:10" s="13" customFormat="1" ht="26.25">
      <c r="A37" s="38" t="s">
        <v>45</v>
      </c>
      <c r="B37" s="23"/>
      <c r="C37" s="23"/>
      <c r="D37" s="23"/>
      <c r="E37" s="26">
        <v>0</v>
      </c>
      <c r="F37" s="24">
        <v>0</v>
      </c>
    </row>
    <row r="38" spans="1:10" s="13" customFormat="1" ht="26.25">
      <c r="A38" s="38" t="s">
        <v>46</v>
      </c>
      <c r="B38" s="23"/>
      <c r="C38" s="23"/>
      <c r="D38" s="23"/>
      <c r="E38" s="26">
        <v>0</v>
      </c>
      <c r="F38" s="24">
        <v>0</v>
      </c>
    </row>
    <row r="39" spans="1:10" s="13" customFormat="1" ht="26.25">
      <c r="A39" s="38" t="s">
        <v>47</v>
      </c>
      <c r="B39" s="23"/>
      <c r="C39" s="23"/>
      <c r="D39" s="23"/>
      <c r="E39" s="26">
        <v>0</v>
      </c>
      <c r="F39" s="24">
        <v>0</v>
      </c>
    </row>
    <row r="40" spans="1:10" s="13" customFormat="1" ht="26.25">
      <c r="A40" s="39" t="s">
        <v>48</v>
      </c>
      <c r="B40" s="23"/>
      <c r="C40" s="23"/>
      <c r="D40" s="23"/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0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99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99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3400985</v>
      </c>
      <c r="C45" s="42">
        <v>3400985</v>
      </c>
      <c r="D45" s="42">
        <v>0</v>
      </c>
      <c r="E45" s="42">
        <v>-3400985</v>
      </c>
      <c r="F45" s="35">
        <v>-1</v>
      </c>
    </row>
    <row r="46" spans="1:10" s="13" customFormat="1" ht="26.25">
      <c r="A46" s="29" t="s">
        <v>50</v>
      </c>
      <c r="B46" s="299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7626066</v>
      </c>
      <c r="C47" s="40">
        <v>6986857</v>
      </c>
      <c r="D47" s="40">
        <v>10992363</v>
      </c>
      <c r="E47" s="40">
        <v>4005506</v>
      </c>
      <c r="F47" s="35">
        <v>0.57329153867039218</v>
      </c>
    </row>
    <row r="48" spans="1:10" s="13" customFormat="1" ht="26.25">
      <c r="A48" s="29" t="s">
        <v>50</v>
      </c>
      <c r="B48" s="299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99"/>
      <c r="C52" s="28"/>
      <c r="D52" s="28"/>
      <c r="E52" s="28"/>
      <c r="F52" s="20"/>
    </row>
    <row r="53" spans="1:6" s="36" customFormat="1" ht="26.25">
      <c r="A53" s="46" t="s">
        <v>56</v>
      </c>
      <c r="B53" s="40">
        <v>19394522</v>
      </c>
      <c r="C53" s="40">
        <v>18756340</v>
      </c>
      <c r="D53" s="40">
        <v>19354425</v>
      </c>
      <c r="E53" s="40">
        <v>598085</v>
      </c>
      <c r="F53" s="35">
        <v>3.1887084580467191E-2</v>
      </c>
    </row>
    <row r="54" spans="1:6" s="13" customFormat="1" ht="26.25">
      <c r="A54" s="47"/>
      <c r="B54" s="299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7987227</v>
      </c>
      <c r="C57" s="19">
        <v>9742983</v>
      </c>
      <c r="D57" s="19">
        <v>10466903</v>
      </c>
      <c r="E57" s="19">
        <v>723920</v>
      </c>
      <c r="F57" s="24">
        <v>7.4301679475372168E-2</v>
      </c>
    </row>
    <row r="58" spans="1:6" s="13" customFormat="1" ht="26.25">
      <c r="A58" s="29" t="s">
        <v>59</v>
      </c>
      <c r="B58" s="299">
        <v>0</v>
      </c>
      <c r="C58" s="28">
        <v>0</v>
      </c>
      <c r="D58" s="28">
        <v>0</v>
      </c>
      <c r="E58" s="28">
        <v>0</v>
      </c>
      <c r="F58" s="24">
        <v>0</v>
      </c>
    </row>
    <row r="59" spans="1:6" s="13" customFormat="1" ht="26.25">
      <c r="A59" s="29" t="s">
        <v>60</v>
      </c>
      <c r="B59" s="299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13" customFormat="1" ht="26.25">
      <c r="A60" s="29" t="s">
        <v>61</v>
      </c>
      <c r="B60" s="299">
        <v>1439208</v>
      </c>
      <c r="C60" s="28">
        <v>1436457</v>
      </c>
      <c r="D60" s="28">
        <v>1076952</v>
      </c>
      <c r="E60" s="28">
        <v>-359505</v>
      </c>
      <c r="F60" s="24">
        <v>-0.25027202345771576</v>
      </c>
    </row>
    <row r="61" spans="1:6" s="13" customFormat="1" ht="26.25">
      <c r="A61" s="29" t="s">
        <v>62</v>
      </c>
      <c r="B61" s="299">
        <v>1611582</v>
      </c>
      <c r="C61" s="28">
        <v>1227220</v>
      </c>
      <c r="D61" s="28">
        <v>1161171</v>
      </c>
      <c r="E61" s="28">
        <v>-66049</v>
      </c>
      <c r="F61" s="24">
        <v>-5.3820015971056533E-2</v>
      </c>
    </row>
    <row r="62" spans="1:6" s="13" customFormat="1" ht="26.25">
      <c r="A62" s="29" t="s">
        <v>63</v>
      </c>
      <c r="B62" s="299">
        <v>2709453</v>
      </c>
      <c r="C62" s="28">
        <v>2999766</v>
      </c>
      <c r="D62" s="28">
        <v>2954333</v>
      </c>
      <c r="E62" s="28">
        <v>-45433</v>
      </c>
      <c r="F62" s="24">
        <v>-1.5145514683478644E-2</v>
      </c>
    </row>
    <row r="63" spans="1:6" s="13" customFormat="1" ht="26.25">
      <c r="A63" s="29" t="s">
        <v>64</v>
      </c>
      <c r="B63" s="299">
        <v>382680</v>
      </c>
      <c r="C63" s="28">
        <v>586800</v>
      </c>
      <c r="D63" s="28">
        <v>654000</v>
      </c>
      <c r="E63" s="28">
        <v>67200</v>
      </c>
      <c r="F63" s="24">
        <v>0.11451942740286299</v>
      </c>
    </row>
    <row r="64" spans="1:6" s="13" customFormat="1" ht="26.25">
      <c r="A64" s="29" t="s">
        <v>65</v>
      </c>
      <c r="B64" s="299">
        <v>3229700</v>
      </c>
      <c r="C64" s="28">
        <v>2618966</v>
      </c>
      <c r="D64" s="28">
        <v>3041066</v>
      </c>
      <c r="E64" s="28">
        <v>422100</v>
      </c>
      <c r="F64" s="24">
        <v>0.16117047720359867</v>
      </c>
    </row>
    <row r="65" spans="1:6" s="36" customFormat="1" ht="26.25">
      <c r="A65" s="49" t="s">
        <v>66</v>
      </c>
      <c r="B65" s="300">
        <v>17359850</v>
      </c>
      <c r="C65" s="34">
        <v>18612192</v>
      </c>
      <c r="D65" s="34">
        <v>19354425</v>
      </c>
      <c r="E65" s="34">
        <v>742233</v>
      </c>
      <c r="F65" s="35">
        <v>3.9878860050444352E-2</v>
      </c>
    </row>
    <row r="66" spans="1:6" s="13" customFormat="1" ht="26.25">
      <c r="A66" s="29" t="s">
        <v>67</v>
      </c>
      <c r="B66" s="299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99">
        <v>578662</v>
      </c>
      <c r="C67" s="28">
        <v>0</v>
      </c>
      <c r="D67" s="28">
        <v>0</v>
      </c>
      <c r="E67" s="28">
        <v>0</v>
      </c>
      <c r="F67" s="24">
        <v>0</v>
      </c>
    </row>
    <row r="68" spans="1:6" s="13" customFormat="1" ht="26.25">
      <c r="A68" s="29" t="s">
        <v>69</v>
      </c>
      <c r="B68" s="299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13" customFormat="1" ht="26.25">
      <c r="A69" s="29" t="s">
        <v>70</v>
      </c>
      <c r="B69" s="299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50" t="s">
        <v>71</v>
      </c>
      <c r="B70" s="301">
        <v>17938512</v>
      </c>
      <c r="C70" s="51">
        <v>18612192</v>
      </c>
      <c r="D70" s="51">
        <v>19354425</v>
      </c>
      <c r="E70" s="51">
        <v>742233</v>
      </c>
      <c r="F70" s="35">
        <v>3.9878860050444352E-2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9567633</v>
      </c>
      <c r="C73" s="23">
        <v>11042879</v>
      </c>
      <c r="D73" s="23">
        <v>10906340</v>
      </c>
      <c r="E73" s="19">
        <v>-136539</v>
      </c>
      <c r="F73" s="24">
        <v>-1.2364438657708737E-2</v>
      </c>
    </row>
    <row r="74" spans="1:6" s="13" customFormat="1" ht="26.25">
      <c r="A74" s="29" t="s">
        <v>74</v>
      </c>
      <c r="B74" s="298">
        <v>60788</v>
      </c>
      <c r="C74" s="23">
        <v>45500</v>
      </c>
      <c r="D74" s="23">
        <v>73000</v>
      </c>
      <c r="E74" s="28">
        <v>27500</v>
      </c>
      <c r="F74" s="24">
        <v>0.60439560439560436</v>
      </c>
    </row>
    <row r="75" spans="1:6" s="13" customFormat="1" ht="26.25">
      <c r="A75" s="29" t="s">
        <v>75</v>
      </c>
      <c r="B75" s="19">
        <v>3949226</v>
      </c>
      <c r="C75" s="23">
        <v>3790863</v>
      </c>
      <c r="D75" s="23">
        <v>4071000</v>
      </c>
      <c r="E75" s="28">
        <v>280137</v>
      </c>
      <c r="F75" s="24">
        <v>7.3897948831176438E-2</v>
      </c>
    </row>
    <row r="76" spans="1:6" s="36" customFormat="1" ht="26.25">
      <c r="A76" s="49" t="s">
        <v>76</v>
      </c>
      <c r="B76" s="301">
        <v>13577647</v>
      </c>
      <c r="C76" s="51">
        <v>14879242</v>
      </c>
      <c r="D76" s="51">
        <v>15050340</v>
      </c>
      <c r="E76" s="34">
        <v>171098</v>
      </c>
      <c r="F76" s="35">
        <v>1.1499107279792881E-2</v>
      </c>
    </row>
    <row r="77" spans="1:6" s="13" customFormat="1" ht="26.25">
      <c r="A77" s="29" t="s">
        <v>77</v>
      </c>
      <c r="B77" s="298">
        <v>33319</v>
      </c>
      <c r="C77" s="26">
        <v>58600</v>
      </c>
      <c r="D77" s="26">
        <v>62000</v>
      </c>
      <c r="E77" s="28">
        <v>3400</v>
      </c>
      <c r="F77" s="24">
        <v>5.8020477815699661E-2</v>
      </c>
    </row>
    <row r="78" spans="1:6" s="13" customFormat="1" ht="26.25">
      <c r="A78" s="29" t="s">
        <v>78</v>
      </c>
      <c r="B78" s="23">
        <v>2233299</v>
      </c>
      <c r="C78" s="23">
        <v>2265600</v>
      </c>
      <c r="D78" s="23">
        <v>2671000</v>
      </c>
      <c r="E78" s="28">
        <v>405400</v>
      </c>
      <c r="F78" s="24">
        <v>0.17893714689265536</v>
      </c>
    </row>
    <row r="79" spans="1:6" s="13" customFormat="1" ht="26.25">
      <c r="A79" s="29" t="s">
        <v>79</v>
      </c>
      <c r="B79" s="19">
        <v>546000</v>
      </c>
      <c r="C79" s="19">
        <v>359200</v>
      </c>
      <c r="D79" s="19">
        <v>514285</v>
      </c>
      <c r="E79" s="28">
        <v>155085</v>
      </c>
      <c r="F79" s="24">
        <v>0.43175111358574608</v>
      </c>
    </row>
    <row r="80" spans="1:6" s="36" customFormat="1" ht="26.25">
      <c r="A80" s="32" t="s">
        <v>80</v>
      </c>
      <c r="B80" s="301">
        <v>2812618</v>
      </c>
      <c r="C80" s="51">
        <v>2683400</v>
      </c>
      <c r="D80" s="51">
        <v>3247285</v>
      </c>
      <c r="E80" s="34">
        <v>563885</v>
      </c>
      <c r="F80" s="35">
        <v>0.21013825743459791</v>
      </c>
    </row>
    <row r="81" spans="1:12" s="13" customFormat="1" ht="26.25">
      <c r="A81" s="29" t="s">
        <v>81</v>
      </c>
      <c r="B81" s="19">
        <v>292824</v>
      </c>
      <c r="C81" s="19">
        <v>145900</v>
      </c>
      <c r="D81" s="19">
        <v>122500</v>
      </c>
      <c r="E81" s="28">
        <v>-23400</v>
      </c>
      <c r="F81" s="24">
        <v>-0.16038382453735436</v>
      </c>
    </row>
    <row r="82" spans="1:12" s="13" customFormat="1" ht="26.25">
      <c r="A82" s="29" t="s">
        <v>82</v>
      </c>
      <c r="B82" s="299">
        <v>547251</v>
      </c>
      <c r="C82" s="28">
        <v>832650</v>
      </c>
      <c r="D82" s="28">
        <v>899300</v>
      </c>
      <c r="E82" s="28">
        <v>66650</v>
      </c>
      <c r="F82" s="24">
        <v>8.0045637422686597E-2</v>
      </c>
    </row>
    <row r="83" spans="1:12" s="13" customFormat="1" ht="26.25">
      <c r="A83" s="29" t="s">
        <v>83</v>
      </c>
      <c r="B83" s="299">
        <v>0</v>
      </c>
      <c r="C83" s="28">
        <v>0</v>
      </c>
      <c r="D83" s="28">
        <v>0</v>
      </c>
      <c r="E83" s="28">
        <v>0</v>
      </c>
      <c r="F83" s="24">
        <v>0</v>
      </c>
    </row>
    <row r="84" spans="1:12" s="13" customFormat="1" ht="26.25">
      <c r="A84" s="29" t="s">
        <v>84</v>
      </c>
      <c r="B84" s="299">
        <v>578662</v>
      </c>
      <c r="C84" s="28">
        <v>0</v>
      </c>
      <c r="D84" s="28">
        <v>0</v>
      </c>
      <c r="E84" s="28">
        <v>0</v>
      </c>
      <c r="F84" s="24">
        <v>0</v>
      </c>
    </row>
    <row r="85" spans="1:12" s="36" customFormat="1" ht="26.25">
      <c r="A85" s="32" t="s">
        <v>85</v>
      </c>
      <c r="B85" s="300">
        <v>1418737</v>
      </c>
      <c r="C85" s="34">
        <v>978550</v>
      </c>
      <c r="D85" s="34">
        <v>1021800</v>
      </c>
      <c r="E85" s="34">
        <v>43250</v>
      </c>
      <c r="F85" s="35">
        <v>4.4198048132440854E-2</v>
      </c>
    </row>
    <row r="86" spans="1:12" s="13" customFormat="1" ht="26.25">
      <c r="A86" s="29" t="s">
        <v>86</v>
      </c>
      <c r="B86" s="299">
        <v>90836</v>
      </c>
      <c r="C86" s="28">
        <v>71000</v>
      </c>
      <c r="D86" s="28">
        <v>0</v>
      </c>
      <c r="E86" s="28">
        <v>-71000</v>
      </c>
      <c r="F86" s="24">
        <v>-1</v>
      </c>
    </row>
    <row r="87" spans="1:12" s="13" customFormat="1" ht="26.25">
      <c r="A87" s="29" t="s">
        <v>87</v>
      </c>
      <c r="B87" s="299">
        <v>38674</v>
      </c>
      <c r="C87" s="28">
        <v>0</v>
      </c>
      <c r="D87" s="28">
        <v>35000</v>
      </c>
      <c r="E87" s="28">
        <v>35000</v>
      </c>
      <c r="F87" s="24">
        <v>1</v>
      </c>
    </row>
    <row r="88" spans="1:12" s="13" customFormat="1" ht="26.25">
      <c r="A88" s="38" t="s">
        <v>88</v>
      </c>
      <c r="B88" s="299">
        <v>0</v>
      </c>
      <c r="C88" s="28">
        <v>0</v>
      </c>
      <c r="D88" s="28">
        <v>0</v>
      </c>
      <c r="E88" s="28">
        <v>0</v>
      </c>
      <c r="F88" s="24">
        <v>0</v>
      </c>
    </row>
    <row r="89" spans="1:12" s="36" customFormat="1" ht="26.25">
      <c r="A89" s="52" t="s">
        <v>89</v>
      </c>
      <c r="B89" s="301">
        <v>129510</v>
      </c>
      <c r="C89" s="51">
        <v>71000</v>
      </c>
      <c r="D89" s="51">
        <v>35000</v>
      </c>
      <c r="E89" s="51">
        <v>-36000</v>
      </c>
      <c r="F89" s="35">
        <v>-0.50704225352112675</v>
      </c>
    </row>
    <row r="90" spans="1:12" s="13" customFormat="1" ht="26.25">
      <c r="A90" s="38" t="s">
        <v>90</v>
      </c>
      <c r="B90" s="299">
        <v>0</v>
      </c>
      <c r="C90" s="28">
        <v>0</v>
      </c>
      <c r="D90" s="26">
        <v>0</v>
      </c>
      <c r="E90" s="28">
        <v>0</v>
      </c>
      <c r="F90" s="24">
        <v>0</v>
      </c>
    </row>
    <row r="91" spans="1:12" s="36" customFormat="1" ht="27" thickBot="1">
      <c r="A91" s="53" t="s">
        <v>71</v>
      </c>
      <c r="B91" s="302">
        <v>17938512</v>
      </c>
      <c r="C91" s="54">
        <v>18612192</v>
      </c>
      <c r="D91" s="55">
        <v>19354425</v>
      </c>
      <c r="E91" s="54">
        <v>742233</v>
      </c>
      <c r="F91" s="56">
        <v>3.9878860050444352E-2</v>
      </c>
    </row>
    <row r="92" spans="1:12" s="60" customFormat="1" ht="17.25" customHeight="1" thickBot="1">
      <c r="A92" s="57"/>
      <c r="B92" s="58"/>
      <c r="C92" s="58"/>
      <c r="D92" s="58"/>
      <c r="E92" s="59"/>
      <c r="F92" s="59"/>
    </row>
    <row r="93" spans="1:12" s="60" customFormat="1" ht="31.5">
      <c r="A93" s="160" t="s">
        <v>43</v>
      </c>
      <c r="B93" s="161"/>
      <c r="C93" s="161"/>
      <c r="D93" s="162"/>
      <c r="E93" s="161"/>
      <c r="F93" s="163"/>
      <c r="G93" s="13"/>
      <c r="H93" s="13"/>
      <c r="I93" s="13"/>
      <c r="J93" s="13"/>
      <c r="K93" s="13"/>
      <c r="L93" s="13"/>
    </row>
    <row r="94" spans="1:12" s="60" customFormat="1" ht="31.5" hidden="1">
      <c r="A94" s="164" t="s">
        <v>121</v>
      </c>
      <c r="B94" s="165">
        <v>0</v>
      </c>
      <c r="C94" s="165">
        <v>0</v>
      </c>
      <c r="D94" s="166"/>
      <c r="E94" s="165">
        <v>0</v>
      </c>
      <c r="F94" s="167">
        <v>0</v>
      </c>
      <c r="G94" s="13"/>
      <c r="H94" s="13"/>
      <c r="I94" s="13"/>
      <c r="J94" s="13"/>
      <c r="K94" s="13"/>
      <c r="L94" s="13"/>
    </row>
    <row r="95" spans="1:12" ht="26.25" hidden="1">
      <c r="A95" s="234" t="s">
        <v>45</v>
      </c>
      <c r="B95" s="189">
        <v>0</v>
      </c>
      <c r="C95" s="189">
        <v>0</v>
      </c>
      <c r="D95" s="190"/>
      <c r="E95" s="198">
        <v>0</v>
      </c>
      <c r="F95" s="235">
        <v>0</v>
      </c>
      <c r="G95" s="13"/>
      <c r="H95" s="13"/>
      <c r="I95" s="13"/>
      <c r="J95" s="13"/>
      <c r="K95" s="13"/>
      <c r="L95" s="13"/>
    </row>
    <row r="96" spans="1:12" s="242" customFormat="1" ht="26.25">
      <c r="A96" s="236" t="s">
        <v>122</v>
      </c>
      <c r="B96" s="303">
        <v>1456010</v>
      </c>
      <c r="C96" s="237">
        <v>144148</v>
      </c>
      <c r="D96" s="238"/>
      <c r="E96" s="237">
        <v>-144148</v>
      </c>
      <c r="F96" s="240">
        <v>-1</v>
      </c>
      <c r="G96" s="241"/>
      <c r="H96" s="241"/>
      <c r="I96" s="241"/>
      <c r="J96" s="241"/>
      <c r="K96" s="241"/>
      <c r="L96" s="241"/>
    </row>
    <row r="97" spans="1:12" ht="26.25" hidden="1">
      <c r="A97" s="164" t="s">
        <v>47</v>
      </c>
      <c r="B97" s="165">
        <v>0</v>
      </c>
      <c r="C97" s="165">
        <v>0</v>
      </c>
      <c r="D97" s="166"/>
      <c r="E97" s="165">
        <v>0</v>
      </c>
      <c r="F97" s="167">
        <v>0</v>
      </c>
      <c r="G97" s="13"/>
      <c r="H97" s="13"/>
      <c r="I97" s="13"/>
      <c r="J97" s="13"/>
      <c r="K97" s="13"/>
      <c r="L97" s="13"/>
    </row>
    <row r="98" spans="1:12" ht="26.25" hidden="1">
      <c r="A98" s="170" t="s">
        <v>48</v>
      </c>
      <c r="B98" s="165">
        <v>0</v>
      </c>
      <c r="C98" s="165">
        <v>0</v>
      </c>
      <c r="D98" s="166"/>
      <c r="E98" s="169">
        <v>0</v>
      </c>
      <c r="F98" s="167">
        <v>0</v>
      </c>
      <c r="G98" s="13"/>
      <c r="H98" s="13"/>
      <c r="I98" s="13"/>
      <c r="J98" s="13"/>
      <c r="K98" s="13"/>
      <c r="L98" s="13"/>
    </row>
    <row r="99" spans="1:12" ht="27" thickBot="1">
      <c r="A99" s="171" t="s">
        <v>49</v>
      </c>
      <c r="B99" s="172">
        <v>1456010</v>
      </c>
      <c r="C99" s="172">
        <v>144148</v>
      </c>
      <c r="D99" s="173">
        <v>0</v>
      </c>
      <c r="E99" s="172">
        <v>-144148</v>
      </c>
      <c r="F99" s="174">
        <v>-1</v>
      </c>
      <c r="G99" s="36"/>
      <c r="H99" s="36"/>
      <c r="I99" s="36"/>
      <c r="J99" s="36" t="s">
        <v>50</v>
      </c>
      <c r="K99" s="36"/>
      <c r="L99" s="36"/>
    </row>
    <row r="100" spans="1:12" ht="17.25" customHeight="1">
      <c r="A100" s="175"/>
      <c r="B100" s="176"/>
      <c r="C100" s="176"/>
      <c r="D100" s="176"/>
      <c r="E100" s="176"/>
      <c r="F100" s="177"/>
      <c r="G100" s="36"/>
      <c r="H100" s="36"/>
      <c r="I100" s="36"/>
      <c r="J100" s="36"/>
      <c r="K100" s="36"/>
      <c r="L100" s="36"/>
    </row>
    <row r="101" spans="1:12" ht="31.5">
      <c r="A101" s="61" t="s">
        <v>91</v>
      </c>
      <c r="B101" s="62"/>
      <c r="C101" s="62"/>
      <c r="D101" s="62"/>
      <c r="E101" s="59"/>
      <c r="F101" s="59"/>
      <c r="G101" s="60"/>
      <c r="H101" s="60"/>
      <c r="I101" s="60"/>
      <c r="J101" s="60"/>
      <c r="K101" s="60"/>
      <c r="L101" s="60"/>
    </row>
    <row r="102" spans="1:12" ht="31.5">
      <c r="A102" s="61" t="s">
        <v>92</v>
      </c>
      <c r="B102" s="62"/>
      <c r="C102" s="62"/>
      <c r="D102" s="62"/>
      <c r="E102" s="59"/>
      <c r="F102" s="59"/>
      <c r="G102" s="60"/>
      <c r="H102" s="60"/>
      <c r="I102" s="60"/>
      <c r="J102" s="60"/>
      <c r="K102" s="60"/>
      <c r="L102" s="60"/>
    </row>
    <row r="103" spans="1:12" ht="30">
      <c r="A103" s="178" t="s">
        <v>123</v>
      </c>
      <c r="B103" s="64"/>
      <c r="C103" s="64"/>
      <c r="D103" s="64"/>
    </row>
  </sheetData>
  <pageMargins left="0.7" right="0.7" top="0.3" bottom="0.28999999999999998" header="0.3" footer="0.3"/>
  <pageSetup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3"/>
  <sheetViews>
    <sheetView topLeftCell="A58" zoomScale="50" zoomScaleNormal="50" workbookViewId="0">
      <selection activeCell="M12" sqref="M12"/>
    </sheetView>
  </sheetViews>
  <sheetFormatPr defaultRowHeight="15.75"/>
  <cols>
    <col min="1" max="1" width="105.7109375" style="65" customWidth="1"/>
    <col min="2" max="2" width="32.7109375" style="66" customWidth="1"/>
    <col min="3" max="3" width="31.85546875" style="66" customWidth="1"/>
    <col min="4" max="4" width="32.85546875" style="66" customWidth="1"/>
    <col min="5" max="5" width="39.7109375" style="65" customWidth="1"/>
    <col min="6" max="6" width="27.7109375" style="65" customWidth="1"/>
    <col min="7" max="16384" width="9.140625" style="65"/>
  </cols>
  <sheetData>
    <row r="1" spans="1:27" s="6" customFormat="1" ht="46.5">
      <c r="A1" s="1" t="s">
        <v>0</v>
      </c>
      <c r="D1" s="277" t="s">
        <v>1</v>
      </c>
      <c r="E1" s="289" t="s">
        <v>136</v>
      </c>
      <c r="F1" s="279"/>
    </row>
    <row r="2" spans="1:27" s="6" customFormat="1" ht="46.5">
      <c r="A2" s="1" t="s">
        <v>2</v>
      </c>
      <c r="B2" s="2"/>
      <c r="C2" s="2"/>
      <c r="D2" s="2"/>
      <c r="E2" s="3"/>
      <c r="F2" s="3"/>
    </row>
    <row r="3" spans="1:27" s="6" customFormat="1" ht="47.25" thickBot="1">
      <c r="A3" s="7" t="s">
        <v>3</v>
      </c>
      <c r="B3" s="8"/>
      <c r="C3" s="8"/>
      <c r="D3" s="8"/>
      <c r="E3" s="3"/>
      <c r="F3" s="3"/>
    </row>
    <row r="4" spans="1:27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27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158</v>
      </c>
      <c r="F5" s="16" t="s">
        <v>12</v>
      </c>
    </row>
    <row r="6" spans="1:27" s="13" customFormat="1" ht="26.25">
      <c r="A6" s="18" t="s">
        <v>14</v>
      </c>
      <c r="B6" s="19"/>
      <c r="C6" s="19"/>
      <c r="D6" s="19"/>
      <c r="E6" s="19"/>
      <c r="F6" s="20"/>
    </row>
    <row r="7" spans="1:27" s="13" customFormat="1" ht="26.25">
      <c r="A7" s="18" t="s">
        <v>15</v>
      </c>
      <c r="B7" s="19"/>
      <c r="C7" s="19"/>
      <c r="D7" s="19"/>
      <c r="E7" s="19"/>
      <c r="F7" s="21"/>
    </row>
    <row r="8" spans="1:27" s="13" customFormat="1" ht="26.25">
      <c r="A8" s="22" t="s">
        <v>16</v>
      </c>
      <c r="B8" s="322">
        <v>11425472</v>
      </c>
      <c r="C8" s="23">
        <v>11425472</v>
      </c>
      <c r="D8" s="23">
        <v>11494970</v>
      </c>
      <c r="E8" s="23">
        <v>69498</v>
      </c>
      <c r="F8" s="24">
        <v>6.0827246349209902E-3</v>
      </c>
    </row>
    <row r="9" spans="1:27" s="13" customFormat="1" ht="26.25">
      <c r="A9" s="22" t="s">
        <v>17</v>
      </c>
      <c r="B9" s="322">
        <v>0</v>
      </c>
      <c r="C9" s="23">
        <v>0</v>
      </c>
      <c r="D9" s="23">
        <v>0</v>
      </c>
      <c r="E9" s="23">
        <v>0</v>
      </c>
      <c r="F9" s="24">
        <v>0</v>
      </c>
    </row>
    <row r="10" spans="1:27" s="159" customFormat="1" ht="26.25">
      <c r="A10" s="157" t="s">
        <v>18</v>
      </c>
      <c r="B10" s="322">
        <v>1138729</v>
      </c>
      <c r="C10" s="158">
        <v>1141147</v>
      </c>
      <c r="D10" s="158">
        <v>636149</v>
      </c>
      <c r="E10" s="158">
        <v>-504998</v>
      </c>
      <c r="F10" s="24">
        <v>-0.44253544898247116</v>
      </c>
      <c r="G10" s="274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</row>
    <row r="11" spans="1:27" s="13" customFormat="1" ht="26.25">
      <c r="A11" s="27" t="s">
        <v>19</v>
      </c>
      <c r="B11" s="322">
        <v>9857</v>
      </c>
      <c r="C11" s="19">
        <v>9857</v>
      </c>
      <c r="D11" s="19">
        <v>0</v>
      </c>
      <c r="E11" s="23">
        <v>-9857</v>
      </c>
      <c r="F11" s="24">
        <v>-1</v>
      </c>
    </row>
    <row r="12" spans="1:27" s="13" customFormat="1" ht="26.25">
      <c r="A12" s="29" t="s">
        <v>20</v>
      </c>
      <c r="B12" s="239">
        <v>628872</v>
      </c>
      <c r="C12" s="28">
        <v>631290</v>
      </c>
      <c r="D12" s="28">
        <v>636149</v>
      </c>
      <c r="E12" s="26">
        <v>4859</v>
      </c>
      <c r="F12" s="24">
        <v>7.6969380158088989E-3</v>
      </c>
    </row>
    <row r="13" spans="1:27" s="13" customFormat="1" ht="26.25">
      <c r="A13" s="29" t="s">
        <v>21</v>
      </c>
      <c r="B13" s="19">
        <v>0</v>
      </c>
      <c r="C13" s="28">
        <v>0</v>
      </c>
      <c r="D13" s="28">
        <v>0</v>
      </c>
      <c r="E13" s="26">
        <v>0</v>
      </c>
      <c r="F13" s="24">
        <v>0</v>
      </c>
    </row>
    <row r="14" spans="1:27" s="13" customFormat="1" ht="26.25">
      <c r="A14" s="29" t="s">
        <v>22</v>
      </c>
      <c r="B14" s="299">
        <v>0</v>
      </c>
      <c r="C14" s="28">
        <v>0</v>
      </c>
      <c r="D14" s="28">
        <v>0</v>
      </c>
      <c r="E14" s="26">
        <v>0</v>
      </c>
      <c r="F14" s="24">
        <v>0</v>
      </c>
    </row>
    <row r="15" spans="1:27" s="13" customFormat="1" ht="26.25">
      <c r="A15" s="29" t="s">
        <v>23</v>
      </c>
      <c r="B15" s="299">
        <v>0</v>
      </c>
      <c r="C15" s="28">
        <v>0</v>
      </c>
      <c r="D15" s="28">
        <v>0</v>
      </c>
      <c r="E15" s="26">
        <v>0</v>
      </c>
      <c r="F15" s="24">
        <v>0</v>
      </c>
    </row>
    <row r="16" spans="1:27" s="13" customFormat="1" ht="26.25">
      <c r="A16" s="29" t="s">
        <v>24</v>
      </c>
      <c r="B16" s="299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99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99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99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99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99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99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99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99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99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99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99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99">
        <v>500000</v>
      </c>
      <c r="C28" s="28">
        <v>500000</v>
      </c>
      <c r="D28" s="28">
        <v>0</v>
      </c>
      <c r="E28" s="26">
        <v>-500000</v>
      </c>
      <c r="F28" s="24">
        <v>-1</v>
      </c>
    </row>
    <row r="29" spans="1:6" s="13" customFormat="1" ht="26.25">
      <c r="A29" s="31" t="s">
        <v>37</v>
      </c>
      <c r="B29" s="323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99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99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00">
        <v>12564201</v>
      </c>
      <c r="C34" s="34">
        <v>12566619</v>
      </c>
      <c r="D34" s="34">
        <v>12131119</v>
      </c>
      <c r="E34" s="34">
        <v>-435500</v>
      </c>
      <c r="F34" s="35">
        <v>-3.4655303864945697E-2</v>
      </c>
    </row>
    <row r="35" spans="1:10" s="13" customFormat="1" ht="26.25">
      <c r="A35" s="31" t="s">
        <v>43</v>
      </c>
      <c r="B35" s="299"/>
      <c r="C35" s="28"/>
      <c r="D35" s="28"/>
      <c r="E35" s="28"/>
      <c r="F35" s="20"/>
    </row>
    <row r="36" spans="1:10" s="13" customFormat="1" ht="26.25">
      <c r="A36" s="37" t="s">
        <v>44</v>
      </c>
      <c r="B36" s="23"/>
      <c r="C36" s="23"/>
      <c r="D36" s="23"/>
      <c r="E36" s="23">
        <v>0</v>
      </c>
      <c r="F36" s="24">
        <v>0</v>
      </c>
    </row>
    <row r="37" spans="1:10" s="13" customFormat="1" ht="26.25">
      <c r="A37" s="38" t="s">
        <v>45</v>
      </c>
      <c r="B37" s="23"/>
      <c r="C37" s="23"/>
      <c r="D37" s="23"/>
      <c r="E37" s="26">
        <v>0</v>
      </c>
      <c r="F37" s="24">
        <v>0</v>
      </c>
    </row>
    <row r="38" spans="1:10" s="13" customFormat="1" ht="26.25">
      <c r="A38" s="38" t="s">
        <v>46</v>
      </c>
      <c r="B38" s="23"/>
      <c r="C38" s="23"/>
      <c r="D38" s="23"/>
      <c r="E38" s="26">
        <v>0</v>
      </c>
      <c r="F38" s="24">
        <v>0</v>
      </c>
    </row>
    <row r="39" spans="1:10" s="13" customFormat="1" ht="26.25">
      <c r="A39" s="38" t="s">
        <v>47</v>
      </c>
      <c r="B39" s="23"/>
      <c r="C39" s="23"/>
      <c r="D39" s="23"/>
      <c r="E39" s="26">
        <v>0</v>
      </c>
      <c r="F39" s="24">
        <v>0</v>
      </c>
    </row>
    <row r="40" spans="1:10" s="13" customFormat="1" ht="26.25">
      <c r="A40" s="39" t="s">
        <v>48</v>
      </c>
      <c r="B40" s="23"/>
      <c r="C40" s="23"/>
      <c r="D40" s="23"/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0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99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99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4409204</v>
      </c>
      <c r="C45" s="42">
        <v>4409204</v>
      </c>
      <c r="D45" s="42">
        <v>0</v>
      </c>
      <c r="E45" s="42">
        <v>-4409204</v>
      </c>
      <c r="F45" s="35">
        <v>-1</v>
      </c>
    </row>
    <row r="46" spans="1:10" s="13" customFormat="1" ht="26.25">
      <c r="A46" s="29" t="s">
        <v>50</v>
      </c>
      <c r="B46" s="299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14761846</v>
      </c>
      <c r="C47" s="40">
        <v>14078858</v>
      </c>
      <c r="D47" s="40">
        <v>18743752</v>
      </c>
      <c r="E47" s="40">
        <v>4664894</v>
      </c>
      <c r="F47" s="35">
        <v>0.33134036865774197</v>
      </c>
    </row>
    <row r="48" spans="1:10" s="13" customFormat="1" ht="26.25">
      <c r="A48" s="29" t="s">
        <v>50</v>
      </c>
      <c r="B48" s="299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99"/>
      <c r="C52" s="28"/>
      <c r="D52" s="28"/>
      <c r="E52" s="28"/>
      <c r="F52" s="20"/>
    </row>
    <row r="53" spans="1:6" s="36" customFormat="1" ht="26.25">
      <c r="A53" s="46" t="s">
        <v>56</v>
      </c>
      <c r="B53" s="40">
        <v>31735251</v>
      </c>
      <c r="C53" s="40">
        <v>31054681</v>
      </c>
      <c r="D53" s="40">
        <v>30874871</v>
      </c>
      <c r="E53" s="40">
        <v>-179810</v>
      </c>
      <c r="F53" s="35">
        <v>-5.7901093880178642E-3</v>
      </c>
    </row>
    <row r="54" spans="1:6" s="13" customFormat="1" ht="26.25">
      <c r="A54" s="47"/>
      <c r="B54" s="299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13471964</v>
      </c>
      <c r="C57" s="19">
        <v>14581727</v>
      </c>
      <c r="D57" s="19">
        <v>14462339</v>
      </c>
      <c r="E57" s="19">
        <v>-119388</v>
      </c>
      <c r="F57" s="24">
        <v>-8.1875075565466283E-3</v>
      </c>
    </row>
    <row r="58" spans="1:6" s="13" customFormat="1" ht="26.25">
      <c r="A58" s="29" t="s">
        <v>59</v>
      </c>
      <c r="B58" s="299">
        <v>54259</v>
      </c>
      <c r="C58" s="28">
        <v>68733</v>
      </c>
      <c r="D58" s="28">
        <v>80708</v>
      </c>
      <c r="E58" s="28">
        <v>11975</v>
      </c>
      <c r="F58" s="24">
        <v>0.17422489924781401</v>
      </c>
    </row>
    <row r="59" spans="1:6" s="13" customFormat="1" ht="26.25">
      <c r="A59" s="29" t="s">
        <v>60</v>
      </c>
      <c r="B59" s="299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13" customFormat="1" ht="26.25">
      <c r="A60" s="29" t="s">
        <v>61</v>
      </c>
      <c r="B60" s="299">
        <v>3361566</v>
      </c>
      <c r="C60" s="28">
        <v>3545564</v>
      </c>
      <c r="D60" s="28">
        <v>3376571</v>
      </c>
      <c r="E60" s="28">
        <v>-168993</v>
      </c>
      <c r="F60" s="24">
        <v>-4.7663220858515036E-2</v>
      </c>
    </row>
    <row r="61" spans="1:6" s="13" customFormat="1" ht="26.25">
      <c r="A61" s="29" t="s">
        <v>62</v>
      </c>
      <c r="B61" s="299">
        <v>1994537</v>
      </c>
      <c r="C61" s="28">
        <v>2035540</v>
      </c>
      <c r="D61" s="28">
        <v>2030010</v>
      </c>
      <c r="E61" s="28">
        <v>-5530</v>
      </c>
      <c r="F61" s="24">
        <v>-2.7167238177584325E-3</v>
      </c>
    </row>
    <row r="62" spans="1:6" s="13" customFormat="1" ht="26.25">
      <c r="A62" s="29" t="s">
        <v>63</v>
      </c>
      <c r="B62" s="299">
        <v>4727579</v>
      </c>
      <c r="C62" s="28">
        <v>4588719</v>
      </c>
      <c r="D62" s="28">
        <v>4649987</v>
      </c>
      <c r="E62" s="28">
        <v>61268</v>
      </c>
      <c r="F62" s="24">
        <v>1.3351874455594251E-2</v>
      </c>
    </row>
    <row r="63" spans="1:6" s="13" customFormat="1" ht="26.25">
      <c r="A63" s="29" t="s">
        <v>64</v>
      </c>
      <c r="B63" s="299">
        <v>2788242</v>
      </c>
      <c r="C63" s="28">
        <v>2927540</v>
      </c>
      <c r="D63" s="28">
        <v>3197476</v>
      </c>
      <c r="E63" s="28">
        <v>269936</v>
      </c>
      <c r="F63" s="24">
        <v>9.2205742705479682E-2</v>
      </c>
    </row>
    <row r="64" spans="1:6" s="13" customFormat="1" ht="26.25">
      <c r="A64" s="29" t="s">
        <v>65</v>
      </c>
      <c r="B64" s="299">
        <v>2906641</v>
      </c>
      <c r="C64" s="28">
        <v>2994897</v>
      </c>
      <c r="D64" s="28">
        <v>3003139</v>
      </c>
      <c r="E64" s="28">
        <v>8242</v>
      </c>
      <c r="F64" s="24">
        <v>2.7520145100148686E-3</v>
      </c>
    </row>
    <row r="65" spans="1:6" s="36" customFormat="1" ht="26.25">
      <c r="A65" s="49" t="s">
        <v>66</v>
      </c>
      <c r="B65" s="300">
        <v>29304788</v>
      </c>
      <c r="C65" s="34">
        <v>30742720</v>
      </c>
      <c r="D65" s="34">
        <v>30800230</v>
      </c>
      <c r="E65" s="34">
        <v>57510</v>
      </c>
      <c r="F65" s="35">
        <v>1.8706867837328643E-3</v>
      </c>
    </row>
    <row r="66" spans="1:6" s="13" customFormat="1" ht="26.25">
      <c r="A66" s="29" t="s">
        <v>67</v>
      </c>
      <c r="B66" s="299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99">
        <v>781751</v>
      </c>
      <c r="C67" s="28">
        <v>99661</v>
      </c>
      <c r="D67" s="28">
        <v>74641</v>
      </c>
      <c r="E67" s="28">
        <v>-25020</v>
      </c>
      <c r="F67" s="24">
        <v>-0.25105106310392228</v>
      </c>
    </row>
    <row r="68" spans="1:6" s="13" customFormat="1" ht="26.25">
      <c r="A68" s="29" t="s">
        <v>69</v>
      </c>
      <c r="B68" s="299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13" customFormat="1" ht="26.25">
      <c r="A69" s="29" t="s">
        <v>70</v>
      </c>
      <c r="B69" s="299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50" t="s">
        <v>71</v>
      </c>
      <c r="B70" s="301">
        <v>30086539</v>
      </c>
      <c r="C70" s="51">
        <v>30842381</v>
      </c>
      <c r="D70" s="51">
        <v>30874871</v>
      </c>
      <c r="E70" s="51">
        <v>32490</v>
      </c>
      <c r="F70" s="35">
        <v>1.0534206162617602E-3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16268256</v>
      </c>
      <c r="C73" s="23">
        <v>16696205</v>
      </c>
      <c r="D73" s="23">
        <v>16169482</v>
      </c>
      <c r="E73" s="19">
        <v>-526723</v>
      </c>
      <c r="F73" s="24">
        <v>-3.1547468421716192E-2</v>
      </c>
    </row>
    <row r="74" spans="1:6" s="13" customFormat="1" ht="26.25">
      <c r="A74" s="29" t="s">
        <v>74</v>
      </c>
      <c r="B74" s="298">
        <v>389087</v>
      </c>
      <c r="C74" s="23">
        <v>514247</v>
      </c>
      <c r="D74" s="23">
        <v>567014</v>
      </c>
      <c r="E74" s="28">
        <v>52767</v>
      </c>
      <c r="F74" s="24">
        <v>0.10261022426966029</v>
      </c>
    </row>
    <row r="75" spans="1:6" s="13" customFormat="1" ht="26.25">
      <c r="A75" s="29" t="s">
        <v>75</v>
      </c>
      <c r="B75" s="19">
        <v>5729185</v>
      </c>
      <c r="C75" s="23">
        <v>5945783</v>
      </c>
      <c r="D75" s="23">
        <v>6423785</v>
      </c>
      <c r="E75" s="28">
        <v>478002</v>
      </c>
      <c r="F75" s="24">
        <v>8.0393448600461867E-2</v>
      </c>
    </row>
    <row r="76" spans="1:6" s="36" customFormat="1" ht="26.25">
      <c r="A76" s="49" t="s">
        <v>76</v>
      </c>
      <c r="B76" s="301">
        <v>22386528</v>
      </c>
      <c r="C76" s="51">
        <v>23156235</v>
      </c>
      <c r="D76" s="51">
        <v>23160281</v>
      </c>
      <c r="E76" s="34">
        <v>4046</v>
      </c>
      <c r="F76" s="35">
        <v>1.7472615906687766E-4</v>
      </c>
    </row>
    <row r="77" spans="1:6" s="13" customFormat="1" ht="26.25">
      <c r="A77" s="29" t="s">
        <v>77</v>
      </c>
      <c r="B77" s="298">
        <v>85900</v>
      </c>
      <c r="C77" s="26">
        <v>67102</v>
      </c>
      <c r="D77" s="26">
        <v>90902</v>
      </c>
      <c r="E77" s="28">
        <v>23800</v>
      </c>
      <c r="F77" s="24">
        <v>0.35468391404131022</v>
      </c>
    </row>
    <row r="78" spans="1:6" s="13" customFormat="1" ht="26.25">
      <c r="A78" s="29" t="s">
        <v>78</v>
      </c>
      <c r="B78" s="23">
        <v>2103227</v>
      </c>
      <c r="C78" s="23">
        <v>2189127</v>
      </c>
      <c r="D78" s="23">
        <v>2365623</v>
      </c>
      <c r="E78" s="28">
        <v>176496</v>
      </c>
      <c r="F78" s="24">
        <v>8.0623919946170325E-2</v>
      </c>
    </row>
    <row r="79" spans="1:6" s="13" customFormat="1" ht="26.25">
      <c r="A79" s="29" t="s">
        <v>79</v>
      </c>
      <c r="B79" s="19">
        <v>621647</v>
      </c>
      <c r="C79" s="19">
        <v>1140244</v>
      </c>
      <c r="D79" s="19">
        <v>700478</v>
      </c>
      <c r="E79" s="28">
        <v>-439766</v>
      </c>
      <c r="F79" s="24">
        <v>-0.38567710069072936</v>
      </c>
    </row>
    <row r="80" spans="1:6" s="36" customFormat="1" ht="26.25">
      <c r="A80" s="32" t="s">
        <v>80</v>
      </c>
      <c r="B80" s="301">
        <v>2810774</v>
      </c>
      <c r="C80" s="51">
        <v>3396473</v>
      </c>
      <c r="D80" s="51">
        <v>3157003</v>
      </c>
      <c r="E80" s="34">
        <v>-239470</v>
      </c>
      <c r="F80" s="35">
        <v>-7.0505492020693228E-2</v>
      </c>
    </row>
    <row r="81" spans="1:12" s="13" customFormat="1" ht="26.25">
      <c r="A81" s="29" t="s">
        <v>81</v>
      </c>
      <c r="B81" s="19">
        <v>134983</v>
      </c>
      <c r="C81" s="19">
        <v>227253</v>
      </c>
      <c r="D81" s="19">
        <v>254448</v>
      </c>
      <c r="E81" s="28">
        <v>27195</v>
      </c>
      <c r="F81" s="24">
        <v>0.11966838721601035</v>
      </c>
    </row>
    <row r="82" spans="1:12" s="13" customFormat="1" ht="26.25">
      <c r="A82" s="29" t="s">
        <v>82</v>
      </c>
      <c r="B82" s="299">
        <v>3756410</v>
      </c>
      <c r="C82" s="28">
        <v>3036840</v>
      </c>
      <c r="D82" s="28">
        <v>3296776</v>
      </c>
      <c r="E82" s="28">
        <v>259936</v>
      </c>
      <c r="F82" s="24">
        <v>8.5594236113855193E-2</v>
      </c>
    </row>
    <row r="83" spans="1:12" s="13" customFormat="1" ht="26.25">
      <c r="A83" s="29" t="s">
        <v>83</v>
      </c>
      <c r="B83" s="299">
        <v>0</v>
      </c>
      <c r="C83" s="28">
        <v>0</v>
      </c>
      <c r="D83" s="28">
        <v>0</v>
      </c>
      <c r="E83" s="28">
        <v>0</v>
      </c>
      <c r="F83" s="24">
        <v>0</v>
      </c>
    </row>
    <row r="84" spans="1:12" s="13" customFormat="1" ht="26.25">
      <c r="A84" s="29" t="s">
        <v>84</v>
      </c>
      <c r="B84" s="299">
        <v>781751</v>
      </c>
      <c r="C84" s="28">
        <v>898280</v>
      </c>
      <c r="D84" s="28">
        <v>829063</v>
      </c>
      <c r="E84" s="28">
        <v>-69217</v>
      </c>
      <c r="F84" s="24">
        <v>-7.7055038518056729E-2</v>
      </c>
    </row>
    <row r="85" spans="1:12" s="36" customFormat="1" ht="26.25">
      <c r="A85" s="32" t="s">
        <v>85</v>
      </c>
      <c r="B85" s="300">
        <v>4673144</v>
      </c>
      <c r="C85" s="34">
        <v>4162373</v>
      </c>
      <c r="D85" s="34">
        <v>4380287</v>
      </c>
      <c r="E85" s="34">
        <v>217914</v>
      </c>
      <c r="F85" s="35">
        <v>5.2353309037897373E-2</v>
      </c>
    </row>
    <row r="86" spans="1:12" s="13" customFormat="1" ht="26.25">
      <c r="A86" s="29" t="s">
        <v>86</v>
      </c>
      <c r="B86" s="299">
        <v>70539</v>
      </c>
      <c r="C86" s="28">
        <v>0</v>
      </c>
      <c r="D86" s="28">
        <v>0</v>
      </c>
      <c r="E86" s="28">
        <v>0</v>
      </c>
      <c r="F86" s="24">
        <v>0</v>
      </c>
    </row>
    <row r="87" spans="1:12" s="13" customFormat="1" ht="26.25">
      <c r="A87" s="29" t="s">
        <v>87</v>
      </c>
      <c r="B87" s="299">
        <v>145554</v>
      </c>
      <c r="C87" s="28">
        <v>127300</v>
      </c>
      <c r="D87" s="28">
        <v>177300</v>
      </c>
      <c r="E87" s="28">
        <v>50000</v>
      </c>
      <c r="F87" s="24">
        <v>0.39277297721916732</v>
      </c>
    </row>
    <row r="88" spans="1:12" s="13" customFormat="1" ht="26.25">
      <c r="A88" s="38" t="s">
        <v>88</v>
      </c>
      <c r="B88" s="299">
        <v>0</v>
      </c>
      <c r="C88" s="28">
        <v>0</v>
      </c>
      <c r="D88" s="28">
        <v>0</v>
      </c>
      <c r="E88" s="28">
        <v>0</v>
      </c>
      <c r="F88" s="24">
        <v>0</v>
      </c>
    </row>
    <row r="89" spans="1:12" s="36" customFormat="1" ht="26.25">
      <c r="A89" s="52" t="s">
        <v>89</v>
      </c>
      <c r="B89" s="301">
        <v>216093</v>
      </c>
      <c r="C89" s="51">
        <v>127300</v>
      </c>
      <c r="D89" s="51">
        <v>177300</v>
      </c>
      <c r="E89" s="51">
        <v>50000</v>
      </c>
      <c r="F89" s="35">
        <v>0.39277297721916732</v>
      </c>
    </row>
    <row r="90" spans="1:12" s="13" customFormat="1" ht="26.25">
      <c r="A90" s="38" t="s">
        <v>90</v>
      </c>
      <c r="B90" s="299">
        <v>0</v>
      </c>
      <c r="C90" s="28">
        <v>0</v>
      </c>
      <c r="D90" s="26">
        <v>0</v>
      </c>
      <c r="E90" s="28">
        <v>0</v>
      </c>
      <c r="F90" s="24">
        <v>0</v>
      </c>
    </row>
    <row r="91" spans="1:12" s="36" customFormat="1" ht="27" thickBot="1">
      <c r="A91" s="53" t="s">
        <v>71</v>
      </c>
      <c r="B91" s="302">
        <v>30086539</v>
      </c>
      <c r="C91" s="54">
        <v>30842381</v>
      </c>
      <c r="D91" s="55">
        <v>30874871</v>
      </c>
      <c r="E91" s="54">
        <v>32490</v>
      </c>
      <c r="F91" s="56">
        <v>1.0534206162617602E-3</v>
      </c>
    </row>
    <row r="92" spans="1:12" s="60" customFormat="1" ht="21" customHeight="1" thickBot="1">
      <c r="A92" s="57"/>
      <c r="B92" s="58"/>
      <c r="C92" s="58"/>
      <c r="D92" s="58"/>
      <c r="E92" s="59"/>
      <c r="F92" s="59"/>
    </row>
    <row r="93" spans="1:12" s="60" customFormat="1" ht="31.5">
      <c r="A93" s="160" t="s">
        <v>43</v>
      </c>
      <c r="B93" s="161"/>
      <c r="C93" s="161"/>
      <c r="D93" s="162"/>
      <c r="E93" s="161"/>
      <c r="F93" s="163"/>
      <c r="G93" s="13"/>
      <c r="H93" s="13"/>
      <c r="I93" s="13"/>
      <c r="J93" s="13"/>
      <c r="K93" s="13"/>
      <c r="L93" s="13"/>
    </row>
    <row r="94" spans="1:12" s="60" customFormat="1" ht="31.5" hidden="1">
      <c r="A94" s="164" t="s">
        <v>121</v>
      </c>
      <c r="B94" s="165">
        <v>0</v>
      </c>
      <c r="C94" s="165">
        <v>0</v>
      </c>
      <c r="D94" s="166"/>
      <c r="E94" s="165">
        <v>0</v>
      </c>
      <c r="F94" s="167">
        <v>0</v>
      </c>
      <c r="G94" s="13"/>
      <c r="H94" s="13"/>
      <c r="I94" s="13"/>
      <c r="J94" s="13"/>
      <c r="K94" s="13"/>
      <c r="L94" s="13"/>
    </row>
    <row r="95" spans="1:12" ht="26.25" hidden="1">
      <c r="A95" s="234" t="s">
        <v>45</v>
      </c>
      <c r="B95" s="189">
        <v>0</v>
      </c>
      <c r="C95" s="189">
        <v>0</v>
      </c>
      <c r="D95" s="190"/>
      <c r="E95" s="198">
        <v>0</v>
      </c>
      <c r="F95" s="235">
        <v>0</v>
      </c>
      <c r="G95" s="13"/>
      <c r="H95" s="13"/>
      <c r="I95" s="13"/>
      <c r="J95" s="13"/>
      <c r="K95" s="13"/>
      <c r="L95" s="13"/>
    </row>
    <row r="96" spans="1:12" s="242" customFormat="1" ht="26.25">
      <c r="A96" s="236" t="s">
        <v>122</v>
      </c>
      <c r="B96" s="303">
        <v>1648712</v>
      </c>
      <c r="C96" s="237">
        <v>212300</v>
      </c>
      <c r="D96" s="238"/>
      <c r="E96" s="237">
        <v>-212300</v>
      </c>
      <c r="F96" s="240">
        <v>-1</v>
      </c>
      <c r="G96" s="241"/>
      <c r="H96" s="241"/>
      <c r="I96" s="241"/>
      <c r="J96" s="241"/>
      <c r="K96" s="241"/>
      <c r="L96" s="241"/>
    </row>
    <row r="97" spans="1:12" ht="26.25" hidden="1">
      <c r="A97" s="164" t="s">
        <v>47</v>
      </c>
      <c r="B97" s="165">
        <v>0</v>
      </c>
      <c r="C97" s="165">
        <v>0</v>
      </c>
      <c r="D97" s="166"/>
      <c r="E97" s="165">
        <v>0</v>
      </c>
      <c r="F97" s="167">
        <v>0</v>
      </c>
      <c r="G97" s="13"/>
      <c r="H97" s="13"/>
      <c r="I97" s="13"/>
      <c r="J97" s="13"/>
      <c r="K97" s="13"/>
      <c r="L97" s="13"/>
    </row>
    <row r="98" spans="1:12" ht="26.25" hidden="1">
      <c r="A98" s="170" t="s">
        <v>48</v>
      </c>
      <c r="B98" s="165">
        <v>0</v>
      </c>
      <c r="C98" s="165">
        <v>0</v>
      </c>
      <c r="D98" s="166"/>
      <c r="E98" s="169">
        <v>0</v>
      </c>
      <c r="F98" s="167">
        <v>0</v>
      </c>
      <c r="G98" s="13"/>
      <c r="H98" s="13"/>
      <c r="I98" s="13"/>
      <c r="J98" s="13"/>
      <c r="K98" s="13"/>
      <c r="L98" s="13"/>
    </row>
    <row r="99" spans="1:12" ht="27" thickBot="1">
      <c r="A99" s="171" t="s">
        <v>49</v>
      </c>
      <c r="B99" s="172">
        <v>1648712</v>
      </c>
      <c r="C99" s="172">
        <v>212300</v>
      </c>
      <c r="D99" s="173">
        <v>0</v>
      </c>
      <c r="E99" s="172">
        <v>-212300</v>
      </c>
      <c r="F99" s="174">
        <v>-1</v>
      </c>
      <c r="G99" s="36"/>
      <c r="H99" s="36"/>
      <c r="I99" s="36"/>
      <c r="J99" s="36" t="s">
        <v>50</v>
      </c>
      <c r="K99" s="36"/>
      <c r="L99" s="36"/>
    </row>
    <row r="100" spans="1:12" ht="12.75" customHeight="1">
      <c r="A100" s="175"/>
      <c r="B100" s="176"/>
      <c r="C100" s="176"/>
      <c r="D100" s="176"/>
      <c r="E100" s="176"/>
      <c r="F100" s="177"/>
      <c r="G100" s="36"/>
      <c r="H100" s="36"/>
      <c r="I100" s="36"/>
      <c r="J100" s="36"/>
      <c r="K100" s="36"/>
      <c r="L100" s="36"/>
    </row>
    <row r="101" spans="1:12" ht="31.5">
      <c r="A101" s="61" t="s">
        <v>91</v>
      </c>
      <c r="B101" s="62"/>
      <c r="C101" s="62"/>
      <c r="D101" s="62"/>
      <c r="E101" s="59"/>
      <c r="F101" s="59"/>
      <c r="G101" s="60"/>
      <c r="H101" s="60"/>
      <c r="I101" s="60"/>
      <c r="J101" s="60"/>
      <c r="K101" s="60"/>
      <c r="L101" s="60"/>
    </row>
    <row r="102" spans="1:12" ht="31.5">
      <c r="A102" s="61" t="s">
        <v>92</v>
      </c>
      <c r="B102" s="62"/>
      <c r="C102" s="62"/>
      <c r="D102" s="62"/>
      <c r="E102" s="59"/>
      <c r="F102" s="59"/>
      <c r="G102" s="60"/>
      <c r="H102" s="60"/>
      <c r="I102" s="60"/>
      <c r="J102" s="60"/>
      <c r="K102" s="60"/>
      <c r="L102" s="60"/>
    </row>
    <row r="103" spans="1:12" ht="30">
      <c r="A103" s="178" t="s">
        <v>123</v>
      </c>
      <c r="B103" s="64"/>
      <c r="C103" s="64"/>
      <c r="D103" s="64"/>
    </row>
  </sheetData>
  <pageMargins left="0.7" right="0.7" top="0.3" bottom="0.3" header="0.3" footer="0.3"/>
  <pageSetup scale="2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3"/>
  <sheetViews>
    <sheetView topLeftCell="A58" zoomScale="50" zoomScaleNormal="50" workbookViewId="0">
      <selection activeCell="B8" sqref="B8:B99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5.425781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4" t="s">
        <v>137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104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46161813</v>
      </c>
      <c r="C8" s="23">
        <v>46161813</v>
      </c>
      <c r="D8" s="23">
        <v>45100735</v>
      </c>
      <c r="E8" s="23">
        <v>-1061078</v>
      </c>
      <c r="F8" s="24">
        <v>-2.2986055595346742E-2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98">
        <v>2582953</v>
      </c>
      <c r="C10" s="26">
        <v>2592740</v>
      </c>
      <c r="D10" s="26">
        <v>2575586</v>
      </c>
      <c r="E10" s="26">
        <v>-17154</v>
      </c>
      <c r="F10" s="24">
        <v>-6.6161666808087199E-3</v>
      </c>
    </row>
    <row r="11" spans="1:6" s="13" customFormat="1" ht="26.25">
      <c r="A11" s="27" t="s">
        <v>19</v>
      </c>
      <c r="B11" s="299">
        <v>36828</v>
      </c>
      <c r="C11" s="28">
        <v>36828</v>
      </c>
      <c r="D11" s="28">
        <v>0</v>
      </c>
      <c r="E11" s="26">
        <v>-36828</v>
      </c>
      <c r="F11" s="24">
        <v>-1</v>
      </c>
    </row>
    <row r="12" spans="1:6" s="13" customFormat="1" ht="26.25">
      <c r="A12" s="29" t="s">
        <v>20</v>
      </c>
      <c r="B12" s="299">
        <v>2546125</v>
      </c>
      <c r="C12" s="28">
        <v>2555912</v>
      </c>
      <c r="D12" s="28">
        <v>2575586</v>
      </c>
      <c r="E12" s="26">
        <v>19674</v>
      </c>
      <c r="F12" s="24">
        <v>7.697448112454576E-3</v>
      </c>
    </row>
    <row r="13" spans="1:6" s="13" customFormat="1" ht="26.25">
      <c r="A13" s="29" t="s">
        <v>21</v>
      </c>
      <c r="B13" s="299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99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13" customFormat="1" ht="26.25">
      <c r="A15" s="29" t="s">
        <v>23</v>
      </c>
      <c r="B15" s="299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299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99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99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99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99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99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99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99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99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99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99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99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99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13" customFormat="1" ht="26.25">
      <c r="A29" s="31" t="s">
        <v>37</v>
      </c>
      <c r="B29" s="299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99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99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00">
        <v>48744766</v>
      </c>
      <c r="C34" s="34">
        <v>48754553</v>
      </c>
      <c r="D34" s="34">
        <v>47676321</v>
      </c>
      <c r="E34" s="34">
        <v>-1078232</v>
      </c>
      <c r="F34" s="35">
        <v>-2.2115514011583699E-2</v>
      </c>
    </row>
    <row r="35" spans="1:10" s="13" customFormat="1" ht="26.25">
      <c r="A35" s="31" t="s">
        <v>43</v>
      </c>
      <c r="B35" s="299"/>
      <c r="C35" s="28"/>
      <c r="D35" s="28"/>
      <c r="E35" s="28"/>
      <c r="F35" s="20"/>
    </row>
    <row r="36" spans="1:10" s="13" customFormat="1" ht="26.25">
      <c r="A36" s="37" t="s">
        <v>44</v>
      </c>
      <c r="B36" s="23"/>
      <c r="C36" s="23"/>
      <c r="D36" s="23"/>
      <c r="E36" s="23">
        <v>0</v>
      </c>
      <c r="F36" s="24">
        <v>0</v>
      </c>
    </row>
    <row r="37" spans="1:10" s="13" customFormat="1" ht="26.25">
      <c r="A37" s="38" t="s">
        <v>45</v>
      </c>
      <c r="B37" s="23"/>
      <c r="C37" s="23"/>
      <c r="D37" s="23"/>
      <c r="E37" s="26">
        <v>0</v>
      </c>
      <c r="F37" s="24">
        <v>0</v>
      </c>
    </row>
    <row r="38" spans="1:10" s="13" customFormat="1" ht="26.25">
      <c r="A38" s="38" t="s">
        <v>46</v>
      </c>
      <c r="B38" s="23"/>
      <c r="C38" s="23"/>
      <c r="D38" s="23"/>
      <c r="E38" s="26">
        <v>0</v>
      </c>
      <c r="F38" s="24">
        <v>0</v>
      </c>
    </row>
    <row r="39" spans="1:10" s="13" customFormat="1" ht="26.25">
      <c r="A39" s="38" t="s">
        <v>47</v>
      </c>
      <c r="B39" s="23"/>
      <c r="C39" s="23"/>
      <c r="D39" s="23"/>
      <c r="E39" s="26">
        <v>0</v>
      </c>
      <c r="F39" s="24">
        <v>0</v>
      </c>
    </row>
    <row r="40" spans="1:10" s="13" customFormat="1" ht="26.25">
      <c r="A40" s="39" t="s">
        <v>48</v>
      </c>
      <c r="B40" s="23"/>
      <c r="C40" s="23"/>
      <c r="D40" s="23"/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0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99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99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17000729</v>
      </c>
      <c r="C45" s="42">
        <v>17000729</v>
      </c>
      <c r="D45" s="42">
        <v>0</v>
      </c>
      <c r="E45" s="42">
        <v>-17000729</v>
      </c>
      <c r="F45" s="35">
        <v>-1</v>
      </c>
    </row>
    <row r="46" spans="1:10" s="13" customFormat="1" ht="26.25">
      <c r="A46" s="29" t="s">
        <v>50</v>
      </c>
      <c r="B46" s="299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60008156</v>
      </c>
      <c r="C47" s="40">
        <v>56226335</v>
      </c>
      <c r="D47" s="40">
        <v>72277400</v>
      </c>
      <c r="E47" s="40">
        <v>16051065</v>
      </c>
      <c r="F47" s="35">
        <v>0.28547236806382631</v>
      </c>
    </row>
    <row r="48" spans="1:10" s="13" customFormat="1" ht="26.25">
      <c r="A48" s="29" t="s">
        <v>50</v>
      </c>
      <c r="B48" s="299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99"/>
      <c r="C52" s="28"/>
      <c r="D52" s="28"/>
      <c r="E52" s="28"/>
      <c r="F52" s="20"/>
    </row>
    <row r="53" spans="1:6" s="36" customFormat="1" ht="26.25">
      <c r="A53" s="46" t="s">
        <v>56</v>
      </c>
      <c r="B53" s="40">
        <v>125753651</v>
      </c>
      <c r="C53" s="40">
        <v>121981617</v>
      </c>
      <c r="D53" s="40">
        <v>119953721</v>
      </c>
      <c r="E53" s="40">
        <v>-2027896</v>
      </c>
      <c r="F53" s="35">
        <v>-1.6624603361340914E-2</v>
      </c>
    </row>
    <row r="54" spans="1:6" s="13" customFormat="1" ht="26.25">
      <c r="A54" s="47"/>
      <c r="B54" s="299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48752943</v>
      </c>
      <c r="C57" s="19">
        <v>49659301</v>
      </c>
      <c r="D57" s="19">
        <v>46814489</v>
      </c>
      <c r="E57" s="19">
        <v>-2844812</v>
      </c>
      <c r="F57" s="24">
        <v>-5.728658967632267E-2</v>
      </c>
    </row>
    <row r="58" spans="1:6" s="13" customFormat="1" ht="26.25">
      <c r="A58" s="29" t="s">
        <v>59</v>
      </c>
      <c r="B58" s="299">
        <v>2907714</v>
      </c>
      <c r="C58" s="28">
        <v>2424683</v>
      </c>
      <c r="D58" s="28">
        <v>2370327</v>
      </c>
      <c r="E58" s="28">
        <v>-54356</v>
      </c>
      <c r="F58" s="24">
        <v>-2.2417775849461558E-2</v>
      </c>
    </row>
    <row r="59" spans="1:6" s="13" customFormat="1" ht="26.25">
      <c r="A59" s="29" t="s">
        <v>60</v>
      </c>
      <c r="B59" s="299">
        <v>3330442</v>
      </c>
      <c r="C59" s="28">
        <v>2509216</v>
      </c>
      <c r="D59" s="28">
        <v>3658707</v>
      </c>
      <c r="E59" s="28">
        <v>1149491</v>
      </c>
      <c r="F59" s="24">
        <v>0.45810763202530191</v>
      </c>
    </row>
    <row r="60" spans="1:6" s="13" customFormat="1" ht="26.25">
      <c r="A60" s="29" t="s">
        <v>61</v>
      </c>
      <c r="B60" s="299">
        <v>12006544</v>
      </c>
      <c r="C60" s="28">
        <v>12498854</v>
      </c>
      <c r="D60" s="28">
        <v>13665684</v>
      </c>
      <c r="E60" s="28">
        <v>1166830</v>
      </c>
      <c r="F60" s="24">
        <v>9.3354958782621192E-2</v>
      </c>
    </row>
    <row r="61" spans="1:6" s="13" customFormat="1" ht="26.25">
      <c r="A61" s="29" t="s">
        <v>62</v>
      </c>
      <c r="B61" s="299">
        <v>7664529</v>
      </c>
      <c r="C61" s="28">
        <v>6621912</v>
      </c>
      <c r="D61" s="28">
        <v>6657526</v>
      </c>
      <c r="E61" s="28">
        <v>35614</v>
      </c>
      <c r="F61" s="24">
        <v>5.3782049655748971E-3</v>
      </c>
    </row>
    <row r="62" spans="1:6" s="13" customFormat="1" ht="26.25">
      <c r="A62" s="29" t="s">
        <v>63</v>
      </c>
      <c r="B62" s="299">
        <v>17521275</v>
      </c>
      <c r="C62" s="28">
        <v>17425630</v>
      </c>
      <c r="D62" s="28">
        <v>19454040</v>
      </c>
      <c r="E62" s="28">
        <v>2028410</v>
      </c>
      <c r="F62" s="24">
        <v>0.11640382585880682</v>
      </c>
    </row>
    <row r="63" spans="1:6" s="13" customFormat="1" ht="26.25">
      <c r="A63" s="29" t="s">
        <v>64</v>
      </c>
      <c r="B63" s="299">
        <v>9079245</v>
      </c>
      <c r="C63" s="28">
        <v>11550521</v>
      </c>
      <c r="D63" s="28">
        <v>12034500</v>
      </c>
      <c r="E63" s="28">
        <v>483979</v>
      </c>
      <c r="F63" s="24">
        <v>4.1901053640783822E-2</v>
      </c>
    </row>
    <row r="64" spans="1:6" s="13" customFormat="1" ht="26.25">
      <c r="A64" s="29" t="s">
        <v>65</v>
      </c>
      <c r="B64" s="299">
        <v>18547941</v>
      </c>
      <c r="C64" s="28">
        <v>18418159</v>
      </c>
      <c r="D64" s="28">
        <v>15298448</v>
      </c>
      <c r="E64" s="28">
        <v>-3119711</v>
      </c>
      <c r="F64" s="24">
        <v>-0.16938234706302621</v>
      </c>
    </row>
    <row r="65" spans="1:6" s="36" customFormat="1" ht="26.25">
      <c r="A65" s="49" t="s">
        <v>66</v>
      </c>
      <c r="B65" s="300">
        <v>119810633</v>
      </c>
      <c r="C65" s="34">
        <v>121108276</v>
      </c>
      <c r="D65" s="34">
        <v>119953721</v>
      </c>
      <c r="E65" s="34">
        <v>-1154555</v>
      </c>
      <c r="F65" s="35">
        <v>-9.5332461011995578E-3</v>
      </c>
    </row>
    <row r="66" spans="1:6" s="13" customFormat="1" ht="26.25">
      <c r="A66" s="29" t="s">
        <v>67</v>
      </c>
      <c r="B66" s="299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99">
        <v>0</v>
      </c>
      <c r="C67" s="28">
        <v>0</v>
      </c>
      <c r="D67" s="28">
        <v>0</v>
      </c>
      <c r="E67" s="28">
        <v>0</v>
      </c>
      <c r="F67" s="24">
        <v>0</v>
      </c>
    </row>
    <row r="68" spans="1:6" s="13" customFormat="1" ht="26.25">
      <c r="A68" s="29" t="s">
        <v>69</v>
      </c>
      <c r="B68" s="299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13" customFormat="1" ht="26.25">
      <c r="A69" s="29" t="s">
        <v>70</v>
      </c>
      <c r="B69" s="299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50" t="s">
        <v>71</v>
      </c>
      <c r="B70" s="301">
        <v>119810633</v>
      </c>
      <c r="C70" s="51">
        <v>121108276</v>
      </c>
      <c r="D70" s="51">
        <v>119953721</v>
      </c>
      <c r="E70" s="51">
        <v>-1154555</v>
      </c>
      <c r="F70" s="35">
        <v>-9.5332461011995578E-3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53655239</v>
      </c>
      <c r="C73" s="23">
        <v>53328632</v>
      </c>
      <c r="D73" s="23">
        <v>56689419</v>
      </c>
      <c r="E73" s="19">
        <v>3360787</v>
      </c>
      <c r="F73" s="24">
        <v>6.3020311490457878E-2</v>
      </c>
    </row>
    <row r="74" spans="1:6" s="13" customFormat="1" ht="26.25">
      <c r="A74" s="29" t="s">
        <v>74</v>
      </c>
      <c r="B74" s="298">
        <v>5186229</v>
      </c>
      <c r="C74" s="23">
        <v>5528867</v>
      </c>
      <c r="D74" s="23">
        <v>5307962</v>
      </c>
      <c r="E74" s="28">
        <v>-220905</v>
      </c>
      <c r="F74" s="24">
        <v>-3.9954840657226875E-2</v>
      </c>
    </row>
    <row r="75" spans="1:6" s="13" customFormat="1" ht="26.25">
      <c r="A75" s="29" t="s">
        <v>75</v>
      </c>
      <c r="B75" s="19">
        <v>19176628</v>
      </c>
      <c r="C75" s="23">
        <v>17876686</v>
      </c>
      <c r="D75" s="23">
        <v>18769448</v>
      </c>
      <c r="E75" s="28">
        <v>892762</v>
      </c>
      <c r="F75" s="24">
        <v>4.9940016846522897E-2</v>
      </c>
    </row>
    <row r="76" spans="1:6" s="36" customFormat="1" ht="26.25">
      <c r="A76" s="49" t="s">
        <v>76</v>
      </c>
      <c r="B76" s="301">
        <v>78018096</v>
      </c>
      <c r="C76" s="51">
        <v>76734185</v>
      </c>
      <c r="D76" s="51">
        <v>80766829</v>
      </c>
      <c r="E76" s="34">
        <v>4032644</v>
      </c>
      <c r="F76" s="35">
        <v>5.2553421920099888E-2</v>
      </c>
    </row>
    <row r="77" spans="1:6" s="13" customFormat="1" ht="26.25">
      <c r="A77" s="29" t="s">
        <v>77</v>
      </c>
      <c r="B77" s="298">
        <v>493481</v>
      </c>
      <c r="C77" s="26">
        <v>586189</v>
      </c>
      <c r="D77" s="26">
        <v>704005</v>
      </c>
      <c r="E77" s="28">
        <v>117816</v>
      </c>
      <c r="F77" s="24">
        <v>0.20098637128980584</v>
      </c>
    </row>
    <row r="78" spans="1:6" s="13" customFormat="1" ht="26.25">
      <c r="A78" s="29" t="s">
        <v>78</v>
      </c>
      <c r="B78" s="23">
        <v>15806145</v>
      </c>
      <c r="C78" s="23">
        <v>16120545</v>
      </c>
      <c r="D78" s="23">
        <v>12350208</v>
      </c>
      <c r="E78" s="28">
        <v>-3770337</v>
      </c>
      <c r="F78" s="24">
        <v>-0.23388396608179191</v>
      </c>
    </row>
    <row r="79" spans="1:6" s="13" customFormat="1" ht="26.25">
      <c r="A79" s="29" t="s">
        <v>79</v>
      </c>
      <c r="B79" s="19">
        <v>3545772</v>
      </c>
      <c r="C79" s="19">
        <v>4547613</v>
      </c>
      <c r="D79" s="19">
        <v>3404403</v>
      </c>
      <c r="E79" s="28">
        <v>-1143210</v>
      </c>
      <c r="F79" s="24">
        <v>-0.25138682645159122</v>
      </c>
    </row>
    <row r="80" spans="1:6" s="36" customFormat="1" ht="26.25">
      <c r="A80" s="32" t="s">
        <v>80</v>
      </c>
      <c r="B80" s="301">
        <v>19845398</v>
      </c>
      <c r="C80" s="51">
        <v>21254347</v>
      </c>
      <c r="D80" s="51">
        <v>16458616</v>
      </c>
      <c r="E80" s="34">
        <v>-4795731</v>
      </c>
      <c r="F80" s="35">
        <v>-0.22563530180437913</v>
      </c>
    </row>
    <row r="81" spans="1:12" s="13" customFormat="1" ht="26.25">
      <c r="A81" s="29" t="s">
        <v>81</v>
      </c>
      <c r="B81" s="19">
        <v>1593143</v>
      </c>
      <c r="C81" s="19">
        <v>1535177</v>
      </c>
      <c r="D81" s="19">
        <v>1436284</v>
      </c>
      <c r="E81" s="28">
        <v>-98893</v>
      </c>
      <c r="F81" s="24">
        <v>-6.44179791646175E-2</v>
      </c>
    </row>
    <row r="82" spans="1:12" s="13" customFormat="1" ht="26.25">
      <c r="A82" s="29" t="s">
        <v>82</v>
      </c>
      <c r="B82" s="299">
        <v>16912840</v>
      </c>
      <c r="C82" s="28">
        <v>17834420</v>
      </c>
      <c r="D82" s="28">
        <v>18731701</v>
      </c>
      <c r="E82" s="28">
        <v>897281</v>
      </c>
      <c r="F82" s="24">
        <v>5.0311756704170922E-2</v>
      </c>
    </row>
    <row r="83" spans="1:12" s="13" customFormat="1" ht="26.25">
      <c r="A83" s="29" t="s">
        <v>83</v>
      </c>
      <c r="B83" s="299">
        <v>0</v>
      </c>
      <c r="C83" s="28">
        <v>0</v>
      </c>
      <c r="D83" s="28">
        <v>0</v>
      </c>
      <c r="E83" s="28">
        <v>0</v>
      </c>
      <c r="F83" s="24">
        <v>0</v>
      </c>
    </row>
    <row r="84" spans="1:12" s="13" customFormat="1" ht="26.25">
      <c r="A84" s="29" t="s">
        <v>84</v>
      </c>
      <c r="B84" s="299">
        <v>0</v>
      </c>
      <c r="C84" s="28">
        <v>0</v>
      </c>
      <c r="D84" s="28">
        <v>0</v>
      </c>
      <c r="E84" s="28">
        <v>0</v>
      </c>
      <c r="F84" s="24">
        <v>0</v>
      </c>
    </row>
    <row r="85" spans="1:12" s="36" customFormat="1" ht="26.25">
      <c r="A85" s="32" t="s">
        <v>85</v>
      </c>
      <c r="B85" s="300">
        <v>18505983</v>
      </c>
      <c r="C85" s="34">
        <v>19369597</v>
      </c>
      <c r="D85" s="34">
        <v>20167985</v>
      </c>
      <c r="E85" s="34">
        <v>798388</v>
      </c>
      <c r="F85" s="35">
        <v>4.1218616990327674E-2</v>
      </c>
    </row>
    <row r="86" spans="1:12" s="13" customFormat="1" ht="26.25">
      <c r="A86" s="29" t="s">
        <v>86</v>
      </c>
      <c r="B86" s="299">
        <v>1428602</v>
      </c>
      <c r="C86" s="28">
        <v>1805945</v>
      </c>
      <c r="D86" s="28">
        <v>895479</v>
      </c>
      <c r="E86" s="28">
        <v>-910466</v>
      </c>
      <c r="F86" s="24">
        <v>-0.50414935117071669</v>
      </c>
    </row>
    <row r="87" spans="1:12" s="13" customFormat="1" ht="26.25">
      <c r="A87" s="29" t="s">
        <v>87</v>
      </c>
      <c r="B87" s="299">
        <v>2012554</v>
      </c>
      <c r="C87" s="28">
        <v>1944202</v>
      </c>
      <c r="D87" s="28">
        <v>1664812</v>
      </c>
      <c r="E87" s="28">
        <v>-279390</v>
      </c>
      <c r="F87" s="24">
        <v>-0.14370420357555438</v>
      </c>
    </row>
    <row r="88" spans="1:12" s="13" customFormat="1" ht="26.25">
      <c r="A88" s="38" t="s">
        <v>88</v>
      </c>
      <c r="B88" s="299">
        <v>0</v>
      </c>
      <c r="C88" s="28">
        <v>0</v>
      </c>
      <c r="D88" s="28">
        <v>0</v>
      </c>
      <c r="E88" s="28">
        <v>0</v>
      </c>
      <c r="F88" s="24">
        <v>0</v>
      </c>
    </row>
    <row r="89" spans="1:12" s="36" customFormat="1" ht="26.25">
      <c r="A89" s="52" t="s">
        <v>89</v>
      </c>
      <c r="B89" s="301">
        <v>3441156</v>
      </c>
      <c r="C89" s="51">
        <v>3750147</v>
      </c>
      <c r="D89" s="51">
        <v>2560291</v>
      </c>
      <c r="E89" s="51">
        <v>-1189856</v>
      </c>
      <c r="F89" s="35">
        <v>-0.31728249585949564</v>
      </c>
    </row>
    <row r="90" spans="1:12" s="13" customFormat="1" ht="26.25">
      <c r="A90" s="38" t="s">
        <v>90</v>
      </c>
      <c r="B90" s="299">
        <v>0</v>
      </c>
      <c r="C90" s="28">
        <v>0</v>
      </c>
      <c r="D90" s="26">
        <v>0</v>
      </c>
      <c r="E90" s="28">
        <v>0</v>
      </c>
      <c r="F90" s="24">
        <v>0</v>
      </c>
    </row>
    <row r="91" spans="1:12" s="36" customFormat="1" ht="27" thickBot="1">
      <c r="A91" s="53" t="s">
        <v>71</v>
      </c>
      <c r="B91" s="302">
        <v>119810633</v>
      </c>
      <c r="C91" s="54">
        <v>121108276</v>
      </c>
      <c r="D91" s="55">
        <v>119953721</v>
      </c>
      <c r="E91" s="54">
        <v>-1154555</v>
      </c>
      <c r="F91" s="56">
        <v>-9.5332461011995578E-3</v>
      </c>
    </row>
    <row r="92" spans="1:12" s="60" customFormat="1" ht="13.5" customHeight="1" thickBot="1">
      <c r="A92" s="57"/>
      <c r="B92" s="319"/>
      <c r="C92" s="58"/>
      <c r="D92" s="58"/>
      <c r="E92" s="59"/>
      <c r="F92" s="59"/>
    </row>
    <row r="93" spans="1:12" s="60" customFormat="1" ht="31.5">
      <c r="A93" s="160" t="s">
        <v>43</v>
      </c>
      <c r="B93" s="161"/>
      <c r="C93" s="161"/>
      <c r="D93" s="162"/>
      <c r="E93" s="161"/>
      <c r="F93" s="163"/>
      <c r="G93" s="13"/>
      <c r="H93" s="13"/>
      <c r="I93" s="13"/>
      <c r="J93" s="13"/>
      <c r="K93" s="13"/>
      <c r="L93" s="13"/>
    </row>
    <row r="94" spans="1:12" s="60" customFormat="1" ht="31.5" hidden="1">
      <c r="A94" s="164" t="s">
        <v>121</v>
      </c>
      <c r="B94" s="165">
        <v>0</v>
      </c>
      <c r="C94" s="165">
        <v>0</v>
      </c>
      <c r="D94" s="166"/>
      <c r="E94" s="165">
        <v>0</v>
      </c>
      <c r="F94" s="167">
        <v>0</v>
      </c>
      <c r="G94" s="13"/>
      <c r="H94" s="13"/>
      <c r="I94" s="13"/>
      <c r="J94" s="13"/>
      <c r="K94" s="13"/>
      <c r="L94" s="13"/>
    </row>
    <row r="95" spans="1:12" ht="26.25" hidden="1">
      <c r="A95" s="234" t="s">
        <v>45</v>
      </c>
      <c r="B95" s="189">
        <v>0</v>
      </c>
      <c r="C95" s="189">
        <v>0</v>
      </c>
      <c r="D95" s="190"/>
      <c r="E95" s="198">
        <v>0</v>
      </c>
      <c r="F95" s="235">
        <v>0</v>
      </c>
      <c r="G95" s="13"/>
      <c r="H95" s="13"/>
      <c r="I95" s="13"/>
      <c r="J95" s="13"/>
      <c r="K95" s="13"/>
      <c r="L95" s="13"/>
    </row>
    <row r="96" spans="1:12" s="242" customFormat="1" ht="26.25">
      <c r="A96" s="236" t="s">
        <v>122</v>
      </c>
      <c r="B96" s="303">
        <v>5943017</v>
      </c>
      <c r="C96" s="237">
        <v>873341</v>
      </c>
      <c r="D96" s="238"/>
      <c r="E96" s="237">
        <v>-873341</v>
      </c>
      <c r="F96" s="240">
        <v>-1</v>
      </c>
      <c r="G96" s="241"/>
      <c r="H96" s="241"/>
      <c r="I96" s="241"/>
      <c r="J96" s="241"/>
      <c r="K96" s="241"/>
      <c r="L96" s="241"/>
    </row>
    <row r="97" spans="1:12" ht="26.25" hidden="1">
      <c r="A97" s="164" t="s">
        <v>47</v>
      </c>
      <c r="B97" s="165">
        <v>0</v>
      </c>
      <c r="C97" s="165">
        <v>0</v>
      </c>
      <c r="D97" s="166"/>
      <c r="E97" s="165">
        <v>0</v>
      </c>
      <c r="F97" s="167">
        <v>0</v>
      </c>
      <c r="G97" s="13"/>
      <c r="H97" s="13"/>
      <c r="I97" s="13"/>
      <c r="J97" s="13"/>
      <c r="K97" s="13"/>
      <c r="L97" s="13"/>
    </row>
    <row r="98" spans="1:12" ht="26.25" hidden="1">
      <c r="A98" s="170" t="s">
        <v>48</v>
      </c>
      <c r="B98" s="165">
        <v>0</v>
      </c>
      <c r="C98" s="165">
        <v>0</v>
      </c>
      <c r="D98" s="166"/>
      <c r="E98" s="169">
        <v>0</v>
      </c>
      <c r="F98" s="167">
        <v>0</v>
      </c>
      <c r="G98" s="13"/>
      <c r="H98" s="13"/>
      <c r="I98" s="13"/>
      <c r="J98" s="13"/>
      <c r="K98" s="13"/>
      <c r="L98" s="13"/>
    </row>
    <row r="99" spans="1:12" ht="27" thickBot="1">
      <c r="A99" s="171" t="s">
        <v>49</v>
      </c>
      <c r="B99" s="172">
        <v>5943017</v>
      </c>
      <c r="C99" s="172">
        <v>873341</v>
      </c>
      <c r="D99" s="173">
        <v>0</v>
      </c>
      <c r="E99" s="172">
        <v>-873341</v>
      </c>
      <c r="F99" s="174">
        <v>-1</v>
      </c>
      <c r="G99" s="36"/>
      <c r="H99" s="36"/>
      <c r="I99" s="36"/>
      <c r="J99" s="36" t="s">
        <v>50</v>
      </c>
      <c r="K99" s="36"/>
      <c r="L99" s="36"/>
    </row>
    <row r="100" spans="1:12" ht="17.25" customHeight="1">
      <c r="A100" s="175"/>
      <c r="B100" s="176"/>
      <c r="C100" s="176"/>
      <c r="D100" s="176"/>
      <c r="E100" s="176"/>
      <c r="F100" s="177"/>
      <c r="G100" s="36"/>
      <c r="H100" s="36"/>
      <c r="I100" s="36"/>
      <c r="J100" s="36"/>
      <c r="K100" s="36"/>
      <c r="L100" s="36"/>
    </row>
    <row r="101" spans="1:12" ht="31.5">
      <c r="A101" s="61" t="s">
        <v>91</v>
      </c>
      <c r="B101" s="62"/>
      <c r="C101" s="62"/>
      <c r="D101" s="62"/>
      <c r="E101" s="59"/>
      <c r="F101" s="59"/>
      <c r="G101" s="60"/>
      <c r="H101" s="60"/>
      <c r="I101" s="60"/>
      <c r="J101" s="60"/>
      <c r="K101" s="60"/>
      <c r="L101" s="60"/>
    </row>
    <row r="102" spans="1:12" ht="31.5">
      <c r="A102" s="61" t="s">
        <v>92</v>
      </c>
      <c r="B102" s="62"/>
      <c r="C102" s="62"/>
      <c r="D102" s="62"/>
      <c r="E102" s="59"/>
      <c r="F102" s="59"/>
      <c r="G102" s="60"/>
      <c r="H102" s="60"/>
      <c r="I102" s="60"/>
      <c r="J102" s="60"/>
      <c r="K102" s="60"/>
      <c r="L102" s="60"/>
    </row>
    <row r="103" spans="1:12" ht="30">
      <c r="A103" s="178" t="s">
        <v>123</v>
      </c>
      <c r="B103" s="64"/>
      <c r="C103" s="64"/>
      <c r="D103" s="64"/>
    </row>
  </sheetData>
  <pageMargins left="0.7" right="0.7" top="0.3" bottom="0.28999999999999998" header="0.3" footer="0.3"/>
  <pageSetup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3"/>
  <sheetViews>
    <sheetView topLeftCell="A25" zoomScale="50" zoomScaleNormal="50" workbookViewId="0">
      <selection activeCell="B37" sqref="B37"/>
    </sheetView>
  </sheetViews>
  <sheetFormatPr defaultRowHeight="15.75"/>
  <cols>
    <col min="1" max="1" width="106.5703125" style="65" customWidth="1"/>
    <col min="2" max="2" width="32.7109375" style="66" customWidth="1"/>
    <col min="3" max="4" width="32.85546875" style="66" customWidth="1"/>
    <col min="5" max="5" width="35.425781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C1" s="276"/>
      <c r="D1" s="280" t="s">
        <v>1</v>
      </c>
      <c r="E1" s="4" t="str">
        <f>[1]Revenue!B2</f>
        <v>LSU Eunice</v>
      </c>
      <c r="F1" s="3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157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6158180</v>
      </c>
      <c r="C8" s="23">
        <f>[1]Revenue!H31</f>
        <v>6158180</v>
      </c>
      <c r="D8" s="23">
        <f>[1]Revenue!J31</f>
        <v>6001054</v>
      </c>
      <c r="E8" s="23">
        <f t="shared" ref="E8:E28" si="0">D8-C8</f>
        <v>-157126</v>
      </c>
      <c r="F8" s="24">
        <f t="shared" ref="F8:F28" si="1">IF(ISBLANK(E8),"  ",IF(C8&gt;0,E8/C8,IF(E8&gt;0,1,0)))</f>
        <v>-2.5515006056984368E-2</v>
      </c>
    </row>
    <row r="9" spans="1:6" s="13" customFormat="1" ht="26.25">
      <c r="A9" s="243" t="s">
        <v>17</v>
      </c>
      <c r="B9" s="19">
        <v>0</v>
      </c>
      <c r="C9" s="19">
        <f>[1]Revenue!H33</f>
        <v>0</v>
      </c>
      <c r="D9" s="19">
        <f>[1]Revenue!J33</f>
        <v>0</v>
      </c>
      <c r="E9" s="19">
        <f t="shared" si="0"/>
        <v>0</v>
      </c>
      <c r="F9" s="45">
        <f t="shared" si="1"/>
        <v>0</v>
      </c>
    </row>
    <row r="10" spans="1:6" s="241" customFormat="1" ht="26.25">
      <c r="A10" s="244" t="s">
        <v>18</v>
      </c>
      <c r="B10" s="239">
        <v>252314</v>
      </c>
      <c r="C10" s="239">
        <f>SUM(C11:C28)</f>
        <v>253270</v>
      </c>
      <c r="D10" s="239">
        <f>SUM(D11:D28)</f>
        <v>251562</v>
      </c>
      <c r="E10" s="239">
        <f t="shared" si="0"/>
        <v>-1708</v>
      </c>
      <c r="F10" s="245">
        <f t="shared" si="1"/>
        <v>-6.7437912109606351E-3</v>
      </c>
    </row>
    <row r="11" spans="1:6" s="13" customFormat="1" ht="26.25">
      <c r="A11" s="27" t="s">
        <v>19</v>
      </c>
      <c r="B11" s="19">
        <v>3630</v>
      </c>
      <c r="C11" s="19">
        <f>[1]Revenue!H36</f>
        <v>0</v>
      </c>
      <c r="D11" s="19">
        <f>[1]Revenue!J36</f>
        <v>0</v>
      </c>
      <c r="E11" s="23">
        <f t="shared" si="0"/>
        <v>0</v>
      </c>
      <c r="F11" s="24">
        <f t="shared" si="1"/>
        <v>0</v>
      </c>
    </row>
    <row r="12" spans="1:6" s="13" customFormat="1" ht="26.25">
      <c r="A12" s="29" t="s">
        <v>20</v>
      </c>
      <c r="B12" s="299">
        <v>248684</v>
      </c>
      <c r="C12" s="28">
        <f>[1]Revenue!H37</f>
        <v>253270</v>
      </c>
      <c r="D12" s="28">
        <f>[1]Revenue!J37</f>
        <v>251562</v>
      </c>
      <c r="E12" s="26">
        <f t="shared" si="0"/>
        <v>-1708</v>
      </c>
      <c r="F12" s="24">
        <f t="shared" si="1"/>
        <v>-6.7437912109606351E-3</v>
      </c>
    </row>
    <row r="13" spans="1:6" s="13" customFormat="1" ht="26.25">
      <c r="A13" s="29" t="s">
        <v>21</v>
      </c>
      <c r="B13" s="299">
        <v>0</v>
      </c>
      <c r="C13" s="28">
        <f>[1]Revenue!H38</f>
        <v>0</v>
      </c>
      <c r="D13" s="28">
        <f>[1]Revenue!J38</f>
        <v>0</v>
      </c>
      <c r="E13" s="26">
        <f t="shared" si="0"/>
        <v>0</v>
      </c>
      <c r="F13" s="24">
        <f t="shared" si="1"/>
        <v>0</v>
      </c>
    </row>
    <row r="14" spans="1:6" s="13" customFormat="1" ht="26.25">
      <c r="A14" s="29" t="s">
        <v>22</v>
      </c>
      <c r="B14" s="299">
        <v>0</v>
      </c>
      <c r="C14" s="28">
        <f>[1]Revenue!H39</f>
        <v>0</v>
      </c>
      <c r="D14" s="28">
        <f>[1]Revenue!J39</f>
        <v>0</v>
      </c>
      <c r="E14" s="26">
        <f t="shared" si="0"/>
        <v>0</v>
      </c>
      <c r="F14" s="24">
        <f t="shared" si="1"/>
        <v>0</v>
      </c>
    </row>
    <row r="15" spans="1:6" s="13" customFormat="1" ht="26.25">
      <c r="A15" s="29" t="s">
        <v>23</v>
      </c>
      <c r="B15" s="299">
        <v>0</v>
      </c>
      <c r="C15" s="28">
        <f>[1]Revenue!H40</f>
        <v>0</v>
      </c>
      <c r="D15" s="28">
        <f>[1]Revenue!J40</f>
        <v>0</v>
      </c>
      <c r="E15" s="26">
        <f t="shared" si="0"/>
        <v>0</v>
      </c>
      <c r="F15" s="24">
        <f t="shared" si="1"/>
        <v>0</v>
      </c>
    </row>
    <row r="16" spans="1:6" s="13" customFormat="1" ht="26.25">
      <c r="A16" s="29" t="s">
        <v>24</v>
      </c>
      <c r="B16" s="299">
        <v>0</v>
      </c>
      <c r="C16" s="28">
        <f>[1]Revenue!H41</f>
        <v>0</v>
      </c>
      <c r="D16" s="28">
        <f>[1]Revenue!J41</f>
        <v>0</v>
      </c>
      <c r="E16" s="26">
        <f t="shared" si="0"/>
        <v>0</v>
      </c>
      <c r="F16" s="24">
        <f t="shared" si="1"/>
        <v>0</v>
      </c>
    </row>
    <row r="17" spans="1:6" s="13" customFormat="1" ht="26.25">
      <c r="A17" s="29" t="s">
        <v>25</v>
      </c>
      <c r="B17" s="299">
        <v>0</v>
      </c>
      <c r="C17" s="28">
        <f>[1]Revenue!H50</f>
        <v>0</v>
      </c>
      <c r="D17" s="28">
        <f>[1]Revenue!J50</f>
        <v>0</v>
      </c>
      <c r="E17" s="26">
        <f t="shared" si="0"/>
        <v>0</v>
      </c>
      <c r="F17" s="24">
        <f t="shared" si="1"/>
        <v>0</v>
      </c>
    </row>
    <row r="18" spans="1:6" s="13" customFormat="1" ht="26.25">
      <c r="A18" s="29" t="s">
        <v>26</v>
      </c>
      <c r="B18" s="299">
        <v>0</v>
      </c>
      <c r="C18" s="28">
        <f>[1]Revenue!H42</f>
        <v>0</v>
      </c>
      <c r="D18" s="28">
        <f>[1]Revenue!J42</f>
        <v>0</v>
      </c>
      <c r="E18" s="26">
        <f t="shared" si="0"/>
        <v>0</v>
      </c>
      <c r="F18" s="24">
        <f t="shared" si="1"/>
        <v>0</v>
      </c>
    </row>
    <row r="19" spans="1:6" s="13" customFormat="1" ht="26.25">
      <c r="A19" s="29" t="s">
        <v>27</v>
      </c>
      <c r="B19" s="299">
        <v>0</v>
      </c>
      <c r="C19" s="28">
        <f>[1]Revenue!H43</f>
        <v>0</v>
      </c>
      <c r="D19" s="28">
        <f>[1]Revenue!J43</f>
        <v>0</v>
      </c>
      <c r="E19" s="26">
        <f t="shared" si="0"/>
        <v>0</v>
      </c>
      <c r="F19" s="24">
        <f t="shared" si="1"/>
        <v>0</v>
      </c>
    </row>
    <row r="20" spans="1:6" s="13" customFormat="1" ht="26.25">
      <c r="A20" s="29" t="s">
        <v>28</v>
      </c>
      <c r="B20" s="299">
        <v>0</v>
      </c>
      <c r="C20" s="28">
        <f>[1]Revenue!H44</f>
        <v>0</v>
      </c>
      <c r="D20" s="28">
        <f>[1]Revenue!J44</f>
        <v>0</v>
      </c>
      <c r="E20" s="26">
        <f t="shared" si="0"/>
        <v>0</v>
      </c>
      <c r="F20" s="24">
        <f t="shared" si="1"/>
        <v>0</v>
      </c>
    </row>
    <row r="21" spans="1:6" s="13" customFormat="1" ht="26.25">
      <c r="A21" s="29" t="s">
        <v>29</v>
      </c>
      <c r="B21" s="299">
        <v>0</v>
      </c>
      <c r="C21" s="28">
        <f>[1]Revenue!H45</f>
        <v>0</v>
      </c>
      <c r="D21" s="28">
        <f>[1]Revenue!J45</f>
        <v>0</v>
      </c>
      <c r="E21" s="26">
        <f t="shared" si="0"/>
        <v>0</v>
      </c>
      <c r="F21" s="24">
        <f t="shared" si="1"/>
        <v>0</v>
      </c>
    </row>
    <row r="22" spans="1:6" s="13" customFormat="1" ht="26.25">
      <c r="A22" s="29" t="s">
        <v>30</v>
      </c>
      <c r="B22" s="299">
        <v>0</v>
      </c>
      <c r="C22" s="28">
        <f>[1]Revenue!H46</f>
        <v>0</v>
      </c>
      <c r="D22" s="28">
        <f>[1]Revenue!J46</f>
        <v>0</v>
      </c>
      <c r="E22" s="26">
        <f t="shared" si="0"/>
        <v>0</v>
      </c>
      <c r="F22" s="24">
        <f t="shared" si="1"/>
        <v>0</v>
      </c>
    </row>
    <row r="23" spans="1:6" s="13" customFormat="1" ht="26.25">
      <c r="A23" s="30" t="s">
        <v>31</v>
      </c>
      <c r="B23" s="299">
        <v>0</v>
      </c>
      <c r="C23" s="28">
        <f>[1]Revenue!H47</f>
        <v>0</v>
      </c>
      <c r="D23" s="28">
        <f>[1]Revenue!J47</f>
        <v>0</v>
      </c>
      <c r="E23" s="26">
        <f t="shared" si="0"/>
        <v>0</v>
      </c>
      <c r="F23" s="24">
        <f t="shared" si="1"/>
        <v>0</v>
      </c>
    </row>
    <row r="24" spans="1:6" s="13" customFormat="1" ht="26.25">
      <c r="A24" s="30" t="s">
        <v>32</v>
      </c>
      <c r="B24" s="299">
        <v>0</v>
      </c>
      <c r="C24" s="28">
        <f>[1]Revenue!H49</f>
        <v>0</v>
      </c>
      <c r="D24" s="28">
        <f>[1]Revenue!J49</f>
        <v>0</v>
      </c>
      <c r="E24" s="26">
        <f t="shared" si="0"/>
        <v>0</v>
      </c>
      <c r="F24" s="24">
        <f t="shared" si="1"/>
        <v>0</v>
      </c>
    </row>
    <row r="25" spans="1:6" s="13" customFormat="1" ht="26.25">
      <c r="A25" s="30" t="s">
        <v>33</v>
      </c>
      <c r="B25" s="299">
        <v>0</v>
      </c>
      <c r="C25" s="28">
        <f>[1]Revenue!H51</f>
        <v>0</v>
      </c>
      <c r="D25" s="28">
        <f>[1]Revenue!J51</f>
        <v>0</v>
      </c>
      <c r="E25" s="26">
        <f t="shared" si="0"/>
        <v>0</v>
      </c>
      <c r="F25" s="24">
        <f t="shared" si="1"/>
        <v>0</v>
      </c>
    </row>
    <row r="26" spans="1:6" s="13" customFormat="1" ht="26.25">
      <c r="A26" s="30" t="s">
        <v>34</v>
      </c>
      <c r="B26" s="299">
        <v>0</v>
      </c>
      <c r="C26" s="28">
        <f>[1]Revenue!H52</f>
        <v>0</v>
      </c>
      <c r="D26" s="28">
        <f>[1]Revenue!J52</f>
        <v>0</v>
      </c>
      <c r="E26" s="26">
        <f t="shared" si="0"/>
        <v>0</v>
      </c>
      <c r="F26" s="24">
        <f t="shared" si="1"/>
        <v>0</v>
      </c>
    </row>
    <row r="27" spans="1:6" s="13" customFormat="1" ht="26.25">
      <c r="A27" s="30" t="s">
        <v>35</v>
      </c>
      <c r="B27" s="299">
        <v>0</v>
      </c>
      <c r="C27" s="28">
        <f>[1]Revenue!H53</f>
        <v>0</v>
      </c>
      <c r="D27" s="28">
        <f>[1]Revenue!J53</f>
        <v>0</v>
      </c>
      <c r="E27" s="26">
        <f t="shared" si="0"/>
        <v>0</v>
      </c>
      <c r="F27" s="24">
        <f t="shared" si="1"/>
        <v>0</v>
      </c>
    </row>
    <row r="28" spans="1:6" s="13" customFormat="1" ht="26.25">
      <c r="A28" s="30" t="s">
        <v>36</v>
      </c>
      <c r="B28" s="299">
        <v>0</v>
      </c>
      <c r="C28" s="28">
        <f>[1]Revenue!H48</f>
        <v>0</v>
      </c>
      <c r="D28" s="28">
        <f>[1]Revenue!J48</f>
        <v>0</v>
      </c>
      <c r="E28" s="26">
        <f t="shared" si="0"/>
        <v>0</v>
      </c>
      <c r="F28" s="24">
        <f t="shared" si="1"/>
        <v>0</v>
      </c>
    </row>
    <row r="29" spans="1:6" s="13" customFormat="1" ht="26.25">
      <c r="A29" s="31" t="s">
        <v>37</v>
      </c>
      <c r="B29" s="299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f>[1]Revenue!H86+[1]Revenue!H87</f>
        <v>0</v>
      </c>
      <c r="D30" s="23">
        <f>[1]Revenue!J86+[1]Revenue!J87</f>
        <v>0</v>
      </c>
      <c r="E30" s="23">
        <f>D30-C30</f>
        <v>0</v>
      </c>
      <c r="F30" s="24">
        <f>IF(ISBLANK(E30),"  ",IF(C30&gt;0,E30/C30,IF(E30&gt;0,1,0)))</f>
        <v>0</v>
      </c>
    </row>
    <row r="31" spans="1:6" s="13" customFormat="1" ht="26.25">
      <c r="A31" s="32" t="s">
        <v>39</v>
      </c>
      <c r="B31" s="299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f>[1]Revenue!H88</f>
        <v>0</v>
      </c>
      <c r="D32" s="19">
        <f>[1]Revenue!J88</f>
        <v>0</v>
      </c>
      <c r="E32" s="23">
        <f>D32-C32</f>
        <v>0</v>
      </c>
      <c r="F32" s="24">
        <f>IF(ISBLANK(E32),"  ",IF(C32&gt;0,E32/C32,IF(E32&gt;0,1,0)))</f>
        <v>0</v>
      </c>
    </row>
    <row r="33" spans="1:10" s="13" customFormat="1" ht="26.25">
      <c r="A33" s="29" t="s">
        <v>40</v>
      </c>
      <c r="B33" s="299"/>
      <c r="C33" s="28"/>
      <c r="D33" s="28"/>
      <c r="E33" s="26"/>
      <c r="F33" s="24" t="str">
        <f>IF(ISBLANK(E33),"  ",IF(C33&gt;0,E33/C33,IF(E33&gt;0,1,0)))</f>
        <v xml:space="preserve">  </v>
      </c>
    </row>
    <row r="34" spans="1:10" s="36" customFormat="1" ht="26.25">
      <c r="A34" s="33" t="s">
        <v>42</v>
      </c>
      <c r="B34" s="300">
        <v>6410494</v>
      </c>
      <c r="C34" s="34">
        <f>C33+C32+C30+C10+C9+C8</f>
        <v>6411450</v>
      </c>
      <c r="D34" s="34">
        <f>D33+D32+D30+D10+D9+D8</f>
        <v>6252616</v>
      </c>
      <c r="E34" s="34">
        <f>D34-C34</f>
        <v>-158834</v>
      </c>
      <c r="F34" s="35">
        <f>IF(ISBLANK(E34),"  ",IF(C34&gt;0,E34/C34,IF(E34&gt;0,1,0)))</f>
        <v>-2.477349117594304E-2</v>
      </c>
    </row>
    <row r="35" spans="1:10" s="13" customFormat="1" ht="26.25">
      <c r="A35" s="31" t="s">
        <v>43</v>
      </c>
      <c r="B35" s="299"/>
      <c r="C35" s="28"/>
      <c r="D35" s="28"/>
      <c r="E35" s="28"/>
      <c r="F35" s="20"/>
    </row>
    <row r="36" spans="1:10" s="13" customFormat="1" ht="26.25">
      <c r="A36" s="37" t="s">
        <v>44</v>
      </c>
      <c r="B36" s="23"/>
      <c r="C36" s="23"/>
      <c r="D36" s="23"/>
      <c r="E36" s="23">
        <f t="shared" ref="E36:E41" si="2">D36-C36</f>
        <v>0</v>
      </c>
      <c r="F36" s="24">
        <f t="shared" ref="F36:F41" si="3">IF(ISBLANK(E36),"  ",IF(C36&gt;0,E36/C36,IF(E36&gt;0,1,0)))</f>
        <v>0</v>
      </c>
    </row>
    <row r="37" spans="1:10" s="13" customFormat="1" ht="26.25">
      <c r="A37" s="38" t="s">
        <v>45</v>
      </c>
      <c r="B37" s="23"/>
      <c r="C37" s="23"/>
      <c r="D37" s="23"/>
      <c r="E37" s="26">
        <f t="shared" si="2"/>
        <v>0</v>
      </c>
      <c r="F37" s="24">
        <f t="shared" si="3"/>
        <v>0</v>
      </c>
    </row>
    <row r="38" spans="1:10" s="13" customFormat="1" ht="26.25">
      <c r="A38" s="38" t="s">
        <v>122</v>
      </c>
      <c r="B38" s="23"/>
      <c r="C38" s="23"/>
      <c r="D38" s="23"/>
      <c r="E38" s="26">
        <f t="shared" si="2"/>
        <v>0</v>
      </c>
      <c r="F38" s="24">
        <f t="shared" si="3"/>
        <v>0</v>
      </c>
    </row>
    <row r="39" spans="1:10" s="13" customFormat="1" ht="26.25">
      <c r="A39" s="38" t="s">
        <v>47</v>
      </c>
      <c r="B39" s="23"/>
      <c r="C39" s="23"/>
      <c r="D39" s="23"/>
      <c r="E39" s="26">
        <f t="shared" si="2"/>
        <v>0</v>
      </c>
      <c r="F39" s="24">
        <f t="shared" si="3"/>
        <v>0</v>
      </c>
    </row>
    <row r="40" spans="1:10" s="13" customFormat="1" ht="26.25">
      <c r="A40" s="39" t="s">
        <v>48</v>
      </c>
      <c r="B40" s="23"/>
      <c r="C40" s="23"/>
      <c r="D40" s="23"/>
      <c r="E40" s="26">
        <f t="shared" si="2"/>
        <v>0</v>
      </c>
      <c r="F40" s="24">
        <f t="shared" si="3"/>
        <v>0</v>
      </c>
    </row>
    <row r="41" spans="1:10" s="36" customFormat="1" ht="26.25">
      <c r="A41" s="31" t="s">
        <v>49</v>
      </c>
      <c r="B41" s="40">
        <v>0</v>
      </c>
      <c r="C41" s="40">
        <f>SUM(C36:C40)</f>
        <v>0</v>
      </c>
      <c r="D41" s="40">
        <f>SUM(D36:D40)</f>
        <v>0</v>
      </c>
      <c r="E41" s="40">
        <f t="shared" si="2"/>
        <v>0</v>
      </c>
      <c r="F41" s="35">
        <f t="shared" si="3"/>
        <v>0</v>
      </c>
      <c r="J41" s="36" t="s">
        <v>50</v>
      </c>
    </row>
    <row r="42" spans="1:10" s="13" customFormat="1" ht="26.25">
      <c r="A42" s="29" t="s">
        <v>50</v>
      </c>
      <c r="B42" s="299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f>[1]Revenue!H84-[1]Revenue!H82</f>
        <v>0</v>
      </c>
      <c r="D43" s="42">
        <f>[1]Revenue!J84-[1]Revenue!J82</f>
        <v>0</v>
      </c>
      <c r="E43" s="42">
        <f>D43-C43</f>
        <v>0</v>
      </c>
      <c r="F43" s="35">
        <f>IF(ISBLANK(E43),"  ",IF(C43&gt;0,E43/C43,IF(E43&gt;0,1,0)))</f>
        <v>0</v>
      </c>
    </row>
    <row r="44" spans="1:10" s="13" customFormat="1" ht="26.25">
      <c r="A44" s="29" t="s">
        <v>50</v>
      </c>
      <c r="B44" s="299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1948366</v>
      </c>
      <c r="C45" s="42">
        <f>[1]Revenue!H82</f>
        <v>1948366</v>
      </c>
      <c r="D45" s="42">
        <f>[1]Revenue!J82</f>
        <v>0</v>
      </c>
      <c r="E45" s="42">
        <f>D45-C45</f>
        <v>-1948366</v>
      </c>
      <c r="F45" s="35">
        <f>IF(ISBLANK(E45),"  ",IF(C45&gt;0,E45/C45,IF(E45&gt;0,1,0)))</f>
        <v>-1</v>
      </c>
    </row>
    <row r="46" spans="1:10" s="13" customFormat="1" ht="26.25">
      <c r="A46" s="29" t="s">
        <v>50</v>
      </c>
      <c r="B46" s="299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6105125</v>
      </c>
      <c r="C47" s="40">
        <f>[1]Revenue!H7+[1]Revenue!H18+[1]Revenue!H22+[1]Revenue!H29+[1]Revenue!H68</f>
        <v>5446968</v>
      </c>
      <c r="D47" s="40">
        <f>[1]Revenue!J7+[1]Revenue!J18+[1]Revenue!J22+[1]Revenue!J29+[1]Revenue!J68</f>
        <v>7592900</v>
      </c>
      <c r="E47" s="40">
        <f>D47-C47</f>
        <v>2145932</v>
      </c>
      <c r="F47" s="35">
        <f>IF(ISBLANK(E47),"  ",IF(C47&gt;0,E47/C47,IF(E47&gt;0,1,0)))</f>
        <v>0.39396816724460287</v>
      </c>
    </row>
    <row r="48" spans="1:10" s="13" customFormat="1" ht="26.25">
      <c r="A48" s="29" t="s">
        <v>50</v>
      </c>
      <c r="B48" s="299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f>[1]Revenue!H60</f>
        <v>0</v>
      </c>
      <c r="D49" s="44">
        <f>[1]Revenue!J60</f>
        <v>0</v>
      </c>
      <c r="E49" s="44">
        <f>D49-C49</f>
        <v>0</v>
      </c>
      <c r="F49" s="35">
        <f>IF(ISBLANK(E49),"  ",IF(C49&gt;0,E49/C49,IF(E49&gt;0,1,0)))</f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f>[1]Revenue!H32</f>
        <v>0</v>
      </c>
      <c r="D51" s="40">
        <f>[1]Revenue!J32</f>
        <v>0</v>
      </c>
      <c r="E51" s="44">
        <f>D51-C51</f>
        <v>0</v>
      </c>
      <c r="F51" s="35">
        <f>IF(ISBLANK(E51),"  ",IF(C51&gt;0,E51/C51,IF(E51&gt;0,1,0)))</f>
        <v>0</v>
      </c>
    </row>
    <row r="52" spans="1:6" s="13" customFormat="1" ht="26.25">
      <c r="A52" s="29"/>
      <c r="B52" s="299"/>
      <c r="C52" s="28"/>
      <c r="D52" s="28"/>
      <c r="E52" s="28"/>
      <c r="F52" s="20"/>
    </row>
    <row r="53" spans="1:6" s="36" customFormat="1" ht="26.25">
      <c r="A53" s="46" t="s">
        <v>56</v>
      </c>
      <c r="B53" s="40">
        <v>14463985</v>
      </c>
      <c r="C53" s="40">
        <f>C49+C47+C45+C43+C34-C41</f>
        <v>13806784</v>
      </c>
      <c r="D53" s="40">
        <f>D49+D47+D45+D43+D34-D41</f>
        <v>13845516</v>
      </c>
      <c r="E53" s="40">
        <f>D53-C53</f>
        <v>38732</v>
      </c>
      <c r="F53" s="35">
        <f>IF(ISBLANK(E53),"  ",IF(C53&gt;0,E53/C53,IF(E53&gt;0,1,0)))</f>
        <v>2.8052876035433018E-3</v>
      </c>
    </row>
    <row r="54" spans="1:6" s="13" customFormat="1" ht="26.25">
      <c r="A54" s="47"/>
      <c r="B54" s="299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6452660</v>
      </c>
      <c r="C57" s="19">
        <f>[1]Instruction!H44</f>
        <v>7001784</v>
      </c>
      <c r="D57" s="19">
        <f>[1]Instruction!J44</f>
        <v>7079002</v>
      </c>
      <c r="E57" s="19">
        <f t="shared" ref="E57:E70" si="4">D57-C57</f>
        <v>77218</v>
      </c>
      <c r="F57" s="24">
        <f t="shared" ref="F57:F70" si="5">IF(ISBLANK(E57),"  ",IF(C57&gt;0,E57/C57,IF(E57&gt;0,1,0)))</f>
        <v>1.1028332207905871E-2</v>
      </c>
    </row>
    <row r="58" spans="1:6" s="13" customFormat="1" ht="26.25">
      <c r="A58" s="29" t="s">
        <v>59</v>
      </c>
      <c r="B58" s="299">
        <v>0</v>
      </c>
      <c r="C58" s="28">
        <f>[1]Research!H44</f>
        <v>0</v>
      </c>
      <c r="D58" s="28">
        <f>[1]Research!J44</f>
        <v>0</v>
      </c>
      <c r="E58" s="28">
        <f t="shared" si="4"/>
        <v>0</v>
      </c>
      <c r="F58" s="24">
        <f t="shared" si="5"/>
        <v>0</v>
      </c>
    </row>
    <row r="59" spans="1:6" s="13" customFormat="1" ht="26.25">
      <c r="A59" s="29" t="s">
        <v>60</v>
      </c>
      <c r="B59" s="299">
        <v>0</v>
      </c>
      <c r="C59" s="28">
        <f>'[1]Public Service'!H44</f>
        <v>0</v>
      </c>
      <c r="D59" s="28">
        <f>'[1]Public Service'!J44</f>
        <v>0</v>
      </c>
      <c r="E59" s="28">
        <f t="shared" si="4"/>
        <v>0</v>
      </c>
      <c r="F59" s="24">
        <f t="shared" si="5"/>
        <v>0</v>
      </c>
    </row>
    <row r="60" spans="1:6" s="13" customFormat="1" ht="26.25">
      <c r="A60" s="29" t="s">
        <v>61</v>
      </c>
      <c r="B60" s="299">
        <v>615204</v>
      </c>
      <c r="C60" s="28">
        <f>'[1]Academic Supp'!H43</f>
        <v>587661</v>
      </c>
      <c r="D60" s="28">
        <f>'[1]Academic Supp'!J43</f>
        <v>632788</v>
      </c>
      <c r="E60" s="28">
        <f t="shared" si="4"/>
        <v>45127</v>
      </c>
      <c r="F60" s="24">
        <f t="shared" si="5"/>
        <v>7.6790870927286314E-2</v>
      </c>
    </row>
    <row r="61" spans="1:6" s="13" customFormat="1" ht="26.25">
      <c r="A61" s="29" t="s">
        <v>62</v>
      </c>
      <c r="B61" s="299">
        <v>990699</v>
      </c>
      <c r="C61" s="28">
        <f>'[1]Student Services'!H43</f>
        <v>1026063</v>
      </c>
      <c r="D61" s="28">
        <f>'[1]Student Services'!J43</f>
        <v>1070693</v>
      </c>
      <c r="E61" s="28">
        <f t="shared" si="4"/>
        <v>44630</v>
      </c>
      <c r="F61" s="24">
        <f t="shared" si="5"/>
        <v>4.3496354512344758E-2</v>
      </c>
    </row>
    <row r="62" spans="1:6" s="13" customFormat="1" ht="26.25">
      <c r="A62" s="29" t="s">
        <v>63</v>
      </c>
      <c r="B62" s="299">
        <v>2339021</v>
      </c>
      <c r="C62" s="28">
        <f>'[1]Institutional Supp'!H43</f>
        <v>2415454</v>
      </c>
      <c r="D62" s="28">
        <f>'[1]Institutional Supp'!J43</f>
        <v>2451144</v>
      </c>
      <c r="E62" s="28">
        <f t="shared" si="4"/>
        <v>35690</v>
      </c>
      <c r="F62" s="24">
        <f t="shared" si="5"/>
        <v>1.4775690201510773E-2</v>
      </c>
    </row>
    <row r="63" spans="1:6" s="13" customFormat="1" ht="26.25">
      <c r="A63" s="29" t="s">
        <v>64</v>
      </c>
      <c r="B63" s="299">
        <v>382537</v>
      </c>
      <c r="C63" s="28">
        <f>[1]Scholarships!H43</f>
        <v>366431</v>
      </c>
      <c r="D63" s="28">
        <f>[1]Scholarships!J43</f>
        <v>386360</v>
      </c>
      <c r="E63" s="28">
        <f t="shared" si="4"/>
        <v>19929</v>
      </c>
      <c r="F63" s="24">
        <f t="shared" si="5"/>
        <v>5.4386774044772414E-2</v>
      </c>
    </row>
    <row r="64" spans="1:6" s="13" customFormat="1" ht="26.25">
      <c r="A64" s="29" t="s">
        <v>65</v>
      </c>
      <c r="B64" s="299">
        <v>2802857</v>
      </c>
      <c r="C64" s="28">
        <f>'[1]OP&amp;M'!H43</f>
        <v>2288817</v>
      </c>
      <c r="D64" s="28">
        <f>'[1]OP&amp;M'!J43</f>
        <v>2219547</v>
      </c>
      <c r="E64" s="28">
        <f t="shared" si="4"/>
        <v>-69270</v>
      </c>
      <c r="F64" s="24">
        <f t="shared" si="5"/>
        <v>-3.0264542774717244E-2</v>
      </c>
    </row>
    <row r="65" spans="1:6" s="36" customFormat="1" ht="26.25">
      <c r="A65" s="49" t="s">
        <v>66</v>
      </c>
      <c r="B65" s="300">
        <v>13582978</v>
      </c>
      <c r="C65" s="34">
        <f>SUM(C57:C64)</f>
        <v>13686210</v>
      </c>
      <c r="D65" s="34">
        <f>SUM(D57:D64)</f>
        <v>13839534</v>
      </c>
      <c r="E65" s="34">
        <f t="shared" si="4"/>
        <v>153324</v>
      </c>
      <c r="F65" s="35">
        <f t="shared" si="5"/>
        <v>1.1202809251063662E-2</v>
      </c>
    </row>
    <row r="66" spans="1:6" s="13" customFormat="1" ht="26.25">
      <c r="A66" s="29" t="s">
        <v>67</v>
      </c>
      <c r="B66" s="299">
        <v>0</v>
      </c>
      <c r="C66" s="28">
        <f>[1]Hospitals!H43</f>
        <v>0</v>
      </c>
      <c r="D66" s="28">
        <f>[1]Hospitals!J43</f>
        <v>0</v>
      </c>
      <c r="E66" s="28">
        <f t="shared" si="4"/>
        <v>0</v>
      </c>
      <c r="F66" s="24">
        <f t="shared" si="5"/>
        <v>0</v>
      </c>
    </row>
    <row r="67" spans="1:6" s="13" customFormat="1" ht="26.25">
      <c r="A67" s="29" t="s">
        <v>68</v>
      </c>
      <c r="B67" s="299">
        <v>0</v>
      </c>
      <c r="C67" s="28">
        <f>[1]Transfers!H43</f>
        <v>5982</v>
      </c>
      <c r="D67" s="28">
        <f>[1]Transfers!J43</f>
        <v>5982</v>
      </c>
      <c r="E67" s="28">
        <f t="shared" si="4"/>
        <v>0</v>
      </c>
      <c r="F67" s="24">
        <f t="shared" si="5"/>
        <v>0</v>
      </c>
    </row>
    <row r="68" spans="1:6" s="13" customFormat="1" ht="26.25">
      <c r="A68" s="29" t="s">
        <v>69</v>
      </c>
      <c r="B68" s="299">
        <v>0</v>
      </c>
      <c r="C68" s="28">
        <f>[1]Athletics!V21+[1]Athletics!V23-[1]Athletics!AB40</f>
        <v>0</v>
      </c>
      <c r="D68" s="28">
        <f>[1]Athletics!W21+[1]Athletics!W23-[1]Athletics!AC40</f>
        <v>0</v>
      </c>
      <c r="E68" s="28">
        <f t="shared" si="4"/>
        <v>0</v>
      </c>
      <c r="F68" s="24">
        <f t="shared" si="5"/>
        <v>0</v>
      </c>
    </row>
    <row r="69" spans="1:6" s="13" customFormat="1" ht="26.25">
      <c r="A69" s="29" t="s">
        <v>70</v>
      </c>
      <c r="B69" s="299">
        <v>0</v>
      </c>
      <c r="C69" s="28">
        <f>[1]Other!H43</f>
        <v>0</v>
      </c>
      <c r="D69" s="28">
        <f>[1]Other!J43</f>
        <v>0</v>
      </c>
      <c r="E69" s="28">
        <f t="shared" si="4"/>
        <v>0</v>
      </c>
      <c r="F69" s="24">
        <f t="shared" si="5"/>
        <v>0</v>
      </c>
    </row>
    <row r="70" spans="1:6" s="36" customFormat="1" ht="26.25">
      <c r="A70" s="50" t="s">
        <v>71</v>
      </c>
      <c r="B70" s="301">
        <v>13582978</v>
      </c>
      <c r="C70" s="51">
        <f>C69+C68+C67+C66+C65</f>
        <v>13692192</v>
      </c>
      <c r="D70" s="51">
        <f>D69+D68+D67+D66+D65</f>
        <v>13845516</v>
      </c>
      <c r="E70" s="51">
        <f t="shared" si="4"/>
        <v>153324</v>
      </c>
      <c r="F70" s="35">
        <f t="shared" si="5"/>
        <v>1.1197914840808542E-2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7309344</v>
      </c>
      <c r="C73" s="23">
        <f>[1]Instruction!H7+[1]Research!H7+'[1]Public Service'!H7+'[1]Academic Supp'!H7+'[1]Student Services'!H7+'[1]Institutional Supp'!H7+[1]Scholarships!H7+'[1]OP&amp;M'!H7+[1]Hospitals!H7+[1]Transfers!H7+[1]Other!H7</f>
        <v>7787334</v>
      </c>
      <c r="D73" s="23">
        <f>[1]Instruction!J7+[1]Research!J7+'[1]Public Service'!J7+'[1]Academic Supp'!J7+'[1]Student Services'!J7+'[1]Institutional Supp'!J7+[1]Scholarships!J7+'[1]OP&amp;M'!J7+[1]Hospitals!J7+[1]Transfers!J7+[1]Other!J7</f>
        <v>7682549</v>
      </c>
      <c r="E73" s="19">
        <f t="shared" ref="E73:E91" si="6">D73-C73</f>
        <v>-104785</v>
      </c>
      <c r="F73" s="24">
        <f t="shared" ref="F73:F91" si="7">IF(ISBLANK(E73),"  ",IF(C73&gt;0,E73/C73,IF(E73&gt;0,1,0)))</f>
        <v>-1.3455824547913317E-2</v>
      </c>
    </row>
    <row r="74" spans="1:6" s="13" customFormat="1" ht="26.25">
      <c r="A74" s="29" t="s">
        <v>74</v>
      </c>
      <c r="B74" s="298">
        <v>110761</v>
      </c>
      <c r="C74" s="23">
        <f>[1]Instruction!H8+[1]Research!H8+'[1]Public Service'!H8+'[1]Academic Supp'!H8+'[1]Student Services'!H8+'[1]Institutional Supp'!H8+[1]Scholarships!H8+'[1]OP&amp;M'!H8+[1]Hospitals!H8+[1]Transfers!H8+[1]Other!H8</f>
        <v>130669</v>
      </c>
      <c r="D74" s="23">
        <f>[1]Instruction!J8+[1]Research!J8+'[1]Public Service'!J8+'[1]Academic Supp'!J8+'[1]Student Services'!J8+'[1]Institutional Supp'!J8+[1]Scholarships!J8+'[1]OP&amp;M'!J8+[1]Hospitals!J8+[1]Transfers!J8+[1]Other!J8</f>
        <v>130669</v>
      </c>
      <c r="E74" s="28">
        <f t="shared" si="6"/>
        <v>0</v>
      </c>
      <c r="F74" s="24">
        <f t="shared" si="7"/>
        <v>0</v>
      </c>
    </row>
    <row r="75" spans="1:6" s="13" customFormat="1" ht="26.25">
      <c r="A75" s="29" t="s">
        <v>75</v>
      </c>
      <c r="B75" s="19">
        <v>2761181</v>
      </c>
      <c r="C75" s="23">
        <f>[1]Instruction!H9+[1]Research!H9+'[1]Public Service'!H9+'[1]Academic Supp'!H9+'[1]Student Services'!H9+'[1]Institutional Supp'!H9+[1]Scholarships!H9+'[1]OP&amp;M'!H9+[1]Hospitals!H9+[1]Transfers!H9+[1]Other!H9</f>
        <v>2846343</v>
      </c>
      <c r="D75" s="23">
        <f>[1]Instruction!J9+[1]Research!J9+'[1]Public Service'!J9+'[1]Academic Supp'!J9+'[1]Student Services'!J9+'[1]Institutional Supp'!J9+[1]Scholarships!J9+'[1]OP&amp;M'!J9+[1]Hospitals!J9+[1]Transfers!J9+[1]Other!J9</f>
        <v>3168348</v>
      </c>
      <c r="E75" s="28">
        <f t="shared" si="6"/>
        <v>322005</v>
      </c>
      <c r="F75" s="24">
        <f t="shared" si="7"/>
        <v>0.1131293733748884</v>
      </c>
    </row>
    <row r="76" spans="1:6" s="36" customFormat="1" ht="26.25">
      <c r="A76" s="49" t="s">
        <v>76</v>
      </c>
      <c r="B76" s="301">
        <v>10181286</v>
      </c>
      <c r="C76" s="51">
        <f>SUM(C73:C75)</f>
        <v>10764346</v>
      </c>
      <c r="D76" s="51">
        <f>SUM(D73:D75)</f>
        <v>10981566</v>
      </c>
      <c r="E76" s="34">
        <f t="shared" si="6"/>
        <v>217220</v>
      </c>
      <c r="F76" s="35">
        <f t="shared" si="7"/>
        <v>2.0179581741426745E-2</v>
      </c>
    </row>
    <row r="77" spans="1:6" s="13" customFormat="1" ht="26.25">
      <c r="A77" s="29" t="s">
        <v>77</v>
      </c>
      <c r="B77" s="298">
        <v>70916</v>
      </c>
      <c r="C77" s="26">
        <f>[1]Instruction!H12+[1]Research!H12+'[1]Public Service'!H12+'[1]Academic Supp'!H12+'[1]Student Services'!H12+'[1]Institutional Supp'!H12+[1]Scholarships!H12+'[1]OP&amp;M'!H12+[1]Hospitals!H12+[1]Transfers!H12+[1]Other!H12</f>
        <v>103971</v>
      </c>
      <c r="D77" s="26">
        <f>[1]Instruction!J12+[1]Research!J12+'[1]Public Service'!J12+'[1]Academic Supp'!J12+'[1]Student Services'!J12+'[1]Institutional Supp'!J12+[1]Scholarships!J12+'[1]OP&amp;M'!J12+[1]Hospitals!J12+[1]Transfers!J12+[1]Other!J12</f>
        <v>111190</v>
      </c>
      <c r="E77" s="28">
        <f t="shared" si="6"/>
        <v>7219</v>
      </c>
      <c r="F77" s="24">
        <f t="shared" si="7"/>
        <v>6.9432822613998135E-2</v>
      </c>
    </row>
    <row r="78" spans="1:6" s="13" customFormat="1" ht="26.25">
      <c r="A78" s="29" t="s">
        <v>78</v>
      </c>
      <c r="B78" s="23">
        <v>1399501</v>
      </c>
      <c r="C78" s="23">
        <f>[1]Instruction!H14+[1]Research!H14+'[1]Public Service'!H14+'[1]Academic Supp'!H14+'[1]Student Services'!H14+'[1]Institutional Supp'!H14+[1]Scholarships!H14+'[1]OP&amp;M'!H14+[1]Hospitals!H14+[1]Transfers!H14+[1]Other!H14</f>
        <v>1050722</v>
      </c>
      <c r="D78" s="23">
        <f>[1]Instruction!J14+[1]Research!J14+'[1]Public Service'!J14+'[1]Academic Supp'!J14+'[1]Student Services'!J14+'[1]Institutional Supp'!J14+[1]Scholarships!J14+'[1]OP&amp;M'!J14+[1]Hospitals!J14+[1]Transfers!J14+[1]Other!J14</f>
        <v>1049659</v>
      </c>
      <c r="E78" s="28">
        <f t="shared" si="6"/>
        <v>-1063</v>
      </c>
      <c r="F78" s="24">
        <f t="shared" si="7"/>
        <v>-1.0116852982996454E-3</v>
      </c>
    </row>
    <row r="79" spans="1:6" s="13" customFormat="1" ht="26.25">
      <c r="A79" s="29" t="s">
        <v>79</v>
      </c>
      <c r="B79" s="19">
        <v>659964</v>
      </c>
      <c r="C79" s="19">
        <f>[1]Instruction!H16+[1]Research!H16+'[1]Public Service'!H16+'[1]Academic Supp'!H16+'[1]Student Services'!H16+'[1]Institutional Supp'!H16+[1]Scholarships!H16+'[1]OP&amp;M'!H16+[1]Hospitals!H16+[1]Transfers!H16+[1]Other!H16</f>
        <v>559691</v>
      </c>
      <c r="D79" s="19">
        <f>[1]Instruction!J16+[1]Research!J16+'[1]Public Service'!J16+'[1]Academic Supp'!J16+'[1]Student Services'!J16+'[1]Institutional Supp'!J16+[1]Scholarships!J16+'[1]OP&amp;M'!J16+[1]Hospitals!J16+[1]Transfers!J16+[1]Other!J16</f>
        <v>557284</v>
      </c>
      <c r="E79" s="28">
        <f t="shared" si="6"/>
        <v>-2407</v>
      </c>
      <c r="F79" s="24">
        <f t="shared" si="7"/>
        <v>-4.3005872883430324E-3</v>
      </c>
    </row>
    <row r="80" spans="1:6" s="36" customFormat="1" ht="26.25">
      <c r="A80" s="32" t="s">
        <v>80</v>
      </c>
      <c r="B80" s="301">
        <v>2130381</v>
      </c>
      <c r="C80" s="51">
        <f>SUM(C77:C79)</f>
        <v>1714384</v>
      </c>
      <c r="D80" s="51">
        <f>SUM(D77:D79)</f>
        <v>1718133</v>
      </c>
      <c r="E80" s="34">
        <f t="shared" si="6"/>
        <v>3749</v>
      </c>
      <c r="F80" s="35">
        <f t="shared" si="7"/>
        <v>2.1867912906326703E-3</v>
      </c>
    </row>
    <row r="81" spans="1:12" s="13" customFormat="1" ht="26.25">
      <c r="A81" s="29" t="s">
        <v>81</v>
      </c>
      <c r="B81" s="19">
        <v>80901</v>
      </c>
      <c r="C81" s="19">
        <f>[1]Instruction!H27+[1]Research!H27+'[1]Public Service'!H27+'[1]Academic Supp'!H27+'[1]Student Services'!H27+'[1]Institutional Supp'!H27+[1]Scholarships!H27+'[1]OP&amp;M'!H27+[1]Hospitals!H27+[1]Transfers!H27+[1]Other!H27</f>
        <v>86825</v>
      </c>
      <c r="D81" s="19">
        <f>[1]Instruction!J27+[1]Research!J27+'[1]Public Service'!J27+'[1]Academic Supp'!J27+'[1]Student Services'!J27+'[1]Institutional Supp'!J27+[1]Scholarships!J27+'[1]OP&amp;M'!J27+[1]Hospitals!J27+[1]Transfers!J27++[1]Other!J27</f>
        <v>86425</v>
      </c>
      <c r="E81" s="28">
        <f t="shared" si="6"/>
        <v>-400</v>
      </c>
      <c r="F81" s="24">
        <f t="shared" si="7"/>
        <v>-4.6069680391592283E-3</v>
      </c>
    </row>
    <row r="82" spans="1:12" s="13" customFormat="1" ht="26.25">
      <c r="A82" s="29" t="s">
        <v>82</v>
      </c>
      <c r="B82" s="299">
        <v>427929</v>
      </c>
      <c r="C82" s="28">
        <f>[1]Instruction!H29+[1]Research!H29+'[1]Public Service'!H29+'[1]Academic Supp'!H29+'[1]Student Services'!H29+'[1]Institutional Supp'!H29+[1]Scholarships!H29+'[1]OP&amp;M'!H29+[1]Hospitals!H29+[1]Transfers!H29+[1]Other!H29+[1]Athletics!V21+[1]Athletics!V23-[1]Athletics!AB40</f>
        <v>451761</v>
      </c>
      <c r="D82" s="28">
        <f>[1]Instruction!J29+[1]Research!J29+'[1]Public Service'!J29+'[1]Academic Supp'!J29+'[1]Student Services'!J29+'[1]Institutional Supp'!J29+[1]Scholarships!J29+'[1]OP&amp;M'!J29+[1]Hospitals!J29+[1]Transfers!J29+[1]Other!J29+[1]Athletics!W21+[1]Athletics!W23-[1]Athletics!AC40</f>
        <v>472040</v>
      </c>
      <c r="E82" s="28">
        <f t="shared" si="6"/>
        <v>20279</v>
      </c>
      <c r="F82" s="24">
        <f t="shared" si="7"/>
        <v>4.4888779686604201E-2</v>
      </c>
    </row>
    <row r="83" spans="1:12" s="13" customFormat="1" ht="26.25">
      <c r="A83" s="29" t="s">
        <v>83</v>
      </c>
      <c r="B83" s="299">
        <v>0</v>
      </c>
      <c r="C83" s="28">
        <f>[1]Instruction!H37+[1]Research!H37+'[1]Public Service'!H37+'[1]Academic Supp'!H37+'[1]Student Services'!H37+'[1]Institutional Supp'!H37+[1]Scholarships!H37+'[1]OP&amp;M'!H37+[1]Hospitals!H37+[1]Transfers!H37+[1]Other!H37</f>
        <v>0</v>
      </c>
      <c r="D83" s="28">
        <f>[1]Instruction!J37+[1]Research!J37+'[1]Public Service'!J37+'[1]Academic Supp'!J37+'[1]Student Services'!J37+'[1]Institutional Supp'!J37+[1]Scholarships!J37+'[1]OP&amp;M'!J37+[1]Hospitals!J37+[1]Transfers!J37+[1]Other!J37</f>
        <v>0</v>
      </c>
      <c r="E83" s="28">
        <f t="shared" si="6"/>
        <v>0</v>
      </c>
      <c r="F83" s="24">
        <f t="shared" si="7"/>
        <v>0</v>
      </c>
    </row>
    <row r="84" spans="1:12" s="13" customFormat="1" ht="26.25">
      <c r="A84" s="29" t="s">
        <v>84</v>
      </c>
      <c r="B84" s="299">
        <v>415531</v>
      </c>
      <c r="C84" s="28">
        <f>[1]Instruction!H39+[1]Research!H39+'[1]Public Service'!H39+'[1]Academic Supp'!H39+'[1]Student Services'!H39+'[1]Institutional Supp'!H39+[1]Scholarships!H39+'[1]OP&amp;M'!H39+[1]Hospitals!H39+[1]Transfers!H39+[1]Other!H39</f>
        <v>442153</v>
      </c>
      <c r="D84" s="28">
        <f>[1]Instruction!J39+[1]Research!J39+'[1]Public Service'!J39+'[1]Academic Supp'!J39+'[1]Student Services'!J39+'[1]Institutional Supp'!J39+[1]Scholarships!J39+'[1]OP&amp;M'!J39+[1]Hospitals!J39+[1]Transfers!J39+[1]Other!J39</f>
        <v>438099</v>
      </c>
      <c r="E84" s="28">
        <f t="shared" si="6"/>
        <v>-4054</v>
      </c>
      <c r="F84" s="24">
        <f t="shared" si="7"/>
        <v>-9.1687718957012623E-3</v>
      </c>
    </row>
    <row r="85" spans="1:12" s="36" customFormat="1" ht="26.25">
      <c r="A85" s="32" t="s">
        <v>85</v>
      </c>
      <c r="B85" s="300">
        <v>924361</v>
      </c>
      <c r="C85" s="34">
        <f>SUM(C81:C84)</f>
        <v>980739</v>
      </c>
      <c r="D85" s="34">
        <f>SUM(D81:D84)</f>
        <v>996564</v>
      </c>
      <c r="E85" s="34">
        <f t="shared" si="6"/>
        <v>15825</v>
      </c>
      <c r="F85" s="35">
        <f t="shared" si="7"/>
        <v>1.6135791479690315E-2</v>
      </c>
    </row>
    <row r="86" spans="1:12" s="13" customFormat="1" ht="26.25">
      <c r="A86" s="29" t="s">
        <v>86</v>
      </c>
      <c r="B86" s="299">
        <v>312094</v>
      </c>
      <c r="C86" s="28">
        <f>[1]Instruction!H32+[1]Instruction!H34+[1]Research!H32+[1]Research!H34+'[1]Public Service'!H32+'[1]Public Service'!H34+'[1]Academic Supp'!H32+'[1]Academic Supp'!H34+'[1]Student Services'!H32+'[1]Student Services'!H34+'[1]Institutional Supp'!H32+'[1]Institutional Supp'!H34+[1]Scholarships!H32+[1]Scholarships!H34+'[1]OP&amp;M'!H32+'[1]OP&amp;M'!H34+[1]Hospitals!H32+[1]Hospitals!H34+[1]Transfers!H32+[1]Transfers!H34+[1]Other!H32+[1]Other!H34</f>
        <v>205223</v>
      </c>
      <c r="D86" s="28">
        <f>[1]Instruction!J32+[1]Instruction!J34+[1]Research!J32+[1]Research!J34+'[1]Public Service'!J32+'[1]Public Service'!J34+'[1]Academic Supp'!J32+'[1]Academic Supp'!J34+'[1]Student Services'!J32+'[1]Student Services'!J34+'[1]Institutional Supp'!J32+'[1]Institutional Supp'!J34+[1]Scholarships!J32+[1]Scholarships!J34+'[1]OP&amp;M'!J32+'[1]OP&amp;M'!J34+[1]Hospitals!J32+[1]Hospitals!J34+[1]Transfers!J32+[1]Transfers!J34+[1]Other!J32+[1]Other!J34</f>
        <v>94253</v>
      </c>
      <c r="E86" s="28">
        <f t="shared" si="6"/>
        <v>-110970</v>
      </c>
      <c r="F86" s="24">
        <f t="shared" si="7"/>
        <v>-0.54072886567295086</v>
      </c>
    </row>
    <row r="87" spans="1:12" s="13" customFormat="1" ht="26.25">
      <c r="A87" s="29" t="s">
        <v>87</v>
      </c>
      <c r="B87" s="299">
        <v>34856</v>
      </c>
      <c r="C87" s="28">
        <f>[1]Instruction!H31+[1]Research!H31+'[1]Public Service'!H31+'[1]Academic Supp'!H31+'[1]Student Services'!H31+'[1]Institutional Supp'!H31+[1]Scholarships!H31+'[1]OP&amp;M'!H31+[1]Hospitals!H31+[1]Transfers!H31+[1]Other!H31</f>
        <v>27500</v>
      </c>
      <c r="D87" s="28">
        <f>[1]Instruction!J31+[1]Research!J31+'[1]Public Service'!J31+'[1]Academic Supp'!J31+'[1]Student Services'!J31+'[1]Institutional Supp'!J31+[1]Scholarships!J31+'[1]OP&amp;M'!J31+[1]Hospitals!J31+[1]Transfers!J31+[1]Other!J31</f>
        <v>55000</v>
      </c>
      <c r="E87" s="28">
        <f t="shared" si="6"/>
        <v>27500</v>
      </c>
      <c r="F87" s="24">
        <f t="shared" si="7"/>
        <v>1</v>
      </c>
    </row>
    <row r="88" spans="1:12" s="13" customFormat="1" ht="26.25">
      <c r="A88" s="38" t="s">
        <v>88</v>
      </c>
      <c r="B88" s="299">
        <v>0</v>
      </c>
      <c r="C88" s="28">
        <f>[1]Instruction!H33+[1]Research!H33+'[1]Public Service'!H33+'[1]Academic Supp'!H33+'[1]Student Services'!H33+'[1]Institutional Supp'!H33+[1]Scholarships!H33+'[1]OP&amp;M'!H33+[1]Hospitals!H33+[1]Transfers!H33+[1]Other!H33</f>
        <v>0</v>
      </c>
      <c r="D88" s="28">
        <f>[1]Instruction!J33+[1]Research!J33+'[1]Public Service'!J33+'[1]Academic Supp'!J33+'[1]Student Services'!J33+'[1]Institutional Supp'!J33+[1]Scholarships!J33+'[1]OP&amp;M'!J33+[1]Hospitals!J33+[1]Transfers!J33++[1]Other!J33</f>
        <v>0</v>
      </c>
      <c r="E88" s="28">
        <f t="shared" si="6"/>
        <v>0</v>
      </c>
      <c r="F88" s="24">
        <f t="shared" si="7"/>
        <v>0</v>
      </c>
    </row>
    <row r="89" spans="1:12" s="36" customFormat="1" ht="26.25">
      <c r="A89" s="52" t="s">
        <v>89</v>
      </c>
      <c r="B89" s="301">
        <v>346950</v>
      </c>
      <c r="C89" s="51">
        <f>SUM(C86:C88)</f>
        <v>232723</v>
      </c>
      <c r="D89" s="51">
        <f>SUM(D86:D88)</f>
        <v>149253</v>
      </c>
      <c r="E89" s="51">
        <f t="shared" si="6"/>
        <v>-83470</v>
      </c>
      <c r="F89" s="35">
        <f t="shared" si="7"/>
        <v>-0.35866674114720076</v>
      </c>
    </row>
    <row r="90" spans="1:12" s="13" customFormat="1" ht="26.25">
      <c r="A90" s="38" t="s">
        <v>90</v>
      </c>
      <c r="B90" s="299">
        <v>0</v>
      </c>
      <c r="C90" s="28">
        <f>[1]Instruction!H42+[1]Research!H42+'[1]Public Service'!H42+'[1]Academic Supp'!H41+'[1]Student Services'!H41+'[1]Institutional Supp'!H41+[1]Scholarships!H41+'[1]OP&amp;M'!H41+[1]Hospitals!H41+[1]Transfers!H41+[1]Other!H41</f>
        <v>0</v>
      </c>
      <c r="D90" s="26">
        <f>[1]Instruction!J42+[1]Research!J42+'[1]Public Service'!J42+'[1]Academic Supp'!J41+'[1]Student Services'!J41+'[1]Institutional Supp'!J41+[1]Scholarships!J41+'[1]OP&amp;M'!J41+[1]Hospitals!J41+[1]Transfers!J41+[1]Other!J41</f>
        <v>0</v>
      </c>
      <c r="E90" s="28">
        <f t="shared" si="6"/>
        <v>0</v>
      </c>
      <c r="F90" s="24">
        <f t="shared" si="7"/>
        <v>0</v>
      </c>
    </row>
    <row r="91" spans="1:12" s="36" customFormat="1" ht="27" thickBot="1">
      <c r="A91" s="53" t="s">
        <v>71</v>
      </c>
      <c r="B91" s="302">
        <v>13582978</v>
      </c>
      <c r="C91" s="54">
        <f>C89+C85+C80+C76+C90</f>
        <v>13692192</v>
      </c>
      <c r="D91" s="55">
        <f>D89+D85+D80+D76+D90</f>
        <v>13845516</v>
      </c>
      <c r="E91" s="54">
        <f t="shared" si="6"/>
        <v>153324</v>
      </c>
      <c r="F91" s="56">
        <f t="shared" si="7"/>
        <v>1.1197914840808542E-2</v>
      </c>
    </row>
    <row r="92" spans="1:12" s="60" customFormat="1" ht="32.25" thickBot="1">
      <c r="A92" s="57"/>
      <c r="B92" s="58"/>
      <c r="C92" s="58"/>
      <c r="D92" s="58"/>
      <c r="E92" s="59"/>
      <c r="F92" s="59"/>
    </row>
    <row r="93" spans="1:12" s="60" customFormat="1" ht="31.5">
      <c r="A93" s="160" t="s">
        <v>43</v>
      </c>
      <c r="B93" s="161"/>
      <c r="C93" s="161"/>
      <c r="D93" s="162"/>
      <c r="E93" s="161"/>
      <c r="F93" s="163"/>
      <c r="G93" s="13"/>
      <c r="H93" s="13"/>
      <c r="I93" s="13"/>
      <c r="J93" s="13"/>
      <c r="K93" s="13"/>
      <c r="L93" s="13"/>
    </row>
    <row r="94" spans="1:12" s="60" customFormat="1" ht="31.5" hidden="1">
      <c r="A94" s="164" t="s">
        <v>121</v>
      </c>
      <c r="B94" s="165">
        <v>0</v>
      </c>
      <c r="C94" s="165">
        <f>+[1]Revenue!H93</f>
        <v>0</v>
      </c>
      <c r="D94" s="166"/>
      <c r="E94" s="165">
        <f t="shared" ref="E94:E99" si="8">D94-C94</f>
        <v>0</v>
      </c>
      <c r="F94" s="167">
        <f t="shared" ref="F94:F99" si="9">IF(ISBLANK(E94),"  ",IF(C94&gt;0,E94/C94,IF(E94&gt;0,1,0)))</f>
        <v>0</v>
      </c>
      <c r="G94" s="13"/>
      <c r="H94" s="13"/>
      <c r="I94" s="13"/>
      <c r="J94" s="13"/>
      <c r="K94" s="13"/>
      <c r="L94" s="13"/>
    </row>
    <row r="95" spans="1:12" ht="26.25" hidden="1">
      <c r="A95" s="234" t="s">
        <v>45</v>
      </c>
      <c r="B95" s="189">
        <v>0</v>
      </c>
      <c r="C95" s="189">
        <f>+[1]Revenue!H94</f>
        <v>0</v>
      </c>
      <c r="D95" s="190"/>
      <c r="E95" s="198">
        <f t="shared" si="8"/>
        <v>0</v>
      </c>
      <c r="F95" s="235">
        <f t="shared" si="9"/>
        <v>0</v>
      </c>
      <c r="G95" s="13"/>
      <c r="H95" s="13"/>
      <c r="I95" s="13"/>
      <c r="J95" s="13"/>
      <c r="K95" s="13"/>
      <c r="L95" s="13"/>
    </row>
    <row r="96" spans="1:12" s="242" customFormat="1" ht="26.25">
      <c r="A96" s="236" t="s">
        <v>122</v>
      </c>
      <c r="B96" s="303">
        <v>881007</v>
      </c>
      <c r="C96" s="237">
        <f>+[1]Revenue!H95</f>
        <v>114592</v>
      </c>
      <c r="D96" s="238"/>
      <c r="E96" s="237">
        <f t="shared" si="8"/>
        <v>-114592</v>
      </c>
      <c r="F96" s="240">
        <f t="shared" si="9"/>
        <v>-1</v>
      </c>
      <c r="G96" s="241"/>
      <c r="H96" s="241"/>
      <c r="I96" s="241"/>
      <c r="J96" s="241"/>
      <c r="K96" s="241"/>
      <c r="L96" s="241"/>
    </row>
    <row r="97" spans="1:12" ht="26.25" hidden="1">
      <c r="A97" s="164" t="s">
        <v>47</v>
      </c>
      <c r="B97" s="165">
        <v>0</v>
      </c>
      <c r="C97" s="165">
        <f>+[1]Revenue!H96</f>
        <v>0</v>
      </c>
      <c r="D97" s="166"/>
      <c r="E97" s="165">
        <f t="shared" si="8"/>
        <v>0</v>
      </c>
      <c r="F97" s="167">
        <f t="shared" si="9"/>
        <v>0</v>
      </c>
      <c r="G97" s="13"/>
      <c r="H97" s="13"/>
      <c r="I97" s="13"/>
      <c r="J97" s="13"/>
      <c r="K97" s="13"/>
      <c r="L97" s="13"/>
    </row>
    <row r="98" spans="1:12" ht="26.25" hidden="1">
      <c r="A98" s="170" t="s">
        <v>48</v>
      </c>
      <c r="B98" s="165">
        <v>0</v>
      </c>
      <c r="C98" s="165">
        <f>+[1]Revenue!H97</f>
        <v>0</v>
      </c>
      <c r="D98" s="166"/>
      <c r="E98" s="169">
        <f t="shared" si="8"/>
        <v>0</v>
      </c>
      <c r="F98" s="167">
        <f t="shared" si="9"/>
        <v>0</v>
      </c>
      <c r="G98" s="13"/>
      <c r="H98" s="13"/>
      <c r="I98" s="13"/>
      <c r="J98" s="13"/>
      <c r="K98" s="13"/>
      <c r="L98" s="13"/>
    </row>
    <row r="99" spans="1:12" ht="27" thickBot="1">
      <c r="A99" s="171" t="s">
        <v>49</v>
      </c>
      <c r="B99" s="172">
        <v>881007</v>
      </c>
      <c r="C99" s="172">
        <f>SUM(C94:C98)</f>
        <v>114592</v>
      </c>
      <c r="D99" s="173">
        <f>SUM(D94:D98)</f>
        <v>0</v>
      </c>
      <c r="E99" s="172">
        <f t="shared" si="8"/>
        <v>-114592</v>
      </c>
      <c r="F99" s="174">
        <f t="shared" si="9"/>
        <v>-1</v>
      </c>
      <c r="G99" s="36"/>
      <c r="H99" s="36"/>
      <c r="I99" s="36"/>
      <c r="J99" s="36" t="s">
        <v>50</v>
      </c>
      <c r="K99" s="36"/>
      <c r="L99" s="36"/>
    </row>
    <row r="100" spans="1:12" ht="26.25">
      <c r="A100" s="175"/>
      <c r="B100" s="176"/>
      <c r="C100" s="176"/>
      <c r="D100" s="176"/>
      <c r="E100" s="176"/>
      <c r="F100" s="177"/>
      <c r="G100" s="36"/>
      <c r="H100" s="36"/>
      <c r="I100" s="36"/>
      <c r="J100" s="36"/>
      <c r="K100" s="36"/>
      <c r="L100" s="36"/>
    </row>
    <row r="101" spans="1:12" ht="31.5">
      <c r="A101" s="61" t="s">
        <v>91</v>
      </c>
      <c r="B101" s="62"/>
      <c r="C101" s="62"/>
      <c r="D101" s="62"/>
      <c r="E101" s="59"/>
      <c r="F101" s="59"/>
      <c r="G101" s="60"/>
      <c r="H101" s="60"/>
      <c r="I101" s="60"/>
      <c r="J101" s="60"/>
      <c r="K101" s="60"/>
      <c r="L101" s="60"/>
    </row>
    <row r="102" spans="1:12" ht="31.5">
      <c r="A102" s="61" t="s">
        <v>92</v>
      </c>
      <c r="B102" s="62"/>
      <c r="C102" s="62"/>
      <c r="D102" s="62"/>
      <c r="E102" s="59"/>
      <c r="F102" s="59"/>
      <c r="G102" s="60"/>
      <c r="H102" s="60"/>
      <c r="I102" s="60"/>
      <c r="J102" s="60"/>
      <c r="K102" s="60"/>
      <c r="L102" s="60"/>
    </row>
    <row r="103" spans="1:12" ht="30">
      <c r="A103" s="178" t="s">
        <v>123</v>
      </c>
      <c r="B103" s="64"/>
      <c r="C103" s="64"/>
      <c r="D103" s="64"/>
    </row>
  </sheetData>
  <pageMargins left="0.7" right="0.7" top="0.3" bottom="0.3" header="0.3" footer="0.3"/>
  <pageSetup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3"/>
  <sheetViews>
    <sheetView topLeftCell="A61" zoomScale="50" zoomScaleNormal="50" workbookViewId="0">
      <selection activeCell="B8" sqref="B8:B99"/>
    </sheetView>
  </sheetViews>
  <sheetFormatPr defaultRowHeight="15.75"/>
  <cols>
    <col min="1" max="1" width="108.85546875" style="65" customWidth="1"/>
    <col min="2" max="2" width="32.7109375" style="66" customWidth="1"/>
    <col min="3" max="4" width="32.85546875" style="66" customWidth="1"/>
    <col min="5" max="5" width="35.42578125" style="65" customWidth="1"/>
    <col min="6" max="6" width="30.28515625" style="65" customWidth="1"/>
    <col min="7" max="254" width="9.140625" style="65"/>
    <col min="255" max="255" width="108.85546875" style="65" customWidth="1"/>
    <col min="256" max="256" width="32.7109375" style="65" customWidth="1"/>
    <col min="257" max="258" width="32.85546875" style="65" customWidth="1"/>
    <col min="259" max="259" width="29.7109375" style="65" customWidth="1"/>
    <col min="260" max="260" width="30.7109375" style="65" customWidth="1"/>
    <col min="261" max="261" width="35.42578125" style="65" customWidth="1"/>
    <col min="262" max="262" width="30.28515625" style="65" customWidth="1"/>
    <col min="263" max="510" width="9.140625" style="65"/>
    <col min="511" max="511" width="108.85546875" style="65" customWidth="1"/>
    <col min="512" max="512" width="32.7109375" style="65" customWidth="1"/>
    <col min="513" max="514" width="32.85546875" style="65" customWidth="1"/>
    <col min="515" max="515" width="29.7109375" style="65" customWidth="1"/>
    <col min="516" max="516" width="30.7109375" style="65" customWidth="1"/>
    <col min="517" max="517" width="35.42578125" style="65" customWidth="1"/>
    <col min="518" max="518" width="30.28515625" style="65" customWidth="1"/>
    <col min="519" max="766" width="9.140625" style="65"/>
    <col min="767" max="767" width="108.85546875" style="65" customWidth="1"/>
    <col min="768" max="768" width="32.7109375" style="65" customWidth="1"/>
    <col min="769" max="770" width="32.85546875" style="65" customWidth="1"/>
    <col min="771" max="771" width="29.7109375" style="65" customWidth="1"/>
    <col min="772" max="772" width="30.7109375" style="65" customWidth="1"/>
    <col min="773" max="773" width="35.42578125" style="65" customWidth="1"/>
    <col min="774" max="774" width="30.28515625" style="65" customWidth="1"/>
    <col min="775" max="1022" width="9.140625" style="65"/>
    <col min="1023" max="1023" width="108.85546875" style="65" customWidth="1"/>
    <col min="1024" max="1024" width="32.7109375" style="65" customWidth="1"/>
    <col min="1025" max="1026" width="32.85546875" style="65" customWidth="1"/>
    <col min="1027" max="1027" width="29.7109375" style="65" customWidth="1"/>
    <col min="1028" max="1028" width="30.7109375" style="65" customWidth="1"/>
    <col min="1029" max="1029" width="35.42578125" style="65" customWidth="1"/>
    <col min="1030" max="1030" width="30.28515625" style="65" customWidth="1"/>
    <col min="1031" max="1278" width="9.140625" style="65"/>
    <col min="1279" max="1279" width="108.85546875" style="65" customWidth="1"/>
    <col min="1280" max="1280" width="32.7109375" style="65" customWidth="1"/>
    <col min="1281" max="1282" width="32.85546875" style="65" customWidth="1"/>
    <col min="1283" max="1283" width="29.7109375" style="65" customWidth="1"/>
    <col min="1284" max="1284" width="30.7109375" style="65" customWidth="1"/>
    <col min="1285" max="1285" width="35.42578125" style="65" customWidth="1"/>
    <col min="1286" max="1286" width="30.28515625" style="65" customWidth="1"/>
    <col min="1287" max="1534" width="9.140625" style="65"/>
    <col min="1535" max="1535" width="108.85546875" style="65" customWidth="1"/>
    <col min="1536" max="1536" width="32.7109375" style="65" customWidth="1"/>
    <col min="1537" max="1538" width="32.85546875" style="65" customWidth="1"/>
    <col min="1539" max="1539" width="29.7109375" style="65" customWidth="1"/>
    <col min="1540" max="1540" width="30.7109375" style="65" customWidth="1"/>
    <col min="1541" max="1541" width="35.42578125" style="65" customWidth="1"/>
    <col min="1542" max="1542" width="30.28515625" style="65" customWidth="1"/>
    <col min="1543" max="1790" width="9.140625" style="65"/>
    <col min="1791" max="1791" width="108.85546875" style="65" customWidth="1"/>
    <col min="1792" max="1792" width="32.7109375" style="65" customWidth="1"/>
    <col min="1793" max="1794" width="32.85546875" style="65" customWidth="1"/>
    <col min="1795" max="1795" width="29.7109375" style="65" customWidth="1"/>
    <col min="1796" max="1796" width="30.7109375" style="65" customWidth="1"/>
    <col min="1797" max="1797" width="35.42578125" style="65" customWidth="1"/>
    <col min="1798" max="1798" width="30.28515625" style="65" customWidth="1"/>
    <col min="1799" max="2046" width="9.140625" style="65"/>
    <col min="2047" max="2047" width="108.85546875" style="65" customWidth="1"/>
    <col min="2048" max="2048" width="32.7109375" style="65" customWidth="1"/>
    <col min="2049" max="2050" width="32.85546875" style="65" customWidth="1"/>
    <col min="2051" max="2051" width="29.7109375" style="65" customWidth="1"/>
    <col min="2052" max="2052" width="30.7109375" style="65" customWidth="1"/>
    <col min="2053" max="2053" width="35.42578125" style="65" customWidth="1"/>
    <col min="2054" max="2054" width="30.28515625" style="65" customWidth="1"/>
    <col min="2055" max="2302" width="9.140625" style="65"/>
    <col min="2303" max="2303" width="108.85546875" style="65" customWidth="1"/>
    <col min="2304" max="2304" width="32.7109375" style="65" customWidth="1"/>
    <col min="2305" max="2306" width="32.85546875" style="65" customWidth="1"/>
    <col min="2307" max="2307" width="29.7109375" style="65" customWidth="1"/>
    <col min="2308" max="2308" width="30.7109375" style="65" customWidth="1"/>
    <col min="2309" max="2309" width="35.42578125" style="65" customWidth="1"/>
    <col min="2310" max="2310" width="30.28515625" style="65" customWidth="1"/>
    <col min="2311" max="2558" width="9.140625" style="65"/>
    <col min="2559" max="2559" width="108.85546875" style="65" customWidth="1"/>
    <col min="2560" max="2560" width="32.7109375" style="65" customWidth="1"/>
    <col min="2561" max="2562" width="32.85546875" style="65" customWidth="1"/>
    <col min="2563" max="2563" width="29.7109375" style="65" customWidth="1"/>
    <col min="2564" max="2564" width="30.7109375" style="65" customWidth="1"/>
    <col min="2565" max="2565" width="35.42578125" style="65" customWidth="1"/>
    <col min="2566" max="2566" width="30.28515625" style="65" customWidth="1"/>
    <col min="2567" max="2814" width="9.140625" style="65"/>
    <col min="2815" max="2815" width="108.85546875" style="65" customWidth="1"/>
    <col min="2816" max="2816" width="32.7109375" style="65" customWidth="1"/>
    <col min="2817" max="2818" width="32.85546875" style="65" customWidth="1"/>
    <col min="2819" max="2819" width="29.7109375" style="65" customWidth="1"/>
    <col min="2820" max="2820" width="30.7109375" style="65" customWidth="1"/>
    <col min="2821" max="2821" width="35.42578125" style="65" customWidth="1"/>
    <col min="2822" max="2822" width="30.28515625" style="65" customWidth="1"/>
    <col min="2823" max="3070" width="9.140625" style="65"/>
    <col min="3071" max="3071" width="108.85546875" style="65" customWidth="1"/>
    <col min="3072" max="3072" width="32.7109375" style="65" customWidth="1"/>
    <col min="3073" max="3074" width="32.85546875" style="65" customWidth="1"/>
    <col min="3075" max="3075" width="29.7109375" style="65" customWidth="1"/>
    <col min="3076" max="3076" width="30.7109375" style="65" customWidth="1"/>
    <col min="3077" max="3077" width="35.42578125" style="65" customWidth="1"/>
    <col min="3078" max="3078" width="30.28515625" style="65" customWidth="1"/>
    <col min="3079" max="3326" width="9.140625" style="65"/>
    <col min="3327" max="3327" width="108.85546875" style="65" customWidth="1"/>
    <col min="3328" max="3328" width="32.7109375" style="65" customWidth="1"/>
    <col min="3329" max="3330" width="32.85546875" style="65" customWidth="1"/>
    <col min="3331" max="3331" width="29.7109375" style="65" customWidth="1"/>
    <col min="3332" max="3332" width="30.7109375" style="65" customWidth="1"/>
    <col min="3333" max="3333" width="35.42578125" style="65" customWidth="1"/>
    <col min="3334" max="3334" width="30.28515625" style="65" customWidth="1"/>
    <col min="3335" max="3582" width="9.140625" style="65"/>
    <col min="3583" max="3583" width="108.85546875" style="65" customWidth="1"/>
    <col min="3584" max="3584" width="32.7109375" style="65" customWidth="1"/>
    <col min="3585" max="3586" width="32.85546875" style="65" customWidth="1"/>
    <col min="3587" max="3587" width="29.7109375" style="65" customWidth="1"/>
    <col min="3588" max="3588" width="30.7109375" style="65" customWidth="1"/>
    <col min="3589" max="3589" width="35.42578125" style="65" customWidth="1"/>
    <col min="3590" max="3590" width="30.28515625" style="65" customWidth="1"/>
    <col min="3591" max="3838" width="9.140625" style="65"/>
    <col min="3839" max="3839" width="108.85546875" style="65" customWidth="1"/>
    <col min="3840" max="3840" width="32.7109375" style="65" customWidth="1"/>
    <col min="3841" max="3842" width="32.85546875" style="65" customWidth="1"/>
    <col min="3843" max="3843" width="29.7109375" style="65" customWidth="1"/>
    <col min="3844" max="3844" width="30.7109375" style="65" customWidth="1"/>
    <col min="3845" max="3845" width="35.42578125" style="65" customWidth="1"/>
    <col min="3846" max="3846" width="30.28515625" style="65" customWidth="1"/>
    <col min="3847" max="4094" width="9.140625" style="65"/>
    <col min="4095" max="4095" width="108.85546875" style="65" customWidth="1"/>
    <col min="4096" max="4096" width="32.7109375" style="65" customWidth="1"/>
    <col min="4097" max="4098" width="32.85546875" style="65" customWidth="1"/>
    <col min="4099" max="4099" width="29.7109375" style="65" customWidth="1"/>
    <col min="4100" max="4100" width="30.7109375" style="65" customWidth="1"/>
    <col min="4101" max="4101" width="35.42578125" style="65" customWidth="1"/>
    <col min="4102" max="4102" width="30.28515625" style="65" customWidth="1"/>
    <col min="4103" max="4350" width="9.140625" style="65"/>
    <col min="4351" max="4351" width="108.85546875" style="65" customWidth="1"/>
    <col min="4352" max="4352" width="32.7109375" style="65" customWidth="1"/>
    <col min="4353" max="4354" width="32.85546875" style="65" customWidth="1"/>
    <col min="4355" max="4355" width="29.7109375" style="65" customWidth="1"/>
    <col min="4356" max="4356" width="30.7109375" style="65" customWidth="1"/>
    <col min="4357" max="4357" width="35.42578125" style="65" customWidth="1"/>
    <col min="4358" max="4358" width="30.28515625" style="65" customWidth="1"/>
    <col min="4359" max="4606" width="9.140625" style="65"/>
    <col min="4607" max="4607" width="108.85546875" style="65" customWidth="1"/>
    <col min="4608" max="4608" width="32.7109375" style="65" customWidth="1"/>
    <col min="4609" max="4610" width="32.85546875" style="65" customWidth="1"/>
    <col min="4611" max="4611" width="29.7109375" style="65" customWidth="1"/>
    <col min="4612" max="4612" width="30.7109375" style="65" customWidth="1"/>
    <col min="4613" max="4613" width="35.42578125" style="65" customWidth="1"/>
    <col min="4614" max="4614" width="30.28515625" style="65" customWidth="1"/>
    <col min="4615" max="4862" width="9.140625" style="65"/>
    <col min="4863" max="4863" width="108.85546875" style="65" customWidth="1"/>
    <col min="4864" max="4864" width="32.7109375" style="65" customWidth="1"/>
    <col min="4865" max="4866" width="32.85546875" style="65" customWidth="1"/>
    <col min="4867" max="4867" width="29.7109375" style="65" customWidth="1"/>
    <col min="4868" max="4868" width="30.7109375" style="65" customWidth="1"/>
    <col min="4869" max="4869" width="35.42578125" style="65" customWidth="1"/>
    <col min="4870" max="4870" width="30.28515625" style="65" customWidth="1"/>
    <col min="4871" max="5118" width="9.140625" style="65"/>
    <col min="5119" max="5119" width="108.85546875" style="65" customWidth="1"/>
    <col min="5120" max="5120" width="32.7109375" style="65" customWidth="1"/>
    <col min="5121" max="5122" width="32.85546875" style="65" customWidth="1"/>
    <col min="5123" max="5123" width="29.7109375" style="65" customWidth="1"/>
    <col min="5124" max="5124" width="30.7109375" style="65" customWidth="1"/>
    <col min="5125" max="5125" width="35.42578125" style="65" customWidth="1"/>
    <col min="5126" max="5126" width="30.28515625" style="65" customWidth="1"/>
    <col min="5127" max="5374" width="9.140625" style="65"/>
    <col min="5375" max="5375" width="108.85546875" style="65" customWidth="1"/>
    <col min="5376" max="5376" width="32.7109375" style="65" customWidth="1"/>
    <col min="5377" max="5378" width="32.85546875" style="65" customWidth="1"/>
    <col min="5379" max="5379" width="29.7109375" style="65" customWidth="1"/>
    <col min="5380" max="5380" width="30.7109375" style="65" customWidth="1"/>
    <col min="5381" max="5381" width="35.42578125" style="65" customWidth="1"/>
    <col min="5382" max="5382" width="30.28515625" style="65" customWidth="1"/>
    <col min="5383" max="5630" width="9.140625" style="65"/>
    <col min="5631" max="5631" width="108.85546875" style="65" customWidth="1"/>
    <col min="5632" max="5632" width="32.7109375" style="65" customWidth="1"/>
    <col min="5633" max="5634" width="32.85546875" style="65" customWidth="1"/>
    <col min="5635" max="5635" width="29.7109375" style="65" customWidth="1"/>
    <col min="5636" max="5636" width="30.7109375" style="65" customWidth="1"/>
    <col min="5637" max="5637" width="35.42578125" style="65" customWidth="1"/>
    <col min="5638" max="5638" width="30.28515625" style="65" customWidth="1"/>
    <col min="5639" max="5886" width="9.140625" style="65"/>
    <col min="5887" max="5887" width="108.85546875" style="65" customWidth="1"/>
    <col min="5888" max="5888" width="32.7109375" style="65" customWidth="1"/>
    <col min="5889" max="5890" width="32.85546875" style="65" customWidth="1"/>
    <col min="5891" max="5891" width="29.7109375" style="65" customWidth="1"/>
    <col min="5892" max="5892" width="30.7109375" style="65" customWidth="1"/>
    <col min="5893" max="5893" width="35.42578125" style="65" customWidth="1"/>
    <col min="5894" max="5894" width="30.28515625" style="65" customWidth="1"/>
    <col min="5895" max="6142" width="9.140625" style="65"/>
    <col min="6143" max="6143" width="108.85546875" style="65" customWidth="1"/>
    <col min="6144" max="6144" width="32.7109375" style="65" customWidth="1"/>
    <col min="6145" max="6146" width="32.85546875" style="65" customWidth="1"/>
    <col min="6147" max="6147" width="29.7109375" style="65" customWidth="1"/>
    <col min="6148" max="6148" width="30.7109375" style="65" customWidth="1"/>
    <col min="6149" max="6149" width="35.42578125" style="65" customWidth="1"/>
    <col min="6150" max="6150" width="30.28515625" style="65" customWidth="1"/>
    <col min="6151" max="6398" width="9.140625" style="65"/>
    <col min="6399" max="6399" width="108.85546875" style="65" customWidth="1"/>
    <col min="6400" max="6400" width="32.7109375" style="65" customWidth="1"/>
    <col min="6401" max="6402" width="32.85546875" style="65" customWidth="1"/>
    <col min="6403" max="6403" width="29.7109375" style="65" customWidth="1"/>
    <col min="6404" max="6404" width="30.7109375" style="65" customWidth="1"/>
    <col min="6405" max="6405" width="35.42578125" style="65" customWidth="1"/>
    <col min="6406" max="6406" width="30.28515625" style="65" customWidth="1"/>
    <col min="6407" max="6654" width="9.140625" style="65"/>
    <col min="6655" max="6655" width="108.85546875" style="65" customWidth="1"/>
    <col min="6656" max="6656" width="32.7109375" style="65" customWidth="1"/>
    <col min="6657" max="6658" width="32.85546875" style="65" customWidth="1"/>
    <col min="6659" max="6659" width="29.7109375" style="65" customWidth="1"/>
    <col min="6660" max="6660" width="30.7109375" style="65" customWidth="1"/>
    <col min="6661" max="6661" width="35.42578125" style="65" customWidth="1"/>
    <col min="6662" max="6662" width="30.28515625" style="65" customWidth="1"/>
    <col min="6663" max="6910" width="9.140625" style="65"/>
    <col min="6911" max="6911" width="108.85546875" style="65" customWidth="1"/>
    <col min="6912" max="6912" width="32.7109375" style="65" customWidth="1"/>
    <col min="6913" max="6914" width="32.85546875" style="65" customWidth="1"/>
    <col min="6915" max="6915" width="29.7109375" style="65" customWidth="1"/>
    <col min="6916" max="6916" width="30.7109375" style="65" customWidth="1"/>
    <col min="6917" max="6917" width="35.42578125" style="65" customWidth="1"/>
    <col min="6918" max="6918" width="30.28515625" style="65" customWidth="1"/>
    <col min="6919" max="7166" width="9.140625" style="65"/>
    <col min="7167" max="7167" width="108.85546875" style="65" customWidth="1"/>
    <col min="7168" max="7168" width="32.7109375" style="65" customWidth="1"/>
    <col min="7169" max="7170" width="32.85546875" style="65" customWidth="1"/>
    <col min="7171" max="7171" width="29.7109375" style="65" customWidth="1"/>
    <col min="7172" max="7172" width="30.7109375" style="65" customWidth="1"/>
    <col min="7173" max="7173" width="35.42578125" style="65" customWidth="1"/>
    <col min="7174" max="7174" width="30.28515625" style="65" customWidth="1"/>
    <col min="7175" max="7422" width="9.140625" style="65"/>
    <col min="7423" max="7423" width="108.85546875" style="65" customWidth="1"/>
    <col min="7424" max="7424" width="32.7109375" style="65" customWidth="1"/>
    <col min="7425" max="7426" width="32.85546875" style="65" customWidth="1"/>
    <col min="7427" max="7427" width="29.7109375" style="65" customWidth="1"/>
    <col min="7428" max="7428" width="30.7109375" style="65" customWidth="1"/>
    <col min="7429" max="7429" width="35.42578125" style="65" customWidth="1"/>
    <col min="7430" max="7430" width="30.28515625" style="65" customWidth="1"/>
    <col min="7431" max="7678" width="9.140625" style="65"/>
    <col min="7679" max="7679" width="108.85546875" style="65" customWidth="1"/>
    <col min="7680" max="7680" width="32.7109375" style="65" customWidth="1"/>
    <col min="7681" max="7682" width="32.85546875" style="65" customWidth="1"/>
    <col min="7683" max="7683" width="29.7109375" style="65" customWidth="1"/>
    <col min="7684" max="7684" width="30.7109375" style="65" customWidth="1"/>
    <col min="7685" max="7685" width="35.42578125" style="65" customWidth="1"/>
    <col min="7686" max="7686" width="30.28515625" style="65" customWidth="1"/>
    <col min="7687" max="7934" width="9.140625" style="65"/>
    <col min="7935" max="7935" width="108.85546875" style="65" customWidth="1"/>
    <col min="7936" max="7936" width="32.7109375" style="65" customWidth="1"/>
    <col min="7937" max="7938" width="32.85546875" style="65" customWidth="1"/>
    <col min="7939" max="7939" width="29.7109375" style="65" customWidth="1"/>
    <col min="7940" max="7940" width="30.7109375" style="65" customWidth="1"/>
    <col min="7941" max="7941" width="35.42578125" style="65" customWidth="1"/>
    <col min="7942" max="7942" width="30.28515625" style="65" customWidth="1"/>
    <col min="7943" max="8190" width="9.140625" style="65"/>
    <col min="8191" max="8191" width="108.85546875" style="65" customWidth="1"/>
    <col min="8192" max="8192" width="32.7109375" style="65" customWidth="1"/>
    <col min="8193" max="8194" width="32.85546875" style="65" customWidth="1"/>
    <col min="8195" max="8195" width="29.7109375" style="65" customWidth="1"/>
    <col min="8196" max="8196" width="30.7109375" style="65" customWidth="1"/>
    <col min="8197" max="8197" width="35.42578125" style="65" customWidth="1"/>
    <col min="8198" max="8198" width="30.28515625" style="65" customWidth="1"/>
    <col min="8199" max="8446" width="9.140625" style="65"/>
    <col min="8447" max="8447" width="108.85546875" style="65" customWidth="1"/>
    <col min="8448" max="8448" width="32.7109375" style="65" customWidth="1"/>
    <col min="8449" max="8450" width="32.85546875" style="65" customWidth="1"/>
    <col min="8451" max="8451" width="29.7109375" style="65" customWidth="1"/>
    <col min="8452" max="8452" width="30.7109375" style="65" customWidth="1"/>
    <col min="8453" max="8453" width="35.42578125" style="65" customWidth="1"/>
    <col min="8454" max="8454" width="30.28515625" style="65" customWidth="1"/>
    <col min="8455" max="8702" width="9.140625" style="65"/>
    <col min="8703" max="8703" width="108.85546875" style="65" customWidth="1"/>
    <col min="8704" max="8704" width="32.7109375" style="65" customWidth="1"/>
    <col min="8705" max="8706" width="32.85546875" style="65" customWidth="1"/>
    <col min="8707" max="8707" width="29.7109375" style="65" customWidth="1"/>
    <col min="8708" max="8708" width="30.7109375" style="65" customWidth="1"/>
    <col min="8709" max="8709" width="35.42578125" style="65" customWidth="1"/>
    <col min="8710" max="8710" width="30.28515625" style="65" customWidth="1"/>
    <col min="8711" max="8958" width="9.140625" style="65"/>
    <col min="8959" max="8959" width="108.85546875" style="65" customWidth="1"/>
    <col min="8960" max="8960" width="32.7109375" style="65" customWidth="1"/>
    <col min="8961" max="8962" width="32.85546875" style="65" customWidth="1"/>
    <col min="8963" max="8963" width="29.7109375" style="65" customWidth="1"/>
    <col min="8964" max="8964" width="30.7109375" style="65" customWidth="1"/>
    <col min="8965" max="8965" width="35.42578125" style="65" customWidth="1"/>
    <col min="8966" max="8966" width="30.28515625" style="65" customWidth="1"/>
    <col min="8967" max="9214" width="9.140625" style="65"/>
    <col min="9215" max="9215" width="108.85546875" style="65" customWidth="1"/>
    <col min="9216" max="9216" width="32.7109375" style="65" customWidth="1"/>
    <col min="9217" max="9218" width="32.85546875" style="65" customWidth="1"/>
    <col min="9219" max="9219" width="29.7109375" style="65" customWidth="1"/>
    <col min="9220" max="9220" width="30.7109375" style="65" customWidth="1"/>
    <col min="9221" max="9221" width="35.42578125" style="65" customWidth="1"/>
    <col min="9222" max="9222" width="30.28515625" style="65" customWidth="1"/>
    <col min="9223" max="9470" width="9.140625" style="65"/>
    <col min="9471" max="9471" width="108.85546875" style="65" customWidth="1"/>
    <col min="9472" max="9472" width="32.7109375" style="65" customWidth="1"/>
    <col min="9473" max="9474" width="32.85546875" style="65" customWidth="1"/>
    <col min="9475" max="9475" width="29.7109375" style="65" customWidth="1"/>
    <col min="9476" max="9476" width="30.7109375" style="65" customWidth="1"/>
    <col min="9477" max="9477" width="35.42578125" style="65" customWidth="1"/>
    <col min="9478" max="9478" width="30.28515625" style="65" customWidth="1"/>
    <col min="9479" max="9726" width="9.140625" style="65"/>
    <col min="9727" max="9727" width="108.85546875" style="65" customWidth="1"/>
    <col min="9728" max="9728" width="32.7109375" style="65" customWidth="1"/>
    <col min="9729" max="9730" width="32.85546875" style="65" customWidth="1"/>
    <col min="9731" max="9731" width="29.7109375" style="65" customWidth="1"/>
    <col min="9732" max="9732" width="30.7109375" style="65" customWidth="1"/>
    <col min="9733" max="9733" width="35.42578125" style="65" customWidth="1"/>
    <col min="9734" max="9734" width="30.28515625" style="65" customWidth="1"/>
    <col min="9735" max="9982" width="9.140625" style="65"/>
    <col min="9983" max="9983" width="108.85546875" style="65" customWidth="1"/>
    <col min="9984" max="9984" width="32.7109375" style="65" customWidth="1"/>
    <col min="9985" max="9986" width="32.85546875" style="65" customWidth="1"/>
    <col min="9987" max="9987" width="29.7109375" style="65" customWidth="1"/>
    <col min="9988" max="9988" width="30.7109375" style="65" customWidth="1"/>
    <col min="9989" max="9989" width="35.42578125" style="65" customWidth="1"/>
    <col min="9990" max="9990" width="30.28515625" style="65" customWidth="1"/>
    <col min="9991" max="10238" width="9.140625" style="65"/>
    <col min="10239" max="10239" width="108.85546875" style="65" customWidth="1"/>
    <col min="10240" max="10240" width="32.7109375" style="65" customWidth="1"/>
    <col min="10241" max="10242" width="32.85546875" style="65" customWidth="1"/>
    <col min="10243" max="10243" width="29.7109375" style="65" customWidth="1"/>
    <col min="10244" max="10244" width="30.7109375" style="65" customWidth="1"/>
    <col min="10245" max="10245" width="35.42578125" style="65" customWidth="1"/>
    <col min="10246" max="10246" width="30.28515625" style="65" customWidth="1"/>
    <col min="10247" max="10494" width="9.140625" style="65"/>
    <col min="10495" max="10495" width="108.85546875" style="65" customWidth="1"/>
    <col min="10496" max="10496" width="32.7109375" style="65" customWidth="1"/>
    <col min="10497" max="10498" width="32.85546875" style="65" customWidth="1"/>
    <col min="10499" max="10499" width="29.7109375" style="65" customWidth="1"/>
    <col min="10500" max="10500" width="30.7109375" style="65" customWidth="1"/>
    <col min="10501" max="10501" width="35.42578125" style="65" customWidth="1"/>
    <col min="10502" max="10502" width="30.28515625" style="65" customWidth="1"/>
    <col min="10503" max="10750" width="9.140625" style="65"/>
    <col min="10751" max="10751" width="108.85546875" style="65" customWidth="1"/>
    <col min="10752" max="10752" width="32.7109375" style="65" customWidth="1"/>
    <col min="10753" max="10754" width="32.85546875" style="65" customWidth="1"/>
    <col min="10755" max="10755" width="29.7109375" style="65" customWidth="1"/>
    <col min="10756" max="10756" width="30.7109375" style="65" customWidth="1"/>
    <col min="10757" max="10757" width="35.42578125" style="65" customWidth="1"/>
    <col min="10758" max="10758" width="30.28515625" style="65" customWidth="1"/>
    <col min="10759" max="11006" width="9.140625" style="65"/>
    <col min="11007" max="11007" width="108.85546875" style="65" customWidth="1"/>
    <col min="11008" max="11008" width="32.7109375" style="65" customWidth="1"/>
    <col min="11009" max="11010" width="32.85546875" style="65" customWidth="1"/>
    <col min="11011" max="11011" width="29.7109375" style="65" customWidth="1"/>
    <col min="11012" max="11012" width="30.7109375" style="65" customWidth="1"/>
    <col min="11013" max="11013" width="35.42578125" style="65" customWidth="1"/>
    <col min="11014" max="11014" width="30.28515625" style="65" customWidth="1"/>
    <col min="11015" max="11262" width="9.140625" style="65"/>
    <col min="11263" max="11263" width="108.85546875" style="65" customWidth="1"/>
    <col min="11264" max="11264" width="32.7109375" style="65" customWidth="1"/>
    <col min="11265" max="11266" width="32.85546875" style="65" customWidth="1"/>
    <col min="11267" max="11267" width="29.7109375" style="65" customWidth="1"/>
    <col min="11268" max="11268" width="30.7109375" style="65" customWidth="1"/>
    <col min="11269" max="11269" width="35.42578125" style="65" customWidth="1"/>
    <col min="11270" max="11270" width="30.28515625" style="65" customWidth="1"/>
    <col min="11271" max="11518" width="9.140625" style="65"/>
    <col min="11519" max="11519" width="108.85546875" style="65" customWidth="1"/>
    <col min="11520" max="11520" width="32.7109375" style="65" customWidth="1"/>
    <col min="11521" max="11522" width="32.85546875" style="65" customWidth="1"/>
    <col min="11523" max="11523" width="29.7109375" style="65" customWidth="1"/>
    <col min="11524" max="11524" width="30.7109375" style="65" customWidth="1"/>
    <col min="11525" max="11525" width="35.42578125" style="65" customWidth="1"/>
    <col min="11526" max="11526" width="30.28515625" style="65" customWidth="1"/>
    <col min="11527" max="11774" width="9.140625" style="65"/>
    <col min="11775" max="11775" width="108.85546875" style="65" customWidth="1"/>
    <col min="11776" max="11776" width="32.7109375" style="65" customWidth="1"/>
    <col min="11777" max="11778" width="32.85546875" style="65" customWidth="1"/>
    <col min="11779" max="11779" width="29.7109375" style="65" customWidth="1"/>
    <col min="11780" max="11780" width="30.7109375" style="65" customWidth="1"/>
    <col min="11781" max="11781" width="35.42578125" style="65" customWidth="1"/>
    <col min="11782" max="11782" width="30.28515625" style="65" customWidth="1"/>
    <col min="11783" max="12030" width="9.140625" style="65"/>
    <col min="12031" max="12031" width="108.85546875" style="65" customWidth="1"/>
    <col min="12032" max="12032" width="32.7109375" style="65" customWidth="1"/>
    <col min="12033" max="12034" width="32.85546875" style="65" customWidth="1"/>
    <col min="12035" max="12035" width="29.7109375" style="65" customWidth="1"/>
    <col min="12036" max="12036" width="30.7109375" style="65" customWidth="1"/>
    <col min="12037" max="12037" width="35.42578125" style="65" customWidth="1"/>
    <col min="12038" max="12038" width="30.28515625" style="65" customWidth="1"/>
    <col min="12039" max="12286" width="9.140625" style="65"/>
    <col min="12287" max="12287" width="108.85546875" style="65" customWidth="1"/>
    <col min="12288" max="12288" width="32.7109375" style="65" customWidth="1"/>
    <col min="12289" max="12290" width="32.85546875" style="65" customWidth="1"/>
    <col min="12291" max="12291" width="29.7109375" style="65" customWidth="1"/>
    <col min="12292" max="12292" width="30.7109375" style="65" customWidth="1"/>
    <col min="12293" max="12293" width="35.42578125" style="65" customWidth="1"/>
    <col min="12294" max="12294" width="30.28515625" style="65" customWidth="1"/>
    <col min="12295" max="12542" width="9.140625" style="65"/>
    <col min="12543" max="12543" width="108.85546875" style="65" customWidth="1"/>
    <col min="12544" max="12544" width="32.7109375" style="65" customWidth="1"/>
    <col min="12545" max="12546" width="32.85546875" style="65" customWidth="1"/>
    <col min="12547" max="12547" width="29.7109375" style="65" customWidth="1"/>
    <col min="12548" max="12548" width="30.7109375" style="65" customWidth="1"/>
    <col min="12549" max="12549" width="35.42578125" style="65" customWidth="1"/>
    <col min="12550" max="12550" width="30.28515625" style="65" customWidth="1"/>
    <col min="12551" max="12798" width="9.140625" style="65"/>
    <col min="12799" max="12799" width="108.85546875" style="65" customWidth="1"/>
    <col min="12800" max="12800" width="32.7109375" style="65" customWidth="1"/>
    <col min="12801" max="12802" width="32.85546875" style="65" customWidth="1"/>
    <col min="12803" max="12803" width="29.7109375" style="65" customWidth="1"/>
    <col min="12804" max="12804" width="30.7109375" style="65" customWidth="1"/>
    <col min="12805" max="12805" width="35.42578125" style="65" customWidth="1"/>
    <col min="12806" max="12806" width="30.28515625" style="65" customWidth="1"/>
    <col min="12807" max="13054" width="9.140625" style="65"/>
    <col min="13055" max="13055" width="108.85546875" style="65" customWidth="1"/>
    <col min="13056" max="13056" width="32.7109375" style="65" customWidth="1"/>
    <col min="13057" max="13058" width="32.85546875" style="65" customWidth="1"/>
    <col min="13059" max="13059" width="29.7109375" style="65" customWidth="1"/>
    <col min="13060" max="13060" width="30.7109375" style="65" customWidth="1"/>
    <col min="13061" max="13061" width="35.42578125" style="65" customWidth="1"/>
    <col min="13062" max="13062" width="30.28515625" style="65" customWidth="1"/>
    <col min="13063" max="13310" width="9.140625" style="65"/>
    <col min="13311" max="13311" width="108.85546875" style="65" customWidth="1"/>
    <col min="13312" max="13312" width="32.7109375" style="65" customWidth="1"/>
    <col min="13313" max="13314" width="32.85546875" style="65" customWidth="1"/>
    <col min="13315" max="13315" width="29.7109375" style="65" customWidth="1"/>
    <col min="13316" max="13316" width="30.7109375" style="65" customWidth="1"/>
    <col min="13317" max="13317" width="35.42578125" style="65" customWidth="1"/>
    <col min="13318" max="13318" width="30.28515625" style="65" customWidth="1"/>
    <col min="13319" max="13566" width="9.140625" style="65"/>
    <col min="13567" max="13567" width="108.85546875" style="65" customWidth="1"/>
    <col min="13568" max="13568" width="32.7109375" style="65" customWidth="1"/>
    <col min="13569" max="13570" width="32.85546875" style="65" customWidth="1"/>
    <col min="13571" max="13571" width="29.7109375" style="65" customWidth="1"/>
    <col min="13572" max="13572" width="30.7109375" style="65" customWidth="1"/>
    <col min="13573" max="13573" width="35.42578125" style="65" customWidth="1"/>
    <col min="13574" max="13574" width="30.28515625" style="65" customWidth="1"/>
    <col min="13575" max="13822" width="9.140625" style="65"/>
    <col min="13823" max="13823" width="108.85546875" style="65" customWidth="1"/>
    <col min="13824" max="13824" width="32.7109375" style="65" customWidth="1"/>
    <col min="13825" max="13826" width="32.85546875" style="65" customWidth="1"/>
    <col min="13827" max="13827" width="29.7109375" style="65" customWidth="1"/>
    <col min="13828" max="13828" width="30.7109375" style="65" customWidth="1"/>
    <col min="13829" max="13829" width="35.42578125" style="65" customWidth="1"/>
    <col min="13830" max="13830" width="30.28515625" style="65" customWidth="1"/>
    <col min="13831" max="14078" width="9.140625" style="65"/>
    <col min="14079" max="14079" width="108.85546875" style="65" customWidth="1"/>
    <col min="14080" max="14080" width="32.7109375" style="65" customWidth="1"/>
    <col min="14081" max="14082" width="32.85546875" style="65" customWidth="1"/>
    <col min="14083" max="14083" width="29.7109375" style="65" customWidth="1"/>
    <col min="14084" max="14084" width="30.7109375" style="65" customWidth="1"/>
    <col min="14085" max="14085" width="35.42578125" style="65" customWidth="1"/>
    <col min="14086" max="14086" width="30.28515625" style="65" customWidth="1"/>
    <col min="14087" max="14334" width="9.140625" style="65"/>
    <col min="14335" max="14335" width="108.85546875" style="65" customWidth="1"/>
    <col min="14336" max="14336" width="32.7109375" style="65" customWidth="1"/>
    <col min="14337" max="14338" width="32.85546875" style="65" customWidth="1"/>
    <col min="14339" max="14339" width="29.7109375" style="65" customWidth="1"/>
    <col min="14340" max="14340" width="30.7109375" style="65" customWidth="1"/>
    <col min="14341" max="14341" width="35.42578125" style="65" customWidth="1"/>
    <col min="14342" max="14342" width="30.28515625" style="65" customWidth="1"/>
    <col min="14343" max="14590" width="9.140625" style="65"/>
    <col min="14591" max="14591" width="108.85546875" style="65" customWidth="1"/>
    <col min="14592" max="14592" width="32.7109375" style="65" customWidth="1"/>
    <col min="14593" max="14594" width="32.85546875" style="65" customWidth="1"/>
    <col min="14595" max="14595" width="29.7109375" style="65" customWidth="1"/>
    <col min="14596" max="14596" width="30.7109375" style="65" customWidth="1"/>
    <col min="14597" max="14597" width="35.42578125" style="65" customWidth="1"/>
    <col min="14598" max="14598" width="30.28515625" style="65" customWidth="1"/>
    <col min="14599" max="14846" width="9.140625" style="65"/>
    <col min="14847" max="14847" width="108.85546875" style="65" customWidth="1"/>
    <col min="14848" max="14848" width="32.7109375" style="65" customWidth="1"/>
    <col min="14849" max="14850" width="32.85546875" style="65" customWidth="1"/>
    <col min="14851" max="14851" width="29.7109375" style="65" customWidth="1"/>
    <col min="14852" max="14852" width="30.7109375" style="65" customWidth="1"/>
    <col min="14853" max="14853" width="35.42578125" style="65" customWidth="1"/>
    <col min="14854" max="14854" width="30.28515625" style="65" customWidth="1"/>
    <col min="14855" max="15102" width="9.140625" style="65"/>
    <col min="15103" max="15103" width="108.85546875" style="65" customWidth="1"/>
    <col min="15104" max="15104" width="32.7109375" style="65" customWidth="1"/>
    <col min="15105" max="15106" width="32.85546875" style="65" customWidth="1"/>
    <col min="15107" max="15107" width="29.7109375" style="65" customWidth="1"/>
    <col min="15108" max="15108" width="30.7109375" style="65" customWidth="1"/>
    <col min="15109" max="15109" width="35.42578125" style="65" customWidth="1"/>
    <col min="15110" max="15110" width="30.28515625" style="65" customWidth="1"/>
    <col min="15111" max="15358" width="9.140625" style="65"/>
    <col min="15359" max="15359" width="108.85546875" style="65" customWidth="1"/>
    <col min="15360" max="15360" width="32.7109375" style="65" customWidth="1"/>
    <col min="15361" max="15362" width="32.85546875" style="65" customWidth="1"/>
    <col min="15363" max="15363" width="29.7109375" style="65" customWidth="1"/>
    <col min="15364" max="15364" width="30.7109375" style="65" customWidth="1"/>
    <col min="15365" max="15365" width="35.42578125" style="65" customWidth="1"/>
    <col min="15366" max="15366" width="30.28515625" style="65" customWidth="1"/>
    <col min="15367" max="15614" width="9.140625" style="65"/>
    <col min="15615" max="15615" width="108.85546875" style="65" customWidth="1"/>
    <col min="15616" max="15616" width="32.7109375" style="65" customWidth="1"/>
    <col min="15617" max="15618" width="32.85546875" style="65" customWidth="1"/>
    <col min="15619" max="15619" width="29.7109375" style="65" customWidth="1"/>
    <col min="15620" max="15620" width="30.7109375" style="65" customWidth="1"/>
    <col min="15621" max="15621" width="35.42578125" style="65" customWidth="1"/>
    <col min="15622" max="15622" width="30.28515625" style="65" customWidth="1"/>
    <col min="15623" max="15870" width="9.140625" style="65"/>
    <col min="15871" max="15871" width="108.85546875" style="65" customWidth="1"/>
    <col min="15872" max="15872" width="32.7109375" style="65" customWidth="1"/>
    <col min="15873" max="15874" width="32.85546875" style="65" customWidth="1"/>
    <col min="15875" max="15875" width="29.7109375" style="65" customWidth="1"/>
    <col min="15876" max="15876" width="30.7109375" style="65" customWidth="1"/>
    <col min="15877" max="15877" width="35.42578125" style="65" customWidth="1"/>
    <col min="15878" max="15878" width="30.28515625" style="65" customWidth="1"/>
    <col min="15879" max="16126" width="9.140625" style="65"/>
    <col min="16127" max="16127" width="108.85546875" style="65" customWidth="1"/>
    <col min="16128" max="16128" width="32.7109375" style="65" customWidth="1"/>
    <col min="16129" max="16130" width="32.85546875" style="65" customWidth="1"/>
    <col min="16131" max="16131" width="29.7109375" style="65" customWidth="1"/>
    <col min="16132" max="16132" width="30.7109375" style="65" customWidth="1"/>
    <col min="16133" max="16133" width="35.42578125" style="65" customWidth="1"/>
    <col min="16134" max="16134" width="30.28515625" style="65" customWidth="1"/>
    <col min="16135" max="16384" width="9.140625" style="65"/>
  </cols>
  <sheetData>
    <row r="1" spans="1:6" s="6" customFormat="1" ht="46.5">
      <c r="A1" s="1" t="s">
        <v>0</v>
      </c>
      <c r="D1" s="277" t="s">
        <v>1</v>
      </c>
      <c r="E1" s="4" t="s">
        <v>135</v>
      </c>
      <c r="F1" s="278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13" customFormat="1" ht="47.25" thickBot="1">
      <c r="A3" s="7" t="s">
        <v>3</v>
      </c>
      <c r="B3" s="8"/>
      <c r="C3" s="8"/>
      <c r="D3" s="8"/>
      <c r="E3" s="3"/>
      <c r="F3" s="3"/>
    </row>
    <row r="4" spans="1:6" s="17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3" customFormat="1" ht="52.5">
      <c r="A5" s="14"/>
      <c r="B5" s="15" t="s">
        <v>9</v>
      </c>
      <c r="C5" s="15" t="s">
        <v>10</v>
      </c>
      <c r="D5" s="15" t="s">
        <v>11</v>
      </c>
      <c r="E5" s="15" t="s">
        <v>161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5834433</v>
      </c>
      <c r="C8" s="23">
        <v>5834433</v>
      </c>
      <c r="D8" s="23">
        <v>6529100</v>
      </c>
      <c r="E8" s="23">
        <v>694667</v>
      </c>
      <c r="F8" s="24">
        <v>0.11906332629066098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59" customFormat="1" ht="26.25">
      <c r="A10" s="157" t="s">
        <v>18</v>
      </c>
      <c r="B10" s="298">
        <v>402574.15</v>
      </c>
      <c r="C10" s="158">
        <v>404101</v>
      </c>
      <c r="D10" s="158">
        <v>401817</v>
      </c>
      <c r="E10" s="158">
        <v>-2284</v>
      </c>
      <c r="F10" s="24">
        <v>-5.6520523334512903E-3</v>
      </c>
    </row>
    <row r="11" spans="1:6" s="13" customFormat="1" ht="26.25">
      <c r="A11" s="27" t="s">
        <v>19</v>
      </c>
      <c r="B11" s="299">
        <v>5354</v>
      </c>
      <c r="C11" s="19">
        <v>5354</v>
      </c>
      <c r="D11" s="19">
        <v>0</v>
      </c>
      <c r="E11" s="23">
        <v>-5354</v>
      </c>
      <c r="F11" s="24">
        <v>-1</v>
      </c>
    </row>
    <row r="12" spans="1:6" s="13" customFormat="1" ht="26.25">
      <c r="A12" s="29" t="s">
        <v>20</v>
      </c>
      <c r="B12" s="299">
        <v>397220.15</v>
      </c>
      <c r="C12" s="28">
        <v>398747</v>
      </c>
      <c r="D12" s="28">
        <v>401817</v>
      </c>
      <c r="E12" s="26">
        <v>3070</v>
      </c>
      <c r="F12" s="24">
        <v>7.699117485523402E-3</v>
      </c>
    </row>
    <row r="13" spans="1:6" s="13" customFormat="1" ht="26.25">
      <c r="A13" s="29" t="s">
        <v>21</v>
      </c>
      <c r="B13" s="299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99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13" customFormat="1" ht="26.25">
      <c r="A15" s="29" t="s">
        <v>23</v>
      </c>
      <c r="B15" s="299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299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99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99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99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99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99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99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99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99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99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99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99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99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13" customFormat="1" ht="26.25">
      <c r="A29" s="31" t="s">
        <v>37</v>
      </c>
      <c r="B29" s="299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99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36" customFormat="1" ht="26.25">
      <c r="A33" s="29" t="s">
        <v>40</v>
      </c>
      <c r="B33" s="299"/>
      <c r="C33" s="28"/>
      <c r="D33" s="28"/>
      <c r="E33" s="26"/>
      <c r="F33" s="24" t="s">
        <v>41</v>
      </c>
    </row>
    <row r="34" spans="1:10" s="13" customFormat="1" ht="26.25">
      <c r="A34" s="33" t="s">
        <v>42</v>
      </c>
      <c r="B34" s="300">
        <v>6237007.1500000004</v>
      </c>
      <c r="C34" s="34">
        <v>6238534</v>
      </c>
      <c r="D34" s="34">
        <v>6930917</v>
      </c>
      <c r="E34" s="34">
        <v>692383</v>
      </c>
      <c r="F34" s="35">
        <v>0.11098488843693086</v>
      </c>
    </row>
    <row r="35" spans="1:10" s="13" customFormat="1" ht="26.25">
      <c r="A35" s="31" t="s">
        <v>43</v>
      </c>
      <c r="B35" s="299"/>
      <c r="C35" s="28"/>
      <c r="D35" s="28"/>
      <c r="E35" s="28"/>
      <c r="F35" s="20"/>
    </row>
    <row r="36" spans="1:10" s="13" customFormat="1" ht="26.25">
      <c r="A36" s="37" t="s">
        <v>44</v>
      </c>
      <c r="B36" s="23"/>
      <c r="C36" s="23"/>
      <c r="D36" s="23"/>
      <c r="E36" s="23">
        <v>0</v>
      </c>
      <c r="F36" s="24">
        <v>0</v>
      </c>
    </row>
    <row r="37" spans="1:10" s="13" customFormat="1" ht="26.25">
      <c r="A37" s="38" t="s">
        <v>45</v>
      </c>
      <c r="B37" s="23"/>
      <c r="C37" s="23"/>
      <c r="D37" s="23"/>
      <c r="E37" s="26">
        <v>0</v>
      </c>
      <c r="F37" s="24">
        <v>0</v>
      </c>
    </row>
    <row r="38" spans="1:10" s="13" customFormat="1" ht="26.25">
      <c r="A38" s="38" t="s">
        <v>46</v>
      </c>
      <c r="B38" s="23"/>
      <c r="C38" s="23"/>
      <c r="D38" s="23"/>
      <c r="E38" s="26">
        <v>0</v>
      </c>
      <c r="F38" s="24">
        <v>0</v>
      </c>
    </row>
    <row r="39" spans="1:10" s="13" customFormat="1" ht="26.25">
      <c r="A39" s="38" t="s">
        <v>47</v>
      </c>
      <c r="B39" s="23"/>
      <c r="C39" s="23"/>
      <c r="D39" s="23"/>
      <c r="E39" s="26">
        <v>0</v>
      </c>
      <c r="F39" s="24">
        <v>0</v>
      </c>
    </row>
    <row r="40" spans="1:10" s="36" customFormat="1" ht="26.25">
      <c r="A40" s="39" t="s">
        <v>48</v>
      </c>
      <c r="B40" s="23"/>
      <c r="C40" s="23"/>
      <c r="D40" s="23"/>
      <c r="E40" s="26">
        <v>0</v>
      </c>
      <c r="F40" s="24">
        <v>0</v>
      </c>
      <c r="J40" s="36" t="s">
        <v>50</v>
      </c>
    </row>
    <row r="41" spans="1:10" s="13" customFormat="1" ht="26.25">
      <c r="A41" s="31" t="s">
        <v>49</v>
      </c>
      <c r="B41" s="40">
        <v>0</v>
      </c>
      <c r="C41" s="40">
        <v>0</v>
      </c>
      <c r="D41" s="40">
        <v>0</v>
      </c>
      <c r="E41" s="40">
        <v>0</v>
      </c>
      <c r="F41" s="35">
        <v>0</v>
      </c>
    </row>
    <row r="42" spans="1:10" s="36" customFormat="1" ht="26.25">
      <c r="A42" s="29" t="s">
        <v>50</v>
      </c>
      <c r="B42" s="299"/>
      <c r="C42" s="28"/>
      <c r="D42" s="28"/>
      <c r="E42" s="28"/>
      <c r="F42" s="20"/>
    </row>
    <row r="43" spans="1:10" s="13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36" customFormat="1" ht="26.25">
      <c r="A44" s="29" t="s">
        <v>50</v>
      </c>
      <c r="B44" s="299"/>
      <c r="C44" s="28"/>
      <c r="D44" s="28"/>
      <c r="E44" s="28"/>
      <c r="F44" s="20"/>
    </row>
    <row r="45" spans="1:10" s="13" customFormat="1" ht="26.25">
      <c r="A45" s="41" t="s">
        <v>52</v>
      </c>
      <c r="B45" s="42">
        <v>2455272</v>
      </c>
      <c r="C45" s="42">
        <v>2455272</v>
      </c>
      <c r="D45" s="42">
        <v>0</v>
      </c>
      <c r="E45" s="42">
        <v>-2455272</v>
      </c>
      <c r="F45" s="35">
        <v>-1</v>
      </c>
    </row>
    <row r="46" spans="1:10" s="36" customFormat="1" ht="26.25">
      <c r="A46" s="29" t="s">
        <v>50</v>
      </c>
      <c r="B46" s="299"/>
      <c r="C46" s="28"/>
      <c r="D46" s="28"/>
      <c r="E46" s="28"/>
      <c r="F46" s="20"/>
    </row>
    <row r="47" spans="1:10" s="13" customFormat="1" ht="26.25">
      <c r="A47" s="31" t="s">
        <v>53</v>
      </c>
      <c r="B47" s="40">
        <v>13194446.24</v>
      </c>
      <c r="C47" s="40">
        <v>13163716</v>
      </c>
      <c r="D47" s="40">
        <v>15448867</v>
      </c>
      <c r="E47" s="40">
        <v>2285151</v>
      </c>
      <c r="F47" s="35">
        <v>0.1735946749382925</v>
      </c>
    </row>
    <row r="48" spans="1:10" s="36" customFormat="1" ht="26.25">
      <c r="A48" s="29" t="s">
        <v>50</v>
      </c>
      <c r="B48" s="299"/>
      <c r="C48" s="28"/>
      <c r="D48" s="28"/>
      <c r="E48" s="28"/>
      <c r="F48" s="20"/>
    </row>
    <row r="49" spans="1:6" s="13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36" customFormat="1" ht="26.25">
      <c r="A50" s="31"/>
      <c r="B50" s="19"/>
      <c r="C50" s="19"/>
      <c r="D50" s="19"/>
      <c r="E50" s="19"/>
      <c r="F50" s="45"/>
    </row>
    <row r="51" spans="1:6" s="13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36" customFormat="1" ht="26.25">
      <c r="A52" s="29"/>
      <c r="B52" s="299"/>
      <c r="C52" s="28"/>
      <c r="D52" s="28"/>
      <c r="E52" s="28"/>
      <c r="F52" s="20"/>
    </row>
    <row r="53" spans="1:6" s="13" customFormat="1" ht="26.25">
      <c r="A53" s="46" t="s">
        <v>56</v>
      </c>
      <c r="B53" s="40">
        <v>21886725.390000001</v>
      </c>
      <c r="C53" s="40">
        <v>21857522</v>
      </c>
      <c r="D53" s="40">
        <v>22379784</v>
      </c>
      <c r="E53" s="40">
        <v>522262</v>
      </c>
      <c r="F53" s="35">
        <v>2.389392539556863E-2</v>
      </c>
    </row>
    <row r="54" spans="1:6" s="13" customFormat="1" ht="26.25">
      <c r="A54" s="47"/>
      <c r="B54" s="299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9483167.3800000008</v>
      </c>
      <c r="C57" s="19">
        <v>9373701</v>
      </c>
      <c r="D57" s="19">
        <v>9302822.0399999991</v>
      </c>
      <c r="E57" s="19">
        <v>-70878.960000000894</v>
      </c>
      <c r="F57" s="24">
        <v>-7.5614701172995484E-3</v>
      </c>
    </row>
    <row r="58" spans="1:6" s="13" customFormat="1" ht="26.25">
      <c r="A58" s="29" t="s">
        <v>59</v>
      </c>
      <c r="B58" s="299">
        <v>632475.67999999993</v>
      </c>
      <c r="C58" s="28">
        <v>594041.04</v>
      </c>
      <c r="D58" s="28">
        <v>669584.07000000007</v>
      </c>
      <c r="E58" s="28">
        <v>75543.030000000028</v>
      </c>
      <c r="F58" s="24">
        <v>0.12716803202687818</v>
      </c>
    </row>
    <row r="59" spans="1:6" s="13" customFormat="1" ht="26.25">
      <c r="A59" s="29" t="s">
        <v>60</v>
      </c>
      <c r="B59" s="299">
        <v>63794.04</v>
      </c>
      <c r="C59" s="28">
        <v>57900</v>
      </c>
      <c r="D59" s="28">
        <v>69400</v>
      </c>
      <c r="E59" s="28">
        <v>11500</v>
      </c>
      <c r="F59" s="24">
        <v>0.19861830742659758</v>
      </c>
    </row>
    <row r="60" spans="1:6" s="13" customFormat="1" ht="26.25">
      <c r="A60" s="29" t="s">
        <v>61</v>
      </c>
      <c r="B60" s="299">
        <v>2677892.31</v>
      </c>
      <c r="C60" s="28">
        <v>2807111.46</v>
      </c>
      <c r="D60" s="28">
        <v>2705137.49</v>
      </c>
      <c r="E60" s="28">
        <v>-101973.96999999974</v>
      </c>
      <c r="F60" s="24">
        <v>-3.6327011396975216E-2</v>
      </c>
    </row>
    <row r="61" spans="1:6" s="13" customFormat="1" ht="26.25">
      <c r="A61" s="29" t="s">
        <v>62</v>
      </c>
      <c r="B61" s="299">
        <v>1221606.3099999998</v>
      </c>
      <c r="C61" s="28">
        <v>1420801.28</v>
      </c>
      <c r="D61" s="28">
        <v>1524365.37</v>
      </c>
      <c r="E61" s="28">
        <v>103564.09000000008</v>
      </c>
      <c r="F61" s="24">
        <v>7.2891326505561765E-2</v>
      </c>
    </row>
    <row r="62" spans="1:6" s="13" customFormat="1" ht="26.25">
      <c r="A62" s="29" t="s">
        <v>63</v>
      </c>
      <c r="B62" s="299">
        <v>2207804.52</v>
      </c>
      <c r="C62" s="28">
        <v>2291973.98</v>
      </c>
      <c r="D62" s="28">
        <v>2196516.7199999997</v>
      </c>
      <c r="E62" s="28">
        <v>-95457.260000000242</v>
      </c>
      <c r="F62" s="24">
        <v>-4.1648492012985351E-2</v>
      </c>
    </row>
    <row r="63" spans="1:6" s="13" customFormat="1" ht="26.25">
      <c r="A63" s="29" t="s">
        <v>64</v>
      </c>
      <c r="B63" s="299">
        <v>3466154.28</v>
      </c>
      <c r="C63" s="28">
        <v>3577219</v>
      </c>
      <c r="D63" s="28">
        <v>4540997.34</v>
      </c>
      <c r="E63" s="28">
        <v>963778.33999999985</v>
      </c>
      <c r="F63" s="24">
        <v>0.26942111735401153</v>
      </c>
    </row>
    <row r="64" spans="1:6" s="36" customFormat="1" ht="26.25">
      <c r="A64" s="29" t="s">
        <v>65</v>
      </c>
      <c r="B64" s="299">
        <v>1520175.86</v>
      </c>
      <c r="C64" s="28">
        <v>1612286.26</v>
      </c>
      <c r="D64" s="28">
        <v>1370961.28</v>
      </c>
      <c r="E64" s="28">
        <v>-241324.97999999998</v>
      </c>
      <c r="F64" s="24">
        <v>-0.14967874253297922</v>
      </c>
    </row>
    <row r="65" spans="1:6" s="13" customFormat="1" ht="26.25">
      <c r="A65" s="49" t="s">
        <v>66</v>
      </c>
      <c r="B65" s="300">
        <v>21273070.379999999</v>
      </c>
      <c r="C65" s="34">
        <v>21735034.02</v>
      </c>
      <c r="D65" s="34">
        <v>22379784.309999999</v>
      </c>
      <c r="E65" s="34">
        <v>644750.28999999911</v>
      </c>
      <c r="F65" s="35">
        <v>2.9664103097640292E-2</v>
      </c>
    </row>
    <row r="66" spans="1:6" s="13" customFormat="1" ht="26.25">
      <c r="A66" s="29" t="s">
        <v>67</v>
      </c>
      <c r="B66" s="299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99">
        <v>420000</v>
      </c>
      <c r="C67" s="28">
        <v>0</v>
      </c>
      <c r="D67" s="28">
        <v>0</v>
      </c>
      <c r="E67" s="28">
        <v>0</v>
      </c>
      <c r="F67" s="24">
        <v>0</v>
      </c>
    </row>
    <row r="68" spans="1:6" s="13" customFormat="1" ht="26.25">
      <c r="A68" s="29" t="s">
        <v>69</v>
      </c>
      <c r="B68" s="299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36" customFormat="1" ht="26.25">
      <c r="A69" s="29" t="s">
        <v>70</v>
      </c>
      <c r="B69" s="299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13" customFormat="1" ht="26.25">
      <c r="A70" s="50" t="s">
        <v>71</v>
      </c>
      <c r="B70" s="301">
        <v>21693070.379999999</v>
      </c>
      <c r="C70" s="51">
        <v>21735034.02</v>
      </c>
      <c r="D70" s="51">
        <v>22379784.309999999</v>
      </c>
      <c r="E70" s="51">
        <v>644750.28999999911</v>
      </c>
      <c r="F70" s="35">
        <v>2.9664103097640292E-2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9939851.3699999992</v>
      </c>
      <c r="C73" s="23">
        <v>9990797</v>
      </c>
      <c r="D73" s="23">
        <v>9842416</v>
      </c>
      <c r="E73" s="19">
        <v>-148381</v>
      </c>
      <c r="F73" s="24">
        <v>-1.4851768082166017E-2</v>
      </c>
    </row>
    <row r="74" spans="1:6" s="13" customFormat="1" ht="26.25">
      <c r="A74" s="29" t="s">
        <v>74</v>
      </c>
      <c r="B74" s="298">
        <v>211900.36000000002</v>
      </c>
      <c r="C74" s="23">
        <v>265584</v>
      </c>
      <c r="D74" s="23">
        <v>207100</v>
      </c>
      <c r="E74" s="28">
        <v>-58484</v>
      </c>
      <c r="F74" s="24">
        <v>-0.22020904873787578</v>
      </c>
    </row>
    <row r="75" spans="1:6" s="36" customFormat="1" ht="26.25">
      <c r="A75" s="29" t="s">
        <v>75</v>
      </c>
      <c r="B75" s="19">
        <v>2728638.7</v>
      </c>
      <c r="C75" s="23">
        <v>2906447.0199999996</v>
      </c>
      <c r="D75" s="23">
        <v>3182512.97</v>
      </c>
      <c r="E75" s="28">
        <v>276065.95000000065</v>
      </c>
      <c r="F75" s="24">
        <v>9.498399526993638E-2</v>
      </c>
    </row>
    <row r="76" spans="1:6" s="13" customFormat="1" ht="26.25">
      <c r="A76" s="49" t="s">
        <v>76</v>
      </c>
      <c r="B76" s="301">
        <v>12880390.43</v>
      </c>
      <c r="C76" s="51">
        <v>13162828.02</v>
      </c>
      <c r="D76" s="51">
        <v>13232028.970000001</v>
      </c>
      <c r="E76" s="34">
        <v>69200.950000001118</v>
      </c>
      <c r="F76" s="35">
        <v>5.2573010826286798E-3</v>
      </c>
    </row>
    <row r="77" spans="1:6" s="13" customFormat="1" ht="26.25">
      <c r="A77" s="29" t="s">
        <v>77</v>
      </c>
      <c r="B77" s="298">
        <v>296190.59000000003</v>
      </c>
      <c r="C77" s="26">
        <v>334066</v>
      </c>
      <c r="D77" s="26">
        <v>349250</v>
      </c>
      <c r="E77" s="28">
        <v>15184</v>
      </c>
      <c r="F77" s="24">
        <v>4.5452096292349413E-2</v>
      </c>
    </row>
    <row r="78" spans="1:6" s="13" customFormat="1" ht="26.25">
      <c r="A78" s="29" t="s">
        <v>78</v>
      </c>
      <c r="B78" s="23">
        <v>3085105</v>
      </c>
      <c r="C78" s="23">
        <v>3287611</v>
      </c>
      <c r="D78" s="23">
        <v>3502408</v>
      </c>
      <c r="E78" s="28">
        <v>214797</v>
      </c>
      <c r="F78" s="24">
        <v>6.5335284496858048E-2</v>
      </c>
    </row>
    <row r="79" spans="1:6" s="36" customFormat="1" ht="26.25">
      <c r="A79" s="29" t="s">
        <v>79</v>
      </c>
      <c r="B79" s="19">
        <v>399382.08999999997</v>
      </c>
      <c r="C79" s="19">
        <v>387400</v>
      </c>
      <c r="D79" s="19">
        <v>257000</v>
      </c>
      <c r="E79" s="28">
        <v>-130400</v>
      </c>
      <c r="F79" s="24">
        <v>-0.33660299432111512</v>
      </c>
    </row>
    <row r="80" spans="1:6" s="13" customFormat="1" ht="26.25">
      <c r="A80" s="32" t="s">
        <v>80</v>
      </c>
      <c r="B80" s="301">
        <v>3780677.6799999997</v>
      </c>
      <c r="C80" s="51">
        <v>4009077</v>
      </c>
      <c r="D80" s="51">
        <v>4108658</v>
      </c>
      <c r="E80" s="34">
        <v>99581</v>
      </c>
      <c r="F80" s="35">
        <v>2.4838884361662299E-2</v>
      </c>
    </row>
    <row r="81" spans="1:7" s="13" customFormat="1" ht="26.25">
      <c r="A81" s="29" t="s">
        <v>81</v>
      </c>
      <c r="B81" s="19">
        <v>204187.07</v>
      </c>
      <c r="C81" s="19">
        <v>247625</v>
      </c>
      <c r="D81" s="19">
        <v>131500</v>
      </c>
      <c r="E81" s="28">
        <v>-116125</v>
      </c>
      <c r="F81" s="24">
        <v>-0.4689550731953559</v>
      </c>
    </row>
    <row r="82" spans="1:7" s="13" customFormat="1" ht="26.25">
      <c r="A82" s="29" t="s">
        <v>82</v>
      </c>
      <c r="B82" s="299">
        <v>3717904.21</v>
      </c>
      <c r="C82" s="28">
        <v>3807004</v>
      </c>
      <c r="D82" s="28">
        <v>4622597.34</v>
      </c>
      <c r="E82" s="28">
        <v>815593.33999999985</v>
      </c>
      <c r="F82" s="24">
        <v>0.21423495746261362</v>
      </c>
    </row>
    <row r="83" spans="1:7" s="13" customFormat="1" ht="26.25">
      <c r="A83" s="29" t="s">
        <v>83</v>
      </c>
      <c r="B83" s="299">
        <v>0</v>
      </c>
      <c r="C83" s="28">
        <v>0</v>
      </c>
      <c r="D83" s="28">
        <v>0</v>
      </c>
      <c r="E83" s="28">
        <v>0</v>
      </c>
      <c r="F83" s="24">
        <v>0</v>
      </c>
    </row>
    <row r="84" spans="1:7" s="36" customFormat="1" ht="26.25">
      <c r="A84" s="29" t="s">
        <v>84</v>
      </c>
      <c r="B84" s="299">
        <v>420000</v>
      </c>
      <c r="C84" s="28">
        <v>0</v>
      </c>
      <c r="D84" s="28">
        <v>0</v>
      </c>
      <c r="E84" s="28">
        <v>0</v>
      </c>
      <c r="F84" s="24">
        <v>0</v>
      </c>
    </row>
    <row r="85" spans="1:7" s="13" customFormat="1" ht="26.25">
      <c r="A85" s="32" t="s">
        <v>85</v>
      </c>
      <c r="B85" s="300">
        <v>4342091.2799999993</v>
      </c>
      <c r="C85" s="34">
        <v>4054629</v>
      </c>
      <c r="D85" s="34">
        <v>4754097.34</v>
      </c>
      <c r="E85" s="34">
        <v>699468.33999999985</v>
      </c>
      <c r="F85" s="35">
        <v>0.17251105834837166</v>
      </c>
    </row>
    <row r="86" spans="1:7" s="13" customFormat="1" ht="26.25">
      <c r="A86" s="29" t="s">
        <v>86</v>
      </c>
      <c r="B86" s="299">
        <v>352489.69</v>
      </c>
      <c r="C86" s="28">
        <v>215200</v>
      </c>
      <c r="D86" s="28">
        <v>52000</v>
      </c>
      <c r="E86" s="28">
        <v>-163200</v>
      </c>
      <c r="F86" s="24">
        <v>-0.75836431226765799</v>
      </c>
    </row>
    <row r="87" spans="1:7" s="13" customFormat="1" ht="26.25">
      <c r="A87" s="29" t="s">
        <v>87</v>
      </c>
      <c r="B87" s="299">
        <v>337421.3</v>
      </c>
      <c r="C87" s="28">
        <v>253300</v>
      </c>
      <c r="D87" s="28">
        <v>233000</v>
      </c>
      <c r="E87" s="28">
        <v>-20300</v>
      </c>
      <c r="F87" s="24">
        <v>-8.0142123963679437E-2</v>
      </c>
    </row>
    <row r="88" spans="1:7" s="36" customFormat="1" ht="26.25">
      <c r="A88" s="38" t="s">
        <v>88</v>
      </c>
      <c r="B88" s="299">
        <v>0</v>
      </c>
      <c r="C88" s="28">
        <v>40000</v>
      </c>
      <c r="D88" s="28">
        <v>0</v>
      </c>
      <c r="E88" s="28">
        <v>-40000</v>
      </c>
      <c r="F88" s="24">
        <v>-1</v>
      </c>
    </row>
    <row r="89" spans="1:7" s="13" customFormat="1" ht="26.25">
      <c r="A89" s="52" t="s">
        <v>89</v>
      </c>
      <c r="B89" s="301">
        <v>689910.99</v>
      </c>
      <c r="C89" s="51">
        <v>508500</v>
      </c>
      <c r="D89" s="51">
        <v>285000</v>
      </c>
      <c r="E89" s="51">
        <v>-223500</v>
      </c>
      <c r="F89" s="35">
        <v>-0.43952802359882004</v>
      </c>
    </row>
    <row r="90" spans="1:7" s="36" customFormat="1" ht="26.25">
      <c r="A90" s="38" t="s">
        <v>90</v>
      </c>
      <c r="B90" s="299">
        <v>0</v>
      </c>
      <c r="C90" s="28">
        <v>0</v>
      </c>
      <c r="D90" s="26">
        <v>0</v>
      </c>
      <c r="E90" s="28">
        <v>0</v>
      </c>
      <c r="F90" s="24">
        <v>0</v>
      </c>
    </row>
    <row r="91" spans="1:7" s="60" customFormat="1" ht="32.25" thickBot="1">
      <c r="A91" s="53" t="s">
        <v>71</v>
      </c>
      <c r="B91" s="302">
        <v>21693070.379999999</v>
      </c>
      <c r="C91" s="54">
        <v>21735034.02</v>
      </c>
      <c r="D91" s="55">
        <v>22379784.310000002</v>
      </c>
      <c r="E91" s="54">
        <v>644750.29000000283</v>
      </c>
      <c r="F91" s="56">
        <v>2.9664103097640462E-2</v>
      </c>
    </row>
    <row r="92" spans="1:7" s="60" customFormat="1" ht="32.25" thickBot="1">
      <c r="A92" s="57"/>
      <c r="B92" s="58"/>
      <c r="C92" s="58"/>
      <c r="D92" s="58"/>
      <c r="E92" s="59"/>
      <c r="F92" s="59"/>
    </row>
    <row r="93" spans="1:7" s="60" customFormat="1" ht="31.5">
      <c r="A93" s="160" t="s">
        <v>43</v>
      </c>
      <c r="B93" s="161"/>
      <c r="C93" s="161"/>
      <c r="D93" s="162"/>
      <c r="E93" s="161"/>
      <c r="F93" s="163"/>
      <c r="G93" s="13"/>
    </row>
    <row r="94" spans="1:7" s="60" customFormat="1" ht="31.5" hidden="1">
      <c r="A94" s="164" t="s">
        <v>121</v>
      </c>
      <c r="B94" s="165">
        <v>0</v>
      </c>
      <c r="C94" s="165">
        <v>0</v>
      </c>
      <c r="D94" s="166"/>
      <c r="E94" s="165">
        <v>0</v>
      </c>
      <c r="F94" s="167">
        <v>0</v>
      </c>
      <c r="G94" s="13"/>
    </row>
    <row r="95" spans="1:7" ht="26.25" hidden="1">
      <c r="A95" s="234" t="s">
        <v>45</v>
      </c>
      <c r="B95" s="189">
        <v>0</v>
      </c>
      <c r="C95" s="189">
        <v>0</v>
      </c>
      <c r="D95" s="190"/>
      <c r="E95" s="198">
        <v>0</v>
      </c>
      <c r="F95" s="235">
        <v>0</v>
      </c>
      <c r="G95" s="13"/>
    </row>
    <row r="96" spans="1:7" s="242" customFormat="1" ht="26.25">
      <c r="A96" s="236" t="s">
        <v>122</v>
      </c>
      <c r="B96" s="303">
        <v>193655</v>
      </c>
      <c r="C96" s="237">
        <v>122488</v>
      </c>
      <c r="D96" s="238"/>
      <c r="E96" s="237">
        <v>-122488</v>
      </c>
      <c r="F96" s="240">
        <v>-1</v>
      </c>
      <c r="G96" s="241"/>
    </row>
    <row r="97" spans="1:7" ht="26.25" hidden="1">
      <c r="A97" s="164" t="s">
        <v>47</v>
      </c>
      <c r="B97" s="165">
        <v>0</v>
      </c>
      <c r="C97" s="165">
        <v>0</v>
      </c>
      <c r="D97" s="166"/>
      <c r="E97" s="165">
        <v>0</v>
      </c>
      <c r="F97" s="167">
        <v>0</v>
      </c>
      <c r="G97" s="13"/>
    </row>
    <row r="98" spans="1:7" ht="26.25" hidden="1">
      <c r="A98" s="170" t="s">
        <v>48</v>
      </c>
      <c r="B98" s="165">
        <v>0</v>
      </c>
      <c r="C98" s="165">
        <v>0</v>
      </c>
      <c r="D98" s="166"/>
      <c r="E98" s="169">
        <v>0</v>
      </c>
      <c r="F98" s="167">
        <v>0</v>
      </c>
      <c r="G98" s="13"/>
    </row>
    <row r="99" spans="1:7" ht="27" thickBot="1">
      <c r="A99" s="171" t="s">
        <v>49</v>
      </c>
      <c r="B99" s="172">
        <v>193655</v>
      </c>
      <c r="C99" s="172">
        <v>122488</v>
      </c>
      <c r="D99" s="173">
        <v>0</v>
      </c>
      <c r="E99" s="172">
        <v>-122488</v>
      </c>
      <c r="F99" s="174">
        <v>-1</v>
      </c>
      <c r="G99" s="36"/>
    </row>
    <row r="100" spans="1:7" ht="26.25">
      <c r="A100" s="175"/>
      <c r="B100" s="176"/>
      <c r="C100" s="176"/>
      <c r="D100" s="176"/>
      <c r="E100" s="176"/>
      <c r="F100" s="177"/>
      <c r="G100" s="36"/>
    </row>
    <row r="101" spans="1:7" ht="31.5">
      <c r="A101" s="61" t="s">
        <v>91</v>
      </c>
      <c r="B101" s="62"/>
      <c r="C101" s="62"/>
      <c r="D101" s="62"/>
      <c r="E101" s="59"/>
      <c r="F101" s="59"/>
      <c r="G101" s="60"/>
    </row>
    <row r="102" spans="1:7" ht="31.5">
      <c r="A102" s="61" t="s">
        <v>92</v>
      </c>
      <c r="B102" s="62"/>
      <c r="C102" s="62"/>
      <c r="D102" s="62"/>
      <c r="E102" s="59"/>
      <c r="F102" s="59"/>
      <c r="G102" s="60"/>
    </row>
    <row r="103" spans="1:7" ht="30">
      <c r="A103" s="178" t="s">
        <v>123</v>
      </c>
      <c r="B103" s="64"/>
      <c r="C103" s="64"/>
      <c r="D103" s="64"/>
    </row>
  </sheetData>
  <pageMargins left="0.7" right="0.7" top="0.3" bottom="0.3" header="0.3" footer="0.3"/>
  <pageSetup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3"/>
  <sheetViews>
    <sheetView topLeftCell="A73" zoomScale="60" zoomScaleNormal="60" workbookViewId="0">
      <selection activeCell="I12" sqref="I12"/>
    </sheetView>
  </sheetViews>
  <sheetFormatPr defaultColWidth="9.140625" defaultRowHeight="15.75"/>
  <cols>
    <col min="1" max="1" width="117" style="65" customWidth="1"/>
    <col min="2" max="2" width="32.7109375" style="66" customWidth="1"/>
    <col min="3" max="4" width="32.85546875" style="66" customWidth="1"/>
    <col min="5" max="5" width="35.425781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4" t="s">
        <v>150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160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58819924</v>
      </c>
      <c r="C8" s="23">
        <v>58819924</v>
      </c>
      <c r="D8" s="23">
        <v>66704460</v>
      </c>
      <c r="E8" s="23">
        <v>7884536</v>
      </c>
      <c r="F8" s="24">
        <v>0.13404532790623802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98">
        <v>10121512</v>
      </c>
      <c r="C10" s="298">
        <v>10132642</v>
      </c>
      <c r="D10" s="298">
        <v>10357205</v>
      </c>
      <c r="E10" s="298">
        <v>224563</v>
      </c>
      <c r="F10" s="24">
        <v>2.2162334364522106E-2</v>
      </c>
    </row>
    <row r="11" spans="1:6" s="13" customFormat="1" ht="26.25">
      <c r="A11" s="27" t="s">
        <v>19</v>
      </c>
      <c r="B11" s="299">
        <v>0</v>
      </c>
      <c r="C11" s="299">
        <v>0</v>
      </c>
      <c r="D11" s="299">
        <v>0</v>
      </c>
      <c r="E11" s="298">
        <v>0</v>
      </c>
      <c r="F11" s="24">
        <v>0</v>
      </c>
    </row>
    <row r="12" spans="1:6" s="13" customFormat="1" ht="26.25">
      <c r="A12" s="29" t="s">
        <v>20</v>
      </c>
      <c r="B12" s="299">
        <v>2895647</v>
      </c>
      <c r="C12" s="299">
        <v>2906777</v>
      </c>
      <c r="D12" s="299">
        <v>2929151</v>
      </c>
      <c r="E12" s="298">
        <v>22374</v>
      </c>
      <c r="F12" s="24">
        <v>7.6971848889680911E-3</v>
      </c>
    </row>
    <row r="13" spans="1:6" s="13" customFormat="1" ht="26.25">
      <c r="A13" s="29" t="s">
        <v>21</v>
      </c>
      <c r="B13" s="299">
        <v>2225865</v>
      </c>
      <c r="C13" s="299">
        <v>2225865</v>
      </c>
      <c r="D13" s="299">
        <v>2428054</v>
      </c>
      <c r="E13" s="298">
        <v>202189</v>
      </c>
      <c r="F13" s="24">
        <v>9.0836146846282231E-2</v>
      </c>
    </row>
    <row r="14" spans="1:6" s="13" customFormat="1" ht="26.25">
      <c r="A14" s="29" t="s">
        <v>22</v>
      </c>
      <c r="B14" s="299">
        <v>0</v>
      </c>
      <c r="C14" s="299">
        <v>0</v>
      </c>
      <c r="D14" s="299">
        <v>0</v>
      </c>
      <c r="E14" s="298">
        <v>0</v>
      </c>
      <c r="F14" s="24">
        <v>0</v>
      </c>
    </row>
    <row r="15" spans="1:6" s="13" customFormat="1" ht="26.25">
      <c r="A15" s="29" t="s">
        <v>23</v>
      </c>
      <c r="B15" s="299">
        <v>0</v>
      </c>
      <c r="C15" s="299">
        <v>0</v>
      </c>
      <c r="D15" s="299">
        <v>0</v>
      </c>
      <c r="E15" s="298">
        <v>0</v>
      </c>
      <c r="F15" s="24">
        <v>0</v>
      </c>
    </row>
    <row r="16" spans="1:6" s="13" customFormat="1" ht="26.25">
      <c r="A16" s="29" t="s">
        <v>24</v>
      </c>
      <c r="B16" s="299">
        <v>0</v>
      </c>
      <c r="C16" s="299">
        <v>0</v>
      </c>
      <c r="D16" s="299">
        <v>0</v>
      </c>
      <c r="E16" s="298">
        <v>0</v>
      </c>
      <c r="F16" s="24">
        <v>0</v>
      </c>
    </row>
    <row r="17" spans="1:6" s="13" customFormat="1" ht="26.25">
      <c r="A17" s="29" t="s">
        <v>25</v>
      </c>
      <c r="B17" s="299">
        <v>0</v>
      </c>
      <c r="C17" s="299">
        <v>0</v>
      </c>
      <c r="D17" s="299">
        <v>0</v>
      </c>
      <c r="E17" s="298">
        <v>0</v>
      </c>
      <c r="F17" s="24">
        <v>0</v>
      </c>
    </row>
    <row r="18" spans="1:6" s="13" customFormat="1" ht="26.25">
      <c r="A18" s="29" t="s">
        <v>26</v>
      </c>
      <c r="B18" s="299">
        <v>0</v>
      </c>
      <c r="C18" s="299">
        <v>0</v>
      </c>
      <c r="D18" s="299">
        <v>0</v>
      </c>
      <c r="E18" s="298">
        <v>0</v>
      </c>
      <c r="F18" s="24">
        <v>0</v>
      </c>
    </row>
    <row r="19" spans="1:6" s="13" customFormat="1" ht="26.25">
      <c r="A19" s="29" t="s">
        <v>27</v>
      </c>
      <c r="B19" s="299">
        <v>0</v>
      </c>
      <c r="C19" s="299">
        <v>0</v>
      </c>
      <c r="D19" s="299">
        <v>0</v>
      </c>
      <c r="E19" s="298">
        <v>0</v>
      </c>
      <c r="F19" s="24">
        <v>0</v>
      </c>
    </row>
    <row r="20" spans="1:6" s="13" customFormat="1" ht="26.25">
      <c r="A20" s="29" t="s">
        <v>28</v>
      </c>
      <c r="B20" s="299">
        <v>0</v>
      </c>
      <c r="C20" s="299">
        <v>0</v>
      </c>
      <c r="D20" s="299">
        <v>0</v>
      </c>
      <c r="E20" s="298">
        <v>0</v>
      </c>
      <c r="F20" s="24">
        <v>0</v>
      </c>
    </row>
    <row r="21" spans="1:6" s="13" customFormat="1" ht="26.25">
      <c r="A21" s="29" t="s">
        <v>29</v>
      </c>
      <c r="B21" s="299">
        <v>0</v>
      </c>
      <c r="C21" s="299">
        <v>0</v>
      </c>
      <c r="D21" s="299">
        <v>0</v>
      </c>
      <c r="E21" s="298">
        <v>0</v>
      </c>
      <c r="F21" s="24">
        <v>0</v>
      </c>
    </row>
    <row r="22" spans="1:6" s="13" customFormat="1" ht="26.25">
      <c r="A22" s="29" t="s">
        <v>30</v>
      </c>
      <c r="B22" s="299">
        <v>0</v>
      </c>
      <c r="C22" s="299">
        <v>0</v>
      </c>
      <c r="D22" s="299">
        <v>0</v>
      </c>
      <c r="E22" s="298">
        <v>0</v>
      </c>
      <c r="F22" s="24">
        <v>0</v>
      </c>
    </row>
    <row r="23" spans="1:6" s="13" customFormat="1" ht="26.25">
      <c r="A23" s="30" t="s">
        <v>31</v>
      </c>
      <c r="B23" s="299">
        <v>0</v>
      </c>
      <c r="C23" s="299">
        <v>0</v>
      </c>
      <c r="D23" s="299">
        <v>0</v>
      </c>
      <c r="E23" s="298">
        <v>0</v>
      </c>
      <c r="F23" s="24">
        <v>0</v>
      </c>
    </row>
    <row r="24" spans="1:6" s="13" customFormat="1" ht="26.25">
      <c r="A24" s="30" t="s">
        <v>32</v>
      </c>
      <c r="B24" s="299">
        <v>0</v>
      </c>
      <c r="C24" s="299">
        <v>0</v>
      </c>
      <c r="D24" s="299">
        <v>0</v>
      </c>
      <c r="E24" s="298">
        <v>0</v>
      </c>
      <c r="F24" s="24">
        <v>0</v>
      </c>
    </row>
    <row r="25" spans="1:6" s="13" customFormat="1" ht="26.25">
      <c r="A25" s="30" t="s">
        <v>33</v>
      </c>
      <c r="B25" s="299">
        <v>0</v>
      </c>
      <c r="C25" s="299">
        <v>0</v>
      </c>
      <c r="D25" s="299">
        <v>0</v>
      </c>
      <c r="E25" s="298">
        <v>0</v>
      </c>
      <c r="F25" s="24">
        <v>0</v>
      </c>
    </row>
    <row r="26" spans="1:6" s="13" customFormat="1" ht="26.25">
      <c r="A26" s="30" t="s">
        <v>34</v>
      </c>
      <c r="B26" s="299">
        <v>0</v>
      </c>
      <c r="C26" s="299">
        <v>0</v>
      </c>
      <c r="D26" s="299">
        <v>0</v>
      </c>
      <c r="E26" s="298">
        <v>0</v>
      </c>
      <c r="F26" s="24">
        <v>0</v>
      </c>
    </row>
    <row r="27" spans="1:6" s="13" customFormat="1" ht="26.25">
      <c r="A27" s="30" t="s">
        <v>35</v>
      </c>
      <c r="B27" s="299">
        <v>0</v>
      </c>
      <c r="C27" s="299">
        <v>0</v>
      </c>
      <c r="D27" s="299">
        <v>0</v>
      </c>
      <c r="E27" s="298">
        <v>0</v>
      </c>
      <c r="F27" s="24">
        <v>0</v>
      </c>
    </row>
    <row r="28" spans="1:6" s="13" customFormat="1" ht="26.25">
      <c r="A28" s="30" t="s">
        <v>36</v>
      </c>
      <c r="B28" s="299">
        <v>5000000</v>
      </c>
      <c r="C28" s="299">
        <v>5000000</v>
      </c>
      <c r="D28" s="299">
        <v>5000000</v>
      </c>
      <c r="E28" s="298">
        <v>0</v>
      </c>
      <c r="F28" s="24">
        <v>0</v>
      </c>
    </row>
    <row r="29" spans="1:6" s="13" customFormat="1" ht="26.25">
      <c r="A29" s="31" t="s">
        <v>37</v>
      </c>
      <c r="B29" s="299"/>
      <c r="C29" s="299"/>
      <c r="D29" s="299"/>
      <c r="E29" s="299"/>
      <c r="F29" s="305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99"/>
      <c r="C31" s="299"/>
      <c r="D31" s="299"/>
      <c r="E31" s="299"/>
      <c r="F31" s="305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99"/>
      <c r="C33" s="299"/>
      <c r="D33" s="299"/>
      <c r="E33" s="298"/>
      <c r="F33" s="24" t="s">
        <v>41</v>
      </c>
    </row>
    <row r="34" spans="1:10" s="36" customFormat="1" ht="26.25">
      <c r="A34" s="33" t="s">
        <v>42</v>
      </c>
      <c r="B34" s="300">
        <v>68941436</v>
      </c>
      <c r="C34" s="300">
        <v>68952566</v>
      </c>
      <c r="D34" s="300">
        <v>77061665</v>
      </c>
      <c r="E34" s="300">
        <v>8109099</v>
      </c>
      <c r="F34" s="35">
        <v>0.11760402071186155</v>
      </c>
    </row>
    <row r="35" spans="1:10" s="13" customFormat="1" ht="26.25">
      <c r="A35" s="31" t="s">
        <v>43</v>
      </c>
      <c r="B35" s="299"/>
      <c r="C35" s="299"/>
      <c r="D35" s="299"/>
      <c r="E35" s="299"/>
      <c r="F35" s="305"/>
    </row>
    <row r="36" spans="1:10" s="13" customFormat="1" ht="26.25">
      <c r="A36" s="37" t="s">
        <v>44</v>
      </c>
      <c r="B36" s="23"/>
      <c r="C36" s="23"/>
      <c r="D36" s="23"/>
      <c r="E36" s="23">
        <v>0</v>
      </c>
      <c r="F36" s="24">
        <v>0</v>
      </c>
    </row>
    <row r="37" spans="1:10" s="13" customFormat="1" ht="26.25">
      <c r="A37" s="38" t="s">
        <v>45</v>
      </c>
      <c r="B37" s="23"/>
      <c r="C37" s="23"/>
      <c r="D37" s="23"/>
      <c r="E37" s="298">
        <v>0</v>
      </c>
      <c r="F37" s="24">
        <v>0</v>
      </c>
    </row>
    <row r="38" spans="1:10" s="13" customFormat="1" ht="26.25">
      <c r="A38" s="38" t="s">
        <v>126</v>
      </c>
      <c r="B38" s="23"/>
      <c r="C38" s="23"/>
      <c r="D38" s="23"/>
      <c r="E38" s="298">
        <v>0</v>
      </c>
      <c r="F38" s="24">
        <v>0</v>
      </c>
    </row>
    <row r="39" spans="1:10" s="13" customFormat="1" ht="26.25">
      <c r="A39" s="38" t="s">
        <v>47</v>
      </c>
      <c r="B39" s="23"/>
      <c r="C39" s="23"/>
      <c r="D39" s="23"/>
      <c r="E39" s="298">
        <v>0</v>
      </c>
      <c r="F39" s="24">
        <v>0</v>
      </c>
    </row>
    <row r="40" spans="1:10" s="13" customFormat="1" ht="26.25">
      <c r="A40" s="39" t="s">
        <v>48</v>
      </c>
      <c r="B40" s="23"/>
      <c r="C40" s="23"/>
      <c r="D40" s="23"/>
      <c r="E40" s="298">
        <v>0</v>
      </c>
      <c r="F40" s="24">
        <v>0</v>
      </c>
    </row>
    <row r="41" spans="1:10" s="36" customFormat="1" ht="26.25">
      <c r="A41" s="31" t="s">
        <v>49</v>
      </c>
      <c r="B41" s="40">
        <v>0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99"/>
      <c r="C42" s="299"/>
      <c r="D42" s="299"/>
      <c r="E42" s="299"/>
      <c r="F42" s="305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99"/>
      <c r="C44" s="299"/>
      <c r="D44" s="299"/>
      <c r="E44" s="299"/>
      <c r="F44" s="305"/>
    </row>
    <row r="45" spans="1:10" s="36" customFormat="1" ht="26.25">
      <c r="A45" s="41" t="s">
        <v>52</v>
      </c>
      <c r="B45" s="42">
        <v>0</v>
      </c>
      <c r="C45" s="42">
        <v>0</v>
      </c>
      <c r="D45" s="42">
        <v>0</v>
      </c>
      <c r="E45" s="42">
        <v>0</v>
      </c>
      <c r="F45" s="35">
        <v>0</v>
      </c>
    </row>
    <row r="46" spans="1:10" s="13" customFormat="1" ht="26.25">
      <c r="A46" s="29" t="s">
        <v>50</v>
      </c>
      <c r="B46" s="299"/>
      <c r="C46" s="299"/>
      <c r="D46" s="299"/>
      <c r="E46" s="299"/>
      <c r="F46" s="305"/>
    </row>
    <row r="47" spans="1:10" s="36" customFormat="1" ht="26.25">
      <c r="A47" s="31" t="s">
        <v>53</v>
      </c>
      <c r="B47" s="40">
        <v>5766618</v>
      </c>
      <c r="C47" s="40">
        <v>6807967</v>
      </c>
      <c r="D47" s="40">
        <v>6807967</v>
      </c>
      <c r="E47" s="40">
        <v>0</v>
      </c>
      <c r="F47" s="35">
        <v>0</v>
      </c>
    </row>
    <row r="48" spans="1:10" s="13" customFormat="1" ht="26.25">
      <c r="A48" s="29" t="s">
        <v>50</v>
      </c>
      <c r="B48" s="299"/>
      <c r="C48" s="299"/>
      <c r="D48" s="299"/>
      <c r="E48" s="299"/>
      <c r="F48" s="305"/>
    </row>
    <row r="49" spans="1:6" s="36" customFormat="1" ht="26.25">
      <c r="A49" s="43" t="s">
        <v>54</v>
      </c>
      <c r="B49" s="44">
        <v>11267034</v>
      </c>
      <c r="C49" s="44">
        <v>13018275</v>
      </c>
      <c r="D49" s="44">
        <v>13018275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99"/>
      <c r="C52" s="299"/>
      <c r="D52" s="299"/>
      <c r="E52" s="299"/>
      <c r="F52" s="305"/>
    </row>
    <row r="53" spans="1:6" s="36" customFormat="1" ht="26.25">
      <c r="A53" s="46" t="s">
        <v>56</v>
      </c>
      <c r="B53" s="40">
        <v>85975088</v>
      </c>
      <c r="C53" s="40">
        <v>88778808</v>
      </c>
      <c r="D53" s="40">
        <v>96887907</v>
      </c>
      <c r="E53" s="40">
        <v>8109099</v>
      </c>
      <c r="F53" s="35">
        <v>9.1340480714721922E-2</v>
      </c>
    </row>
    <row r="54" spans="1:6" s="13" customFormat="1" ht="26.25">
      <c r="A54" s="47"/>
      <c r="B54" s="299"/>
      <c r="C54" s="299"/>
      <c r="D54" s="299"/>
      <c r="E54" s="299"/>
      <c r="F54" s="305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0</v>
      </c>
      <c r="C57" s="19">
        <v>0</v>
      </c>
      <c r="D57" s="19">
        <v>0</v>
      </c>
      <c r="E57" s="19">
        <v>0</v>
      </c>
      <c r="F57" s="24">
        <v>0</v>
      </c>
    </row>
    <row r="58" spans="1:6" s="13" customFormat="1" ht="26.25">
      <c r="A58" s="29" t="s">
        <v>59</v>
      </c>
      <c r="B58" s="299">
        <v>41319036.040000007</v>
      </c>
      <c r="C58" s="299">
        <v>41186274</v>
      </c>
      <c r="D58" s="299">
        <v>42547687</v>
      </c>
      <c r="E58" s="299">
        <v>1361413</v>
      </c>
      <c r="F58" s="24">
        <v>3.3055017309893096E-2</v>
      </c>
    </row>
    <row r="59" spans="1:6" s="13" customFormat="1" ht="26.25">
      <c r="A59" s="29" t="s">
        <v>60</v>
      </c>
      <c r="B59" s="299">
        <v>32767095.300000001</v>
      </c>
      <c r="C59" s="299">
        <v>35240383</v>
      </c>
      <c r="D59" s="299">
        <v>36134464</v>
      </c>
      <c r="E59" s="299">
        <v>894081</v>
      </c>
      <c r="F59" s="24">
        <v>2.5370921763250984E-2</v>
      </c>
    </row>
    <row r="60" spans="1:6" s="13" customFormat="1" ht="26.25">
      <c r="A60" s="29" t="s">
        <v>61</v>
      </c>
      <c r="B60" s="299">
        <v>3326430.0999999996</v>
      </c>
      <c r="C60" s="299">
        <v>3232224</v>
      </c>
      <c r="D60" s="299">
        <v>3072250</v>
      </c>
      <c r="E60" s="299">
        <v>-159974</v>
      </c>
      <c r="F60" s="24">
        <v>-4.9493475699703984E-2</v>
      </c>
    </row>
    <row r="61" spans="1:6" s="13" customFormat="1" ht="26.25">
      <c r="A61" s="29" t="s">
        <v>62</v>
      </c>
      <c r="B61" s="299">
        <v>0</v>
      </c>
      <c r="C61" s="299">
        <v>0</v>
      </c>
      <c r="D61" s="299">
        <v>0</v>
      </c>
      <c r="E61" s="299">
        <v>0</v>
      </c>
      <c r="F61" s="24">
        <v>0</v>
      </c>
    </row>
    <row r="62" spans="1:6" s="13" customFormat="1" ht="26.25">
      <c r="A62" s="29" t="s">
        <v>63</v>
      </c>
      <c r="B62" s="299">
        <v>10128424.179999998</v>
      </c>
      <c r="C62" s="299">
        <v>10653504</v>
      </c>
      <c r="D62" s="299">
        <v>11135499</v>
      </c>
      <c r="E62" s="299">
        <v>481995</v>
      </c>
      <c r="F62" s="24">
        <v>4.5242860940400455E-2</v>
      </c>
    </row>
    <row r="63" spans="1:6" s="13" customFormat="1" ht="26.25">
      <c r="A63" s="29" t="s">
        <v>64</v>
      </c>
      <c r="B63" s="299">
        <v>0</v>
      </c>
      <c r="C63" s="299">
        <v>0</v>
      </c>
      <c r="D63" s="299">
        <v>0</v>
      </c>
      <c r="E63" s="299">
        <v>0</v>
      </c>
      <c r="F63" s="24">
        <v>0</v>
      </c>
    </row>
    <row r="64" spans="1:6" s="13" customFormat="1" ht="26.25">
      <c r="A64" s="29" t="s">
        <v>65</v>
      </c>
      <c r="B64" s="299">
        <v>4386503.41</v>
      </c>
      <c r="C64" s="299">
        <v>4466423</v>
      </c>
      <c r="D64" s="299">
        <v>3998007</v>
      </c>
      <c r="E64" s="299">
        <v>-468416</v>
      </c>
      <c r="F64" s="24">
        <v>-0.10487497489601857</v>
      </c>
    </row>
    <row r="65" spans="1:6" s="36" customFormat="1" ht="26.25">
      <c r="A65" s="49" t="s">
        <v>66</v>
      </c>
      <c r="B65" s="300">
        <v>91927489.029999986</v>
      </c>
      <c r="C65" s="300">
        <v>94778808</v>
      </c>
      <c r="D65" s="300">
        <v>96887907</v>
      </c>
      <c r="E65" s="300">
        <v>2109099</v>
      </c>
      <c r="F65" s="35">
        <v>2.2252854245645291E-2</v>
      </c>
    </row>
    <row r="66" spans="1:6" s="13" customFormat="1" ht="26.25">
      <c r="A66" s="29" t="s">
        <v>67</v>
      </c>
      <c r="B66" s="299">
        <v>0</v>
      </c>
      <c r="C66" s="299">
        <v>0</v>
      </c>
      <c r="D66" s="299">
        <v>0</v>
      </c>
      <c r="E66" s="299">
        <v>0</v>
      </c>
      <c r="F66" s="24">
        <v>0</v>
      </c>
    </row>
    <row r="67" spans="1:6" s="13" customFormat="1" ht="26.25">
      <c r="A67" s="29" t="s">
        <v>68</v>
      </c>
      <c r="B67" s="299">
        <v>47599.25</v>
      </c>
      <c r="C67" s="299">
        <v>0</v>
      </c>
      <c r="D67" s="299">
        <v>0</v>
      </c>
      <c r="E67" s="299">
        <v>0</v>
      </c>
      <c r="F67" s="24">
        <v>0</v>
      </c>
    </row>
    <row r="68" spans="1:6" s="13" customFormat="1" ht="26.25">
      <c r="A68" s="29" t="s">
        <v>69</v>
      </c>
      <c r="B68" s="299">
        <v>0</v>
      </c>
      <c r="C68" s="299">
        <v>0</v>
      </c>
      <c r="D68" s="299">
        <v>0</v>
      </c>
      <c r="E68" s="299">
        <v>0</v>
      </c>
      <c r="F68" s="24">
        <v>0</v>
      </c>
    </row>
    <row r="69" spans="1:6" s="13" customFormat="1" ht="26.25">
      <c r="A69" s="29" t="s">
        <v>70</v>
      </c>
      <c r="B69" s="299">
        <v>0</v>
      </c>
      <c r="C69" s="299">
        <v>0</v>
      </c>
      <c r="D69" s="299">
        <v>0</v>
      </c>
      <c r="E69" s="299">
        <v>0</v>
      </c>
      <c r="F69" s="24">
        <v>0</v>
      </c>
    </row>
    <row r="70" spans="1:6" s="36" customFormat="1" ht="26.25">
      <c r="A70" s="50" t="s">
        <v>71</v>
      </c>
      <c r="B70" s="301">
        <v>91975088.279999986</v>
      </c>
      <c r="C70" s="301">
        <v>94778808</v>
      </c>
      <c r="D70" s="301">
        <v>96887907</v>
      </c>
      <c r="E70" s="301">
        <v>2109099</v>
      </c>
      <c r="F70" s="35">
        <v>2.2252854245645291E-2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51220632.710000001</v>
      </c>
      <c r="C73" s="23">
        <v>49437239</v>
      </c>
      <c r="D73" s="23">
        <v>48003934</v>
      </c>
      <c r="E73" s="19">
        <v>-1433305</v>
      </c>
      <c r="F73" s="24">
        <v>-2.8992416020643872E-2</v>
      </c>
    </row>
    <row r="74" spans="1:6" s="13" customFormat="1" ht="26.25">
      <c r="A74" s="29" t="s">
        <v>74</v>
      </c>
      <c r="B74" s="298">
        <v>1869848.65</v>
      </c>
      <c r="C74" s="23">
        <v>1589018</v>
      </c>
      <c r="D74" s="23">
        <v>1640959</v>
      </c>
      <c r="E74" s="299">
        <v>51941</v>
      </c>
      <c r="F74" s="24">
        <v>3.2687483716358157E-2</v>
      </c>
    </row>
    <row r="75" spans="1:6" s="13" customFormat="1" ht="26.25">
      <c r="A75" s="29" t="s">
        <v>75</v>
      </c>
      <c r="B75" s="19">
        <v>21075052.030000001</v>
      </c>
      <c r="C75" s="23">
        <v>21049690</v>
      </c>
      <c r="D75" s="23">
        <v>26025263</v>
      </c>
      <c r="E75" s="299">
        <v>4975573</v>
      </c>
      <c r="F75" s="24">
        <v>0.23637274468175065</v>
      </c>
    </row>
    <row r="76" spans="1:6" s="36" customFormat="1" ht="26.25">
      <c r="A76" s="49" t="s">
        <v>76</v>
      </c>
      <c r="B76" s="301">
        <v>74165533.390000001</v>
      </c>
      <c r="C76" s="301">
        <v>72075947</v>
      </c>
      <c r="D76" s="301">
        <v>75670156</v>
      </c>
      <c r="E76" s="300">
        <v>3594209</v>
      </c>
      <c r="F76" s="35">
        <v>4.986696879612279E-2</v>
      </c>
    </row>
    <row r="77" spans="1:6" s="13" customFormat="1" ht="26.25">
      <c r="A77" s="29" t="s">
        <v>77</v>
      </c>
      <c r="B77" s="298">
        <v>1263548.6000000001</v>
      </c>
      <c r="C77" s="298">
        <v>1579623</v>
      </c>
      <c r="D77" s="298">
        <v>1494573</v>
      </c>
      <c r="E77" s="299">
        <v>-85050</v>
      </c>
      <c r="F77" s="24">
        <v>-5.3841961024877455E-2</v>
      </c>
    </row>
    <row r="78" spans="1:6" s="13" customFormat="1" ht="26.25">
      <c r="A78" s="29" t="s">
        <v>78</v>
      </c>
      <c r="B78" s="23">
        <v>6798992.1600000001</v>
      </c>
      <c r="C78" s="23">
        <v>10126839</v>
      </c>
      <c r="D78" s="23">
        <v>9318176</v>
      </c>
      <c r="E78" s="299">
        <v>-808663</v>
      </c>
      <c r="F78" s="24">
        <v>-7.9853446865305155E-2</v>
      </c>
    </row>
    <row r="79" spans="1:6" s="13" customFormat="1" ht="26.25">
      <c r="A79" s="29" t="s">
        <v>79</v>
      </c>
      <c r="B79" s="19">
        <v>5310896.62</v>
      </c>
      <c r="C79" s="19">
        <v>6942978</v>
      </c>
      <c r="D79" s="19">
        <v>6631536</v>
      </c>
      <c r="E79" s="299">
        <v>-311442</v>
      </c>
      <c r="F79" s="24">
        <v>-4.4857120388398175E-2</v>
      </c>
    </row>
    <row r="80" spans="1:6" s="36" customFormat="1" ht="26.25">
      <c r="A80" s="32" t="s">
        <v>80</v>
      </c>
      <c r="B80" s="301">
        <v>13373437.379999999</v>
      </c>
      <c r="C80" s="301">
        <v>18649440</v>
      </c>
      <c r="D80" s="301">
        <v>17444285</v>
      </c>
      <c r="E80" s="300">
        <v>-1205155</v>
      </c>
      <c r="F80" s="35">
        <v>-6.4621511423399308E-2</v>
      </c>
    </row>
    <row r="81" spans="1:6" s="13" customFormat="1" ht="26.25">
      <c r="A81" s="29" t="s">
        <v>81</v>
      </c>
      <c r="B81" s="19">
        <v>746117</v>
      </c>
      <c r="C81" s="19">
        <v>399490</v>
      </c>
      <c r="D81" s="19">
        <v>381157</v>
      </c>
      <c r="E81" s="299">
        <v>-18333</v>
      </c>
      <c r="F81" s="24">
        <v>-4.5891011039074822E-2</v>
      </c>
    </row>
    <row r="82" spans="1:6" s="13" customFormat="1" ht="26.25">
      <c r="A82" s="29" t="s">
        <v>82</v>
      </c>
      <c r="B82" s="299">
        <v>409329.50999999995</v>
      </c>
      <c r="C82" s="299">
        <v>667932</v>
      </c>
      <c r="D82" s="299">
        <v>697784</v>
      </c>
      <c r="E82" s="299">
        <v>29852</v>
      </c>
      <c r="F82" s="24">
        <v>4.469317235886288E-2</v>
      </c>
    </row>
    <row r="83" spans="1:6" s="13" customFormat="1" ht="26.25">
      <c r="A83" s="29" t="s">
        <v>83</v>
      </c>
      <c r="B83" s="299">
        <v>0</v>
      </c>
      <c r="C83" s="299">
        <v>0</v>
      </c>
      <c r="D83" s="299">
        <v>0</v>
      </c>
      <c r="E83" s="299">
        <v>0</v>
      </c>
      <c r="F83" s="24">
        <v>0</v>
      </c>
    </row>
    <row r="84" spans="1:6" s="13" customFormat="1" ht="26.25">
      <c r="A84" s="29" t="s">
        <v>84</v>
      </c>
      <c r="B84" s="299">
        <v>2605197</v>
      </c>
      <c r="C84" s="299">
        <v>2605197</v>
      </c>
      <c r="D84" s="299">
        <v>2338629</v>
      </c>
      <c r="E84" s="299">
        <v>-266568</v>
      </c>
      <c r="F84" s="24">
        <v>-0.10232162865226699</v>
      </c>
    </row>
    <row r="85" spans="1:6" s="36" customFormat="1" ht="26.25">
      <c r="A85" s="32" t="s">
        <v>85</v>
      </c>
      <c r="B85" s="300">
        <v>3760643.51</v>
      </c>
      <c r="C85" s="300">
        <v>3672619</v>
      </c>
      <c r="D85" s="300">
        <v>3417570</v>
      </c>
      <c r="E85" s="300">
        <v>-255049</v>
      </c>
      <c r="F85" s="35">
        <v>-6.9446081937712567E-2</v>
      </c>
    </row>
    <row r="86" spans="1:6" s="13" customFormat="1" ht="26.25">
      <c r="A86" s="29" t="s">
        <v>86</v>
      </c>
      <c r="B86" s="299">
        <v>626466</v>
      </c>
      <c r="C86" s="299">
        <v>380802</v>
      </c>
      <c r="D86" s="299">
        <v>355896</v>
      </c>
      <c r="E86" s="299">
        <v>-24906</v>
      </c>
      <c r="F86" s="24">
        <v>-6.540406825594404E-2</v>
      </c>
    </row>
    <row r="87" spans="1:6" s="13" customFormat="1" ht="26.25">
      <c r="A87" s="29" t="s">
        <v>87</v>
      </c>
      <c r="B87" s="299">
        <v>0</v>
      </c>
      <c r="C87" s="299">
        <v>0</v>
      </c>
      <c r="D87" s="299">
        <v>0</v>
      </c>
      <c r="E87" s="299">
        <v>0</v>
      </c>
      <c r="F87" s="24">
        <v>0</v>
      </c>
    </row>
    <row r="88" spans="1:6" s="13" customFormat="1" ht="26.25">
      <c r="A88" s="38" t="s">
        <v>88</v>
      </c>
      <c r="B88" s="299">
        <v>49008</v>
      </c>
      <c r="C88" s="299">
        <v>0</v>
      </c>
      <c r="D88" s="299">
        <v>0</v>
      </c>
      <c r="E88" s="299">
        <v>0</v>
      </c>
      <c r="F88" s="24">
        <v>0</v>
      </c>
    </row>
    <row r="89" spans="1:6" s="36" customFormat="1" ht="26.25">
      <c r="A89" s="52" t="s">
        <v>89</v>
      </c>
      <c r="B89" s="301">
        <v>675474</v>
      </c>
      <c r="C89" s="301">
        <v>380802</v>
      </c>
      <c r="D89" s="301">
        <v>355896</v>
      </c>
      <c r="E89" s="301">
        <v>-24906</v>
      </c>
      <c r="F89" s="35">
        <v>-6.540406825594404E-2</v>
      </c>
    </row>
    <row r="90" spans="1:6" s="13" customFormat="1" ht="26.25">
      <c r="A90" s="38" t="s">
        <v>90</v>
      </c>
      <c r="B90" s="299">
        <v>0</v>
      </c>
      <c r="C90" s="299">
        <v>0</v>
      </c>
      <c r="D90" s="298">
        <v>0</v>
      </c>
      <c r="E90" s="299">
        <v>0</v>
      </c>
      <c r="F90" s="24">
        <v>0</v>
      </c>
    </row>
    <row r="91" spans="1:6" s="36" customFormat="1" ht="27" thickBot="1">
      <c r="A91" s="53" t="s">
        <v>71</v>
      </c>
      <c r="B91" s="302">
        <v>91975088.280000001</v>
      </c>
      <c r="C91" s="302">
        <v>94778808</v>
      </c>
      <c r="D91" s="55">
        <v>96887907</v>
      </c>
      <c r="E91" s="302">
        <v>2109099</v>
      </c>
      <c r="F91" s="56">
        <v>2.2252854245645291E-2</v>
      </c>
    </row>
    <row r="92" spans="1:6" s="60" customFormat="1" ht="32.25" thickBot="1">
      <c r="A92" s="57"/>
      <c r="B92" s="58"/>
      <c r="C92" s="58"/>
      <c r="D92" s="58"/>
      <c r="E92" s="59"/>
      <c r="F92" s="59"/>
    </row>
    <row r="93" spans="1:6" s="13" customFormat="1" ht="26.25">
      <c r="A93" s="160" t="s">
        <v>43</v>
      </c>
      <c r="B93" s="161"/>
      <c r="C93" s="161"/>
      <c r="D93" s="162"/>
      <c r="E93" s="161"/>
      <c r="F93" s="163"/>
    </row>
    <row r="94" spans="1:6" s="13" customFormat="1" ht="26.25">
      <c r="A94" s="164" t="s">
        <v>44</v>
      </c>
      <c r="B94" s="165">
        <v>0</v>
      </c>
      <c r="C94" s="165">
        <v>0</v>
      </c>
      <c r="D94" s="166"/>
      <c r="E94" s="165">
        <v>0</v>
      </c>
      <c r="F94" s="167">
        <v>0</v>
      </c>
    </row>
    <row r="95" spans="1:6" s="13" customFormat="1" ht="26.25">
      <c r="A95" s="234" t="s">
        <v>45</v>
      </c>
      <c r="B95" s="189">
        <v>0</v>
      </c>
      <c r="C95" s="189">
        <v>0</v>
      </c>
      <c r="D95" s="190"/>
      <c r="E95" s="198">
        <v>0</v>
      </c>
      <c r="F95" s="235">
        <v>0</v>
      </c>
    </row>
    <row r="96" spans="1:6" s="241" customFormat="1" ht="26.25">
      <c r="A96" s="236" t="s">
        <v>127</v>
      </c>
      <c r="B96" s="303">
        <v>-6000000</v>
      </c>
      <c r="C96" s="303">
        <v>-6000000</v>
      </c>
      <c r="D96" s="304"/>
      <c r="E96" s="303">
        <v>6000000</v>
      </c>
      <c r="F96" s="306">
        <v>1</v>
      </c>
    </row>
    <row r="97" spans="1:10" s="13" customFormat="1" ht="26.25" hidden="1">
      <c r="A97" s="164" t="s">
        <v>47</v>
      </c>
      <c r="B97" s="165">
        <v>0</v>
      </c>
      <c r="C97" s="165">
        <v>0</v>
      </c>
      <c r="D97" s="166"/>
      <c r="E97" s="165">
        <v>0</v>
      </c>
      <c r="F97" s="167">
        <v>0</v>
      </c>
    </row>
    <row r="98" spans="1:10" s="13" customFormat="1" ht="26.25" hidden="1">
      <c r="A98" s="170" t="s">
        <v>48</v>
      </c>
      <c r="B98" s="165">
        <v>0</v>
      </c>
      <c r="C98" s="165">
        <v>0</v>
      </c>
      <c r="D98" s="166"/>
      <c r="E98" s="307">
        <v>0</v>
      </c>
      <c r="F98" s="167">
        <v>0</v>
      </c>
    </row>
    <row r="99" spans="1:10" s="36" customFormat="1" ht="27" thickBot="1">
      <c r="A99" s="171" t="s">
        <v>49</v>
      </c>
      <c r="B99" s="172">
        <v>-6000000</v>
      </c>
      <c r="C99" s="172">
        <v>-6000000</v>
      </c>
      <c r="D99" s="173">
        <v>0</v>
      </c>
      <c r="E99" s="172">
        <v>6000000</v>
      </c>
      <c r="F99" s="174">
        <v>1</v>
      </c>
      <c r="J99" s="36" t="s">
        <v>50</v>
      </c>
    </row>
    <row r="100" spans="1:10" s="36" customFormat="1" ht="26.25">
      <c r="A100" s="175"/>
      <c r="B100" s="176"/>
      <c r="C100" s="176"/>
      <c r="D100" s="176"/>
      <c r="E100" s="176"/>
      <c r="F100" s="177"/>
    </row>
    <row r="101" spans="1:10" s="60" customFormat="1" ht="31.5">
      <c r="A101" s="61" t="s">
        <v>91</v>
      </c>
      <c r="B101" s="62"/>
      <c r="C101" s="62"/>
      <c r="D101" s="62"/>
      <c r="E101" s="59"/>
      <c r="F101" s="59"/>
    </row>
    <row r="102" spans="1:10" s="60" customFormat="1" ht="31.5">
      <c r="A102" s="61" t="s">
        <v>92</v>
      </c>
      <c r="B102" s="62"/>
      <c r="C102" s="62"/>
      <c r="D102" s="62"/>
      <c r="E102" s="59"/>
      <c r="F102" s="59"/>
    </row>
    <row r="103" spans="1:10" ht="30">
      <c r="A103" s="178" t="s">
        <v>123</v>
      </c>
      <c r="B103" s="64"/>
      <c r="C103" s="64"/>
      <c r="D103" s="64"/>
    </row>
  </sheetData>
  <pageMargins left="0.7" right="0.7" top="0.3" bottom="0.3" header="0.3" footer="0.3"/>
  <pageSetup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3"/>
  <sheetViews>
    <sheetView topLeftCell="A67" zoomScale="50" zoomScaleNormal="50" workbookViewId="0">
      <selection activeCell="K22" sqref="K22"/>
    </sheetView>
  </sheetViews>
  <sheetFormatPr defaultRowHeight="15.75"/>
  <cols>
    <col min="1" max="1" width="116.140625" style="65" customWidth="1"/>
    <col min="2" max="2" width="32.7109375" style="66" customWidth="1"/>
    <col min="3" max="4" width="32.85546875" style="66" customWidth="1"/>
    <col min="5" max="5" width="35.42578125" style="65" customWidth="1"/>
    <col min="6" max="6" width="25.140625" style="65" customWidth="1"/>
    <col min="7" max="254" width="9.140625" style="65"/>
    <col min="255" max="255" width="116.140625" style="65" customWidth="1"/>
    <col min="256" max="256" width="32.7109375" style="65" customWidth="1"/>
    <col min="257" max="258" width="32.85546875" style="65" customWidth="1"/>
    <col min="259" max="259" width="29.7109375" style="65" customWidth="1"/>
    <col min="260" max="260" width="25.5703125" style="65" customWidth="1"/>
    <col min="261" max="261" width="35.42578125" style="65" customWidth="1"/>
    <col min="262" max="262" width="25.140625" style="65" customWidth="1"/>
    <col min="263" max="510" width="9.140625" style="65"/>
    <col min="511" max="511" width="116.140625" style="65" customWidth="1"/>
    <col min="512" max="512" width="32.7109375" style="65" customWidth="1"/>
    <col min="513" max="514" width="32.85546875" style="65" customWidth="1"/>
    <col min="515" max="515" width="29.7109375" style="65" customWidth="1"/>
    <col min="516" max="516" width="25.5703125" style="65" customWidth="1"/>
    <col min="517" max="517" width="35.42578125" style="65" customWidth="1"/>
    <col min="518" max="518" width="25.140625" style="65" customWidth="1"/>
    <col min="519" max="766" width="9.140625" style="65"/>
    <col min="767" max="767" width="116.140625" style="65" customWidth="1"/>
    <col min="768" max="768" width="32.7109375" style="65" customWidth="1"/>
    <col min="769" max="770" width="32.85546875" style="65" customWidth="1"/>
    <col min="771" max="771" width="29.7109375" style="65" customWidth="1"/>
    <col min="772" max="772" width="25.5703125" style="65" customWidth="1"/>
    <col min="773" max="773" width="35.42578125" style="65" customWidth="1"/>
    <col min="774" max="774" width="25.140625" style="65" customWidth="1"/>
    <col min="775" max="1022" width="9.140625" style="65"/>
    <col min="1023" max="1023" width="116.140625" style="65" customWidth="1"/>
    <col min="1024" max="1024" width="32.7109375" style="65" customWidth="1"/>
    <col min="1025" max="1026" width="32.85546875" style="65" customWidth="1"/>
    <col min="1027" max="1027" width="29.7109375" style="65" customWidth="1"/>
    <col min="1028" max="1028" width="25.5703125" style="65" customWidth="1"/>
    <col min="1029" max="1029" width="35.42578125" style="65" customWidth="1"/>
    <col min="1030" max="1030" width="25.140625" style="65" customWidth="1"/>
    <col min="1031" max="1278" width="9.140625" style="65"/>
    <col min="1279" max="1279" width="116.140625" style="65" customWidth="1"/>
    <col min="1280" max="1280" width="32.7109375" style="65" customWidth="1"/>
    <col min="1281" max="1282" width="32.85546875" style="65" customWidth="1"/>
    <col min="1283" max="1283" width="29.7109375" style="65" customWidth="1"/>
    <col min="1284" max="1284" width="25.5703125" style="65" customWidth="1"/>
    <col min="1285" max="1285" width="35.42578125" style="65" customWidth="1"/>
    <col min="1286" max="1286" width="25.140625" style="65" customWidth="1"/>
    <col min="1287" max="1534" width="9.140625" style="65"/>
    <col min="1535" max="1535" width="116.140625" style="65" customWidth="1"/>
    <col min="1536" max="1536" width="32.7109375" style="65" customWidth="1"/>
    <col min="1537" max="1538" width="32.85546875" style="65" customWidth="1"/>
    <col min="1539" max="1539" width="29.7109375" style="65" customWidth="1"/>
    <col min="1540" max="1540" width="25.5703125" style="65" customWidth="1"/>
    <col min="1541" max="1541" width="35.42578125" style="65" customWidth="1"/>
    <col min="1542" max="1542" width="25.140625" style="65" customWidth="1"/>
    <col min="1543" max="1790" width="9.140625" style="65"/>
    <col min="1791" max="1791" width="116.140625" style="65" customWidth="1"/>
    <col min="1792" max="1792" width="32.7109375" style="65" customWidth="1"/>
    <col min="1793" max="1794" width="32.85546875" style="65" customWidth="1"/>
    <col min="1795" max="1795" width="29.7109375" style="65" customWidth="1"/>
    <col min="1796" max="1796" width="25.5703125" style="65" customWidth="1"/>
    <col min="1797" max="1797" width="35.42578125" style="65" customWidth="1"/>
    <col min="1798" max="1798" width="25.140625" style="65" customWidth="1"/>
    <col min="1799" max="2046" width="9.140625" style="65"/>
    <col min="2047" max="2047" width="116.140625" style="65" customWidth="1"/>
    <col min="2048" max="2048" width="32.7109375" style="65" customWidth="1"/>
    <col min="2049" max="2050" width="32.85546875" style="65" customWidth="1"/>
    <col min="2051" max="2051" width="29.7109375" style="65" customWidth="1"/>
    <col min="2052" max="2052" width="25.5703125" style="65" customWidth="1"/>
    <col min="2053" max="2053" width="35.42578125" style="65" customWidth="1"/>
    <col min="2054" max="2054" width="25.140625" style="65" customWidth="1"/>
    <col min="2055" max="2302" width="9.140625" style="65"/>
    <col min="2303" max="2303" width="116.140625" style="65" customWidth="1"/>
    <col min="2304" max="2304" width="32.7109375" style="65" customWidth="1"/>
    <col min="2305" max="2306" width="32.85546875" style="65" customWidth="1"/>
    <col min="2307" max="2307" width="29.7109375" style="65" customWidth="1"/>
    <col min="2308" max="2308" width="25.5703125" style="65" customWidth="1"/>
    <col min="2309" max="2309" width="35.42578125" style="65" customWidth="1"/>
    <col min="2310" max="2310" width="25.140625" style="65" customWidth="1"/>
    <col min="2311" max="2558" width="9.140625" style="65"/>
    <col min="2559" max="2559" width="116.140625" style="65" customWidth="1"/>
    <col min="2560" max="2560" width="32.7109375" style="65" customWidth="1"/>
    <col min="2561" max="2562" width="32.85546875" style="65" customWidth="1"/>
    <col min="2563" max="2563" width="29.7109375" style="65" customWidth="1"/>
    <col min="2564" max="2564" width="25.5703125" style="65" customWidth="1"/>
    <col min="2565" max="2565" width="35.42578125" style="65" customWidth="1"/>
    <col min="2566" max="2566" width="25.140625" style="65" customWidth="1"/>
    <col min="2567" max="2814" width="9.140625" style="65"/>
    <col min="2815" max="2815" width="116.140625" style="65" customWidth="1"/>
    <col min="2816" max="2816" width="32.7109375" style="65" customWidth="1"/>
    <col min="2817" max="2818" width="32.85546875" style="65" customWidth="1"/>
    <col min="2819" max="2819" width="29.7109375" style="65" customWidth="1"/>
    <col min="2820" max="2820" width="25.5703125" style="65" customWidth="1"/>
    <col min="2821" max="2821" width="35.42578125" style="65" customWidth="1"/>
    <col min="2822" max="2822" width="25.140625" style="65" customWidth="1"/>
    <col min="2823" max="3070" width="9.140625" style="65"/>
    <col min="3071" max="3071" width="116.140625" style="65" customWidth="1"/>
    <col min="3072" max="3072" width="32.7109375" style="65" customWidth="1"/>
    <col min="3073" max="3074" width="32.85546875" style="65" customWidth="1"/>
    <col min="3075" max="3075" width="29.7109375" style="65" customWidth="1"/>
    <col min="3076" max="3076" width="25.5703125" style="65" customWidth="1"/>
    <col min="3077" max="3077" width="35.42578125" style="65" customWidth="1"/>
    <col min="3078" max="3078" width="25.140625" style="65" customWidth="1"/>
    <col min="3079" max="3326" width="9.140625" style="65"/>
    <col min="3327" max="3327" width="116.140625" style="65" customWidth="1"/>
    <col min="3328" max="3328" width="32.7109375" style="65" customWidth="1"/>
    <col min="3329" max="3330" width="32.85546875" style="65" customWidth="1"/>
    <col min="3331" max="3331" width="29.7109375" style="65" customWidth="1"/>
    <col min="3332" max="3332" width="25.5703125" style="65" customWidth="1"/>
    <col min="3333" max="3333" width="35.42578125" style="65" customWidth="1"/>
    <col min="3334" max="3334" width="25.140625" style="65" customWidth="1"/>
    <col min="3335" max="3582" width="9.140625" style="65"/>
    <col min="3583" max="3583" width="116.140625" style="65" customWidth="1"/>
    <col min="3584" max="3584" width="32.7109375" style="65" customWidth="1"/>
    <col min="3585" max="3586" width="32.85546875" style="65" customWidth="1"/>
    <col min="3587" max="3587" width="29.7109375" style="65" customWidth="1"/>
    <col min="3588" max="3588" width="25.5703125" style="65" customWidth="1"/>
    <col min="3589" max="3589" width="35.42578125" style="65" customWidth="1"/>
    <col min="3590" max="3590" width="25.140625" style="65" customWidth="1"/>
    <col min="3591" max="3838" width="9.140625" style="65"/>
    <col min="3839" max="3839" width="116.140625" style="65" customWidth="1"/>
    <col min="3840" max="3840" width="32.7109375" style="65" customWidth="1"/>
    <col min="3841" max="3842" width="32.85546875" style="65" customWidth="1"/>
    <col min="3843" max="3843" width="29.7109375" style="65" customWidth="1"/>
    <col min="3844" max="3844" width="25.5703125" style="65" customWidth="1"/>
    <col min="3845" max="3845" width="35.42578125" style="65" customWidth="1"/>
    <col min="3846" max="3846" width="25.140625" style="65" customWidth="1"/>
    <col min="3847" max="4094" width="9.140625" style="65"/>
    <col min="4095" max="4095" width="116.140625" style="65" customWidth="1"/>
    <col min="4096" max="4096" width="32.7109375" style="65" customWidth="1"/>
    <col min="4097" max="4098" width="32.85546875" style="65" customWidth="1"/>
    <col min="4099" max="4099" width="29.7109375" style="65" customWidth="1"/>
    <col min="4100" max="4100" width="25.5703125" style="65" customWidth="1"/>
    <col min="4101" max="4101" width="35.42578125" style="65" customWidth="1"/>
    <col min="4102" max="4102" width="25.140625" style="65" customWidth="1"/>
    <col min="4103" max="4350" width="9.140625" style="65"/>
    <col min="4351" max="4351" width="116.140625" style="65" customWidth="1"/>
    <col min="4352" max="4352" width="32.7109375" style="65" customWidth="1"/>
    <col min="4353" max="4354" width="32.85546875" style="65" customWidth="1"/>
    <col min="4355" max="4355" width="29.7109375" style="65" customWidth="1"/>
    <col min="4356" max="4356" width="25.5703125" style="65" customWidth="1"/>
    <col min="4357" max="4357" width="35.42578125" style="65" customWidth="1"/>
    <col min="4358" max="4358" width="25.140625" style="65" customWidth="1"/>
    <col min="4359" max="4606" width="9.140625" style="65"/>
    <col min="4607" max="4607" width="116.140625" style="65" customWidth="1"/>
    <col min="4608" max="4608" width="32.7109375" style="65" customWidth="1"/>
    <col min="4609" max="4610" width="32.85546875" style="65" customWidth="1"/>
    <col min="4611" max="4611" width="29.7109375" style="65" customWidth="1"/>
    <col min="4612" max="4612" width="25.5703125" style="65" customWidth="1"/>
    <col min="4613" max="4613" width="35.42578125" style="65" customWidth="1"/>
    <col min="4614" max="4614" width="25.140625" style="65" customWidth="1"/>
    <col min="4615" max="4862" width="9.140625" style="65"/>
    <col min="4863" max="4863" width="116.140625" style="65" customWidth="1"/>
    <col min="4864" max="4864" width="32.7109375" style="65" customWidth="1"/>
    <col min="4865" max="4866" width="32.85546875" style="65" customWidth="1"/>
    <col min="4867" max="4867" width="29.7109375" style="65" customWidth="1"/>
    <col min="4868" max="4868" width="25.5703125" style="65" customWidth="1"/>
    <col min="4869" max="4869" width="35.42578125" style="65" customWidth="1"/>
    <col min="4870" max="4870" width="25.140625" style="65" customWidth="1"/>
    <col min="4871" max="5118" width="9.140625" style="65"/>
    <col min="5119" max="5119" width="116.140625" style="65" customWidth="1"/>
    <col min="5120" max="5120" width="32.7109375" style="65" customWidth="1"/>
    <col min="5121" max="5122" width="32.85546875" style="65" customWidth="1"/>
    <col min="5123" max="5123" width="29.7109375" style="65" customWidth="1"/>
    <col min="5124" max="5124" width="25.5703125" style="65" customWidth="1"/>
    <col min="5125" max="5125" width="35.42578125" style="65" customWidth="1"/>
    <col min="5126" max="5126" width="25.140625" style="65" customWidth="1"/>
    <col min="5127" max="5374" width="9.140625" style="65"/>
    <col min="5375" max="5375" width="116.140625" style="65" customWidth="1"/>
    <col min="5376" max="5376" width="32.7109375" style="65" customWidth="1"/>
    <col min="5377" max="5378" width="32.85546875" style="65" customWidth="1"/>
    <col min="5379" max="5379" width="29.7109375" style="65" customWidth="1"/>
    <col min="5380" max="5380" width="25.5703125" style="65" customWidth="1"/>
    <col min="5381" max="5381" width="35.42578125" style="65" customWidth="1"/>
    <col min="5382" max="5382" width="25.140625" style="65" customWidth="1"/>
    <col min="5383" max="5630" width="9.140625" style="65"/>
    <col min="5631" max="5631" width="116.140625" style="65" customWidth="1"/>
    <col min="5632" max="5632" width="32.7109375" style="65" customWidth="1"/>
    <col min="5633" max="5634" width="32.85546875" style="65" customWidth="1"/>
    <col min="5635" max="5635" width="29.7109375" style="65" customWidth="1"/>
    <col min="5636" max="5636" width="25.5703125" style="65" customWidth="1"/>
    <col min="5637" max="5637" width="35.42578125" style="65" customWidth="1"/>
    <col min="5638" max="5638" width="25.140625" style="65" customWidth="1"/>
    <col min="5639" max="5886" width="9.140625" style="65"/>
    <col min="5887" max="5887" width="116.140625" style="65" customWidth="1"/>
    <col min="5888" max="5888" width="32.7109375" style="65" customWidth="1"/>
    <col min="5889" max="5890" width="32.85546875" style="65" customWidth="1"/>
    <col min="5891" max="5891" width="29.7109375" style="65" customWidth="1"/>
    <col min="5892" max="5892" width="25.5703125" style="65" customWidth="1"/>
    <col min="5893" max="5893" width="35.42578125" style="65" customWidth="1"/>
    <col min="5894" max="5894" width="25.140625" style="65" customWidth="1"/>
    <col min="5895" max="6142" width="9.140625" style="65"/>
    <col min="6143" max="6143" width="116.140625" style="65" customWidth="1"/>
    <col min="6144" max="6144" width="32.7109375" style="65" customWidth="1"/>
    <col min="6145" max="6146" width="32.85546875" style="65" customWidth="1"/>
    <col min="6147" max="6147" width="29.7109375" style="65" customWidth="1"/>
    <col min="6148" max="6148" width="25.5703125" style="65" customWidth="1"/>
    <col min="6149" max="6149" width="35.42578125" style="65" customWidth="1"/>
    <col min="6150" max="6150" width="25.140625" style="65" customWidth="1"/>
    <col min="6151" max="6398" width="9.140625" style="65"/>
    <col min="6399" max="6399" width="116.140625" style="65" customWidth="1"/>
    <col min="6400" max="6400" width="32.7109375" style="65" customWidth="1"/>
    <col min="6401" max="6402" width="32.85546875" style="65" customWidth="1"/>
    <col min="6403" max="6403" width="29.7109375" style="65" customWidth="1"/>
    <col min="6404" max="6404" width="25.5703125" style="65" customWidth="1"/>
    <col min="6405" max="6405" width="35.42578125" style="65" customWidth="1"/>
    <col min="6406" max="6406" width="25.140625" style="65" customWidth="1"/>
    <col min="6407" max="6654" width="9.140625" style="65"/>
    <col min="6655" max="6655" width="116.140625" style="65" customWidth="1"/>
    <col min="6656" max="6656" width="32.7109375" style="65" customWidth="1"/>
    <col min="6657" max="6658" width="32.85546875" style="65" customWidth="1"/>
    <col min="6659" max="6659" width="29.7109375" style="65" customWidth="1"/>
    <col min="6660" max="6660" width="25.5703125" style="65" customWidth="1"/>
    <col min="6661" max="6661" width="35.42578125" style="65" customWidth="1"/>
    <col min="6662" max="6662" width="25.140625" style="65" customWidth="1"/>
    <col min="6663" max="6910" width="9.140625" style="65"/>
    <col min="6911" max="6911" width="116.140625" style="65" customWidth="1"/>
    <col min="6912" max="6912" width="32.7109375" style="65" customWidth="1"/>
    <col min="6913" max="6914" width="32.85546875" style="65" customWidth="1"/>
    <col min="6915" max="6915" width="29.7109375" style="65" customWidth="1"/>
    <col min="6916" max="6916" width="25.5703125" style="65" customWidth="1"/>
    <col min="6917" max="6917" width="35.42578125" style="65" customWidth="1"/>
    <col min="6918" max="6918" width="25.140625" style="65" customWidth="1"/>
    <col min="6919" max="7166" width="9.140625" style="65"/>
    <col min="7167" max="7167" width="116.140625" style="65" customWidth="1"/>
    <col min="7168" max="7168" width="32.7109375" style="65" customWidth="1"/>
    <col min="7169" max="7170" width="32.85546875" style="65" customWidth="1"/>
    <col min="7171" max="7171" width="29.7109375" style="65" customWidth="1"/>
    <col min="7172" max="7172" width="25.5703125" style="65" customWidth="1"/>
    <col min="7173" max="7173" width="35.42578125" style="65" customWidth="1"/>
    <col min="7174" max="7174" width="25.140625" style="65" customWidth="1"/>
    <col min="7175" max="7422" width="9.140625" style="65"/>
    <col min="7423" max="7423" width="116.140625" style="65" customWidth="1"/>
    <col min="7424" max="7424" width="32.7109375" style="65" customWidth="1"/>
    <col min="7425" max="7426" width="32.85546875" style="65" customWidth="1"/>
    <col min="7427" max="7427" width="29.7109375" style="65" customWidth="1"/>
    <col min="7428" max="7428" width="25.5703125" style="65" customWidth="1"/>
    <col min="7429" max="7429" width="35.42578125" style="65" customWidth="1"/>
    <col min="7430" max="7430" width="25.140625" style="65" customWidth="1"/>
    <col min="7431" max="7678" width="9.140625" style="65"/>
    <col min="7679" max="7679" width="116.140625" style="65" customWidth="1"/>
    <col min="7680" max="7680" width="32.7109375" style="65" customWidth="1"/>
    <col min="7681" max="7682" width="32.85546875" style="65" customWidth="1"/>
    <col min="7683" max="7683" width="29.7109375" style="65" customWidth="1"/>
    <col min="7684" max="7684" width="25.5703125" style="65" customWidth="1"/>
    <col min="7685" max="7685" width="35.42578125" style="65" customWidth="1"/>
    <col min="7686" max="7686" width="25.140625" style="65" customWidth="1"/>
    <col min="7687" max="7934" width="9.140625" style="65"/>
    <col min="7935" max="7935" width="116.140625" style="65" customWidth="1"/>
    <col min="7936" max="7936" width="32.7109375" style="65" customWidth="1"/>
    <col min="7937" max="7938" width="32.85546875" style="65" customWidth="1"/>
    <col min="7939" max="7939" width="29.7109375" style="65" customWidth="1"/>
    <col min="7940" max="7940" width="25.5703125" style="65" customWidth="1"/>
    <col min="7941" max="7941" width="35.42578125" style="65" customWidth="1"/>
    <col min="7942" max="7942" width="25.140625" style="65" customWidth="1"/>
    <col min="7943" max="8190" width="9.140625" style="65"/>
    <col min="8191" max="8191" width="116.140625" style="65" customWidth="1"/>
    <col min="8192" max="8192" width="32.7109375" style="65" customWidth="1"/>
    <col min="8193" max="8194" width="32.85546875" style="65" customWidth="1"/>
    <col min="8195" max="8195" width="29.7109375" style="65" customWidth="1"/>
    <col min="8196" max="8196" width="25.5703125" style="65" customWidth="1"/>
    <col min="8197" max="8197" width="35.42578125" style="65" customWidth="1"/>
    <col min="8198" max="8198" width="25.140625" style="65" customWidth="1"/>
    <col min="8199" max="8446" width="9.140625" style="65"/>
    <col min="8447" max="8447" width="116.140625" style="65" customWidth="1"/>
    <col min="8448" max="8448" width="32.7109375" style="65" customWidth="1"/>
    <col min="8449" max="8450" width="32.85546875" style="65" customWidth="1"/>
    <col min="8451" max="8451" width="29.7109375" style="65" customWidth="1"/>
    <col min="8452" max="8452" width="25.5703125" style="65" customWidth="1"/>
    <col min="8453" max="8453" width="35.42578125" style="65" customWidth="1"/>
    <col min="8454" max="8454" width="25.140625" style="65" customWidth="1"/>
    <col min="8455" max="8702" width="9.140625" style="65"/>
    <col min="8703" max="8703" width="116.140625" style="65" customWidth="1"/>
    <col min="8704" max="8704" width="32.7109375" style="65" customWidth="1"/>
    <col min="8705" max="8706" width="32.85546875" style="65" customWidth="1"/>
    <col min="8707" max="8707" width="29.7109375" style="65" customWidth="1"/>
    <col min="8708" max="8708" width="25.5703125" style="65" customWidth="1"/>
    <col min="8709" max="8709" width="35.42578125" style="65" customWidth="1"/>
    <col min="8710" max="8710" width="25.140625" style="65" customWidth="1"/>
    <col min="8711" max="8958" width="9.140625" style="65"/>
    <col min="8959" max="8959" width="116.140625" style="65" customWidth="1"/>
    <col min="8960" max="8960" width="32.7109375" style="65" customWidth="1"/>
    <col min="8961" max="8962" width="32.85546875" style="65" customWidth="1"/>
    <col min="8963" max="8963" width="29.7109375" style="65" customWidth="1"/>
    <col min="8964" max="8964" width="25.5703125" style="65" customWidth="1"/>
    <col min="8965" max="8965" width="35.42578125" style="65" customWidth="1"/>
    <col min="8966" max="8966" width="25.140625" style="65" customWidth="1"/>
    <col min="8967" max="9214" width="9.140625" style="65"/>
    <col min="9215" max="9215" width="116.140625" style="65" customWidth="1"/>
    <col min="9216" max="9216" width="32.7109375" style="65" customWidth="1"/>
    <col min="9217" max="9218" width="32.85546875" style="65" customWidth="1"/>
    <col min="9219" max="9219" width="29.7109375" style="65" customWidth="1"/>
    <col min="9220" max="9220" width="25.5703125" style="65" customWidth="1"/>
    <col min="9221" max="9221" width="35.42578125" style="65" customWidth="1"/>
    <col min="9222" max="9222" width="25.140625" style="65" customWidth="1"/>
    <col min="9223" max="9470" width="9.140625" style="65"/>
    <col min="9471" max="9471" width="116.140625" style="65" customWidth="1"/>
    <col min="9472" max="9472" width="32.7109375" style="65" customWidth="1"/>
    <col min="9473" max="9474" width="32.85546875" style="65" customWidth="1"/>
    <col min="9475" max="9475" width="29.7109375" style="65" customWidth="1"/>
    <col min="9476" max="9476" width="25.5703125" style="65" customWidth="1"/>
    <col min="9477" max="9477" width="35.42578125" style="65" customWidth="1"/>
    <col min="9478" max="9478" width="25.140625" style="65" customWidth="1"/>
    <col min="9479" max="9726" width="9.140625" style="65"/>
    <col min="9727" max="9727" width="116.140625" style="65" customWidth="1"/>
    <col min="9728" max="9728" width="32.7109375" style="65" customWidth="1"/>
    <col min="9729" max="9730" width="32.85546875" style="65" customWidth="1"/>
    <col min="9731" max="9731" width="29.7109375" style="65" customWidth="1"/>
    <col min="9732" max="9732" width="25.5703125" style="65" customWidth="1"/>
    <col min="9733" max="9733" width="35.42578125" style="65" customWidth="1"/>
    <col min="9734" max="9734" width="25.140625" style="65" customWidth="1"/>
    <col min="9735" max="9982" width="9.140625" style="65"/>
    <col min="9983" max="9983" width="116.140625" style="65" customWidth="1"/>
    <col min="9984" max="9984" width="32.7109375" style="65" customWidth="1"/>
    <col min="9985" max="9986" width="32.85546875" style="65" customWidth="1"/>
    <col min="9987" max="9987" width="29.7109375" style="65" customWidth="1"/>
    <col min="9988" max="9988" width="25.5703125" style="65" customWidth="1"/>
    <col min="9989" max="9989" width="35.42578125" style="65" customWidth="1"/>
    <col min="9990" max="9990" width="25.140625" style="65" customWidth="1"/>
    <col min="9991" max="10238" width="9.140625" style="65"/>
    <col min="10239" max="10239" width="116.140625" style="65" customWidth="1"/>
    <col min="10240" max="10240" width="32.7109375" style="65" customWidth="1"/>
    <col min="10241" max="10242" width="32.85546875" style="65" customWidth="1"/>
    <col min="10243" max="10243" width="29.7109375" style="65" customWidth="1"/>
    <col min="10244" max="10244" width="25.5703125" style="65" customWidth="1"/>
    <col min="10245" max="10245" width="35.42578125" style="65" customWidth="1"/>
    <col min="10246" max="10246" width="25.140625" style="65" customWidth="1"/>
    <col min="10247" max="10494" width="9.140625" style="65"/>
    <col min="10495" max="10495" width="116.140625" style="65" customWidth="1"/>
    <col min="10496" max="10496" width="32.7109375" style="65" customWidth="1"/>
    <col min="10497" max="10498" width="32.85546875" style="65" customWidth="1"/>
    <col min="10499" max="10499" width="29.7109375" style="65" customWidth="1"/>
    <col min="10500" max="10500" width="25.5703125" style="65" customWidth="1"/>
    <col min="10501" max="10501" width="35.42578125" style="65" customWidth="1"/>
    <col min="10502" max="10502" width="25.140625" style="65" customWidth="1"/>
    <col min="10503" max="10750" width="9.140625" style="65"/>
    <col min="10751" max="10751" width="116.140625" style="65" customWidth="1"/>
    <col min="10752" max="10752" width="32.7109375" style="65" customWidth="1"/>
    <col min="10753" max="10754" width="32.85546875" style="65" customWidth="1"/>
    <col min="10755" max="10755" width="29.7109375" style="65" customWidth="1"/>
    <col min="10756" max="10756" width="25.5703125" style="65" customWidth="1"/>
    <col min="10757" max="10757" width="35.42578125" style="65" customWidth="1"/>
    <col min="10758" max="10758" width="25.140625" style="65" customWidth="1"/>
    <col min="10759" max="11006" width="9.140625" style="65"/>
    <col min="11007" max="11007" width="116.140625" style="65" customWidth="1"/>
    <col min="11008" max="11008" width="32.7109375" style="65" customWidth="1"/>
    <col min="11009" max="11010" width="32.85546875" style="65" customWidth="1"/>
    <col min="11011" max="11011" width="29.7109375" style="65" customWidth="1"/>
    <col min="11012" max="11012" width="25.5703125" style="65" customWidth="1"/>
    <col min="11013" max="11013" width="35.42578125" style="65" customWidth="1"/>
    <col min="11014" max="11014" width="25.140625" style="65" customWidth="1"/>
    <col min="11015" max="11262" width="9.140625" style="65"/>
    <col min="11263" max="11263" width="116.140625" style="65" customWidth="1"/>
    <col min="11264" max="11264" width="32.7109375" style="65" customWidth="1"/>
    <col min="11265" max="11266" width="32.85546875" style="65" customWidth="1"/>
    <col min="11267" max="11267" width="29.7109375" style="65" customWidth="1"/>
    <col min="11268" max="11268" width="25.5703125" style="65" customWidth="1"/>
    <col min="11269" max="11269" width="35.42578125" style="65" customWidth="1"/>
    <col min="11270" max="11270" width="25.140625" style="65" customWidth="1"/>
    <col min="11271" max="11518" width="9.140625" style="65"/>
    <col min="11519" max="11519" width="116.140625" style="65" customWidth="1"/>
    <col min="11520" max="11520" width="32.7109375" style="65" customWidth="1"/>
    <col min="11521" max="11522" width="32.85546875" style="65" customWidth="1"/>
    <col min="11523" max="11523" width="29.7109375" style="65" customWidth="1"/>
    <col min="11524" max="11524" width="25.5703125" style="65" customWidth="1"/>
    <col min="11525" max="11525" width="35.42578125" style="65" customWidth="1"/>
    <col min="11526" max="11526" width="25.140625" style="65" customWidth="1"/>
    <col min="11527" max="11774" width="9.140625" style="65"/>
    <col min="11775" max="11775" width="116.140625" style="65" customWidth="1"/>
    <col min="11776" max="11776" width="32.7109375" style="65" customWidth="1"/>
    <col min="11777" max="11778" width="32.85546875" style="65" customWidth="1"/>
    <col min="11779" max="11779" width="29.7109375" style="65" customWidth="1"/>
    <col min="11780" max="11780" width="25.5703125" style="65" customWidth="1"/>
    <col min="11781" max="11781" width="35.42578125" style="65" customWidth="1"/>
    <col min="11782" max="11782" width="25.140625" style="65" customWidth="1"/>
    <col min="11783" max="12030" width="9.140625" style="65"/>
    <col min="12031" max="12031" width="116.140625" style="65" customWidth="1"/>
    <col min="12032" max="12032" width="32.7109375" style="65" customWidth="1"/>
    <col min="12033" max="12034" width="32.85546875" style="65" customWidth="1"/>
    <col min="12035" max="12035" width="29.7109375" style="65" customWidth="1"/>
    <col min="12036" max="12036" width="25.5703125" style="65" customWidth="1"/>
    <col min="12037" max="12037" width="35.42578125" style="65" customWidth="1"/>
    <col min="12038" max="12038" width="25.140625" style="65" customWidth="1"/>
    <col min="12039" max="12286" width="9.140625" style="65"/>
    <col min="12287" max="12287" width="116.140625" style="65" customWidth="1"/>
    <col min="12288" max="12288" width="32.7109375" style="65" customWidth="1"/>
    <col min="12289" max="12290" width="32.85546875" style="65" customWidth="1"/>
    <col min="12291" max="12291" width="29.7109375" style="65" customWidth="1"/>
    <col min="12292" max="12292" width="25.5703125" style="65" customWidth="1"/>
    <col min="12293" max="12293" width="35.42578125" style="65" customWidth="1"/>
    <col min="12294" max="12294" width="25.140625" style="65" customWidth="1"/>
    <col min="12295" max="12542" width="9.140625" style="65"/>
    <col min="12543" max="12543" width="116.140625" style="65" customWidth="1"/>
    <col min="12544" max="12544" width="32.7109375" style="65" customWidth="1"/>
    <col min="12545" max="12546" width="32.85546875" style="65" customWidth="1"/>
    <col min="12547" max="12547" width="29.7109375" style="65" customWidth="1"/>
    <col min="12548" max="12548" width="25.5703125" style="65" customWidth="1"/>
    <col min="12549" max="12549" width="35.42578125" style="65" customWidth="1"/>
    <col min="12550" max="12550" width="25.140625" style="65" customWidth="1"/>
    <col min="12551" max="12798" width="9.140625" style="65"/>
    <col min="12799" max="12799" width="116.140625" style="65" customWidth="1"/>
    <col min="12800" max="12800" width="32.7109375" style="65" customWidth="1"/>
    <col min="12801" max="12802" width="32.85546875" style="65" customWidth="1"/>
    <col min="12803" max="12803" width="29.7109375" style="65" customWidth="1"/>
    <col min="12804" max="12804" width="25.5703125" style="65" customWidth="1"/>
    <col min="12805" max="12805" width="35.42578125" style="65" customWidth="1"/>
    <col min="12806" max="12806" width="25.140625" style="65" customWidth="1"/>
    <col min="12807" max="13054" width="9.140625" style="65"/>
    <col min="13055" max="13055" width="116.140625" style="65" customWidth="1"/>
    <col min="13056" max="13056" width="32.7109375" style="65" customWidth="1"/>
    <col min="13057" max="13058" width="32.85546875" style="65" customWidth="1"/>
    <col min="13059" max="13059" width="29.7109375" style="65" customWidth="1"/>
    <col min="13060" max="13060" width="25.5703125" style="65" customWidth="1"/>
    <col min="13061" max="13061" width="35.42578125" style="65" customWidth="1"/>
    <col min="13062" max="13062" width="25.140625" style="65" customWidth="1"/>
    <col min="13063" max="13310" width="9.140625" style="65"/>
    <col min="13311" max="13311" width="116.140625" style="65" customWidth="1"/>
    <col min="13312" max="13312" width="32.7109375" style="65" customWidth="1"/>
    <col min="13313" max="13314" width="32.85546875" style="65" customWidth="1"/>
    <col min="13315" max="13315" width="29.7109375" style="65" customWidth="1"/>
    <col min="13316" max="13316" width="25.5703125" style="65" customWidth="1"/>
    <col min="13317" max="13317" width="35.42578125" style="65" customWidth="1"/>
    <col min="13318" max="13318" width="25.140625" style="65" customWidth="1"/>
    <col min="13319" max="13566" width="9.140625" style="65"/>
    <col min="13567" max="13567" width="116.140625" style="65" customWidth="1"/>
    <col min="13568" max="13568" width="32.7109375" style="65" customWidth="1"/>
    <col min="13569" max="13570" width="32.85546875" style="65" customWidth="1"/>
    <col min="13571" max="13571" width="29.7109375" style="65" customWidth="1"/>
    <col min="13572" max="13572" width="25.5703125" style="65" customWidth="1"/>
    <col min="13573" max="13573" width="35.42578125" style="65" customWidth="1"/>
    <col min="13574" max="13574" width="25.140625" style="65" customWidth="1"/>
    <col min="13575" max="13822" width="9.140625" style="65"/>
    <col min="13823" max="13823" width="116.140625" style="65" customWidth="1"/>
    <col min="13824" max="13824" width="32.7109375" style="65" customWidth="1"/>
    <col min="13825" max="13826" width="32.85546875" style="65" customWidth="1"/>
    <col min="13827" max="13827" width="29.7109375" style="65" customWidth="1"/>
    <col min="13828" max="13828" width="25.5703125" style="65" customWidth="1"/>
    <col min="13829" max="13829" width="35.42578125" style="65" customWidth="1"/>
    <col min="13830" max="13830" width="25.140625" style="65" customWidth="1"/>
    <col min="13831" max="14078" width="9.140625" style="65"/>
    <col min="14079" max="14079" width="116.140625" style="65" customWidth="1"/>
    <col min="14080" max="14080" width="32.7109375" style="65" customWidth="1"/>
    <col min="14081" max="14082" width="32.85546875" style="65" customWidth="1"/>
    <col min="14083" max="14083" width="29.7109375" style="65" customWidth="1"/>
    <col min="14084" max="14084" width="25.5703125" style="65" customWidth="1"/>
    <col min="14085" max="14085" width="35.42578125" style="65" customWidth="1"/>
    <col min="14086" max="14086" width="25.140625" style="65" customWidth="1"/>
    <col min="14087" max="14334" width="9.140625" style="65"/>
    <col min="14335" max="14335" width="116.140625" style="65" customWidth="1"/>
    <col min="14336" max="14336" width="32.7109375" style="65" customWidth="1"/>
    <col min="14337" max="14338" width="32.85546875" style="65" customWidth="1"/>
    <col min="14339" max="14339" width="29.7109375" style="65" customWidth="1"/>
    <col min="14340" max="14340" width="25.5703125" style="65" customWidth="1"/>
    <col min="14341" max="14341" width="35.42578125" style="65" customWidth="1"/>
    <col min="14342" max="14342" width="25.140625" style="65" customWidth="1"/>
    <col min="14343" max="14590" width="9.140625" style="65"/>
    <col min="14591" max="14591" width="116.140625" style="65" customWidth="1"/>
    <col min="14592" max="14592" width="32.7109375" style="65" customWidth="1"/>
    <col min="14593" max="14594" width="32.85546875" style="65" customWidth="1"/>
    <col min="14595" max="14595" width="29.7109375" style="65" customWidth="1"/>
    <col min="14596" max="14596" width="25.5703125" style="65" customWidth="1"/>
    <col min="14597" max="14597" width="35.42578125" style="65" customWidth="1"/>
    <col min="14598" max="14598" width="25.140625" style="65" customWidth="1"/>
    <col min="14599" max="14846" width="9.140625" style="65"/>
    <col min="14847" max="14847" width="116.140625" style="65" customWidth="1"/>
    <col min="14848" max="14848" width="32.7109375" style="65" customWidth="1"/>
    <col min="14849" max="14850" width="32.85546875" style="65" customWidth="1"/>
    <col min="14851" max="14851" width="29.7109375" style="65" customWidth="1"/>
    <col min="14852" max="14852" width="25.5703125" style="65" customWidth="1"/>
    <col min="14853" max="14853" width="35.42578125" style="65" customWidth="1"/>
    <col min="14854" max="14854" width="25.140625" style="65" customWidth="1"/>
    <col min="14855" max="15102" width="9.140625" style="65"/>
    <col min="15103" max="15103" width="116.140625" style="65" customWidth="1"/>
    <col min="15104" max="15104" width="32.7109375" style="65" customWidth="1"/>
    <col min="15105" max="15106" width="32.85546875" style="65" customWidth="1"/>
    <col min="15107" max="15107" width="29.7109375" style="65" customWidth="1"/>
    <col min="15108" max="15108" width="25.5703125" style="65" customWidth="1"/>
    <col min="15109" max="15109" width="35.42578125" style="65" customWidth="1"/>
    <col min="15110" max="15110" width="25.140625" style="65" customWidth="1"/>
    <col min="15111" max="15358" width="9.140625" style="65"/>
    <col min="15359" max="15359" width="116.140625" style="65" customWidth="1"/>
    <col min="15360" max="15360" width="32.7109375" style="65" customWidth="1"/>
    <col min="15361" max="15362" width="32.85546875" style="65" customWidth="1"/>
    <col min="15363" max="15363" width="29.7109375" style="65" customWidth="1"/>
    <col min="15364" max="15364" width="25.5703125" style="65" customWidth="1"/>
    <col min="15365" max="15365" width="35.42578125" style="65" customWidth="1"/>
    <col min="15366" max="15366" width="25.140625" style="65" customWidth="1"/>
    <col min="15367" max="15614" width="9.140625" style="65"/>
    <col min="15615" max="15615" width="116.140625" style="65" customWidth="1"/>
    <col min="15616" max="15616" width="32.7109375" style="65" customWidth="1"/>
    <col min="15617" max="15618" width="32.85546875" style="65" customWidth="1"/>
    <col min="15619" max="15619" width="29.7109375" style="65" customWidth="1"/>
    <col min="15620" max="15620" width="25.5703125" style="65" customWidth="1"/>
    <col min="15621" max="15621" width="35.42578125" style="65" customWidth="1"/>
    <col min="15622" max="15622" width="25.140625" style="65" customWidth="1"/>
    <col min="15623" max="15870" width="9.140625" style="65"/>
    <col min="15871" max="15871" width="116.140625" style="65" customWidth="1"/>
    <col min="15872" max="15872" width="32.7109375" style="65" customWidth="1"/>
    <col min="15873" max="15874" width="32.85546875" style="65" customWidth="1"/>
    <col min="15875" max="15875" width="29.7109375" style="65" customWidth="1"/>
    <col min="15876" max="15876" width="25.5703125" style="65" customWidth="1"/>
    <col min="15877" max="15877" width="35.42578125" style="65" customWidth="1"/>
    <col min="15878" max="15878" width="25.140625" style="65" customWidth="1"/>
    <col min="15879" max="16126" width="9.140625" style="65"/>
    <col min="16127" max="16127" width="116.140625" style="65" customWidth="1"/>
    <col min="16128" max="16128" width="32.7109375" style="65" customWidth="1"/>
    <col min="16129" max="16130" width="32.85546875" style="65" customWidth="1"/>
    <col min="16131" max="16131" width="29.7109375" style="65" customWidth="1"/>
    <col min="16132" max="16132" width="25.5703125" style="65" customWidth="1"/>
    <col min="16133" max="16133" width="35.42578125" style="65" customWidth="1"/>
    <col min="16134" max="16134" width="25.140625" style="65" customWidth="1"/>
    <col min="16135" max="16384" width="9.140625" style="65"/>
  </cols>
  <sheetData>
    <row r="1" spans="1:6" s="6" customFormat="1" ht="46.5">
      <c r="A1" s="1" t="s">
        <v>0</v>
      </c>
      <c r="D1" s="277" t="s">
        <v>1</v>
      </c>
      <c r="E1" s="4" t="s">
        <v>138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159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11925105</v>
      </c>
      <c r="C8" s="23">
        <v>11925105</v>
      </c>
      <c r="D8" s="23">
        <v>13331233</v>
      </c>
      <c r="E8" s="23">
        <v>1406128</v>
      </c>
      <c r="F8" s="24">
        <v>0.11791325946396279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98">
        <v>93787</v>
      </c>
      <c r="C10" s="26">
        <v>94147</v>
      </c>
      <c r="D10" s="26">
        <v>94872</v>
      </c>
      <c r="E10" s="26">
        <v>725</v>
      </c>
      <c r="F10" s="24">
        <v>7.7007233369093013E-3</v>
      </c>
    </row>
    <row r="11" spans="1:6" s="13" customFormat="1" ht="26.25">
      <c r="A11" s="27" t="s">
        <v>19</v>
      </c>
      <c r="B11" s="299">
        <v>0</v>
      </c>
      <c r="C11" s="28">
        <v>0</v>
      </c>
      <c r="D11" s="28">
        <v>0</v>
      </c>
      <c r="E11" s="26">
        <v>0</v>
      </c>
      <c r="F11" s="24">
        <v>0</v>
      </c>
    </row>
    <row r="12" spans="1:6" s="13" customFormat="1" ht="26.25">
      <c r="A12" s="29" t="s">
        <v>20</v>
      </c>
      <c r="B12" s="299">
        <v>93787</v>
      </c>
      <c r="C12" s="28">
        <v>94147</v>
      </c>
      <c r="D12" s="28">
        <v>94872</v>
      </c>
      <c r="E12" s="26">
        <v>725</v>
      </c>
      <c r="F12" s="24">
        <v>7.7007233369093013E-3</v>
      </c>
    </row>
    <row r="13" spans="1:6" s="13" customFormat="1" ht="26.25">
      <c r="A13" s="29" t="s">
        <v>21</v>
      </c>
      <c r="B13" s="299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99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13" customFormat="1" ht="26.25">
      <c r="A15" s="29" t="s">
        <v>23</v>
      </c>
      <c r="B15" s="299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299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99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99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99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99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99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99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99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99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99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99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99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99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13" customFormat="1" ht="26.25">
      <c r="A29" s="31" t="s">
        <v>37</v>
      </c>
      <c r="B29" s="299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99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99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00">
        <v>12018892</v>
      </c>
      <c r="C34" s="34">
        <v>12019252</v>
      </c>
      <c r="D34" s="34">
        <v>13426105</v>
      </c>
      <c r="E34" s="34">
        <v>1406853</v>
      </c>
      <c r="F34" s="35">
        <v>0.11704996284294564</v>
      </c>
    </row>
    <row r="35" spans="1:10" s="13" customFormat="1" ht="26.25">
      <c r="A35" s="31" t="s">
        <v>43</v>
      </c>
      <c r="B35" s="299"/>
      <c r="C35" s="28"/>
      <c r="D35" s="28"/>
      <c r="E35" s="28"/>
      <c r="F35" s="20"/>
    </row>
    <row r="36" spans="1:10" s="13" customFormat="1" ht="26.25">
      <c r="A36" s="37" t="s">
        <v>44</v>
      </c>
      <c r="B36" s="23"/>
      <c r="C36" s="23"/>
      <c r="D36" s="23"/>
      <c r="E36" s="23">
        <v>0</v>
      </c>
      <c r="F36" s="24">
        <v>0</v>
      </c>
    </row>
    <row r="37" spans="1:10" s="13" customFormat="1" ht="26.25">
      <c r="A37" s="38" t="s">
        <v>45</v>
      </c>
      <c r="B37" s="23"/>
      <c r="C37" s="23"/>
      <c r="D37" s="23"/>
      <c r="E37" s="26">
        <v>0</v>
      </c>
      <c r="F37" s="24">
        <v>0</v>
      </c>
    </row>
    <row r="38" spans="1:10" s="13" customFormat="1" ht="26.25">
      <c r="A38" s="38" t="s">
        <v>46</v>
      </c>
      <c r="B38" s="23"/>
      <c r="C38" s="23"/>
      <c r="D38" s="23"/>
      <c r="E38" s="26">
        <v>0</v>
      </c>
      <c r="F38" s="24">
        <v>0</v>
      </c>
    </row>
    <row r="39" spans="1:10" s="13" customFormat="1" ht="26.25">
      <c r="A39" s="38" t="s">
        <v>47</v>
      </c>
      <c r="B39" s="23"/>
      <c r="C39" s="23"/>
      <c r="D39" s="23"/>
      <c r="E39" s="26">
        <v>0</v>
      </c>
      <c r="F39" s="24">
        <v>0</v>
      </c>
    </row>
    <row r="40" spans="1:10" s="13" customFormat="1" ht="26.25">
      <c r="A40" s="39" t="s">
        <v>48</v>
      </c>
      <c r="B40" s="23"/>
      <c r="C40" s="23"/>
      <c r="D40" s="23"/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0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99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99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0</v>
      </c>
      <c r="C45" s="42">
        <v>0</v>
      </c>
      <c r="D45" s="42">
        <v>0</v>
      </c>
      <c r="E45" s="42">
        <v>0</v>
      </c>
      <c r="F45" s="35">
        <v>0</v>
      </c>
    </row>
    <row r="46" spans="1:10" s="13" customFormat="1" ht="26.25">
      <c r="A46" s="29" t="s">
        <v>50</v>
      </c>
      <c r="B46" s="299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825922</v>
      </c>
      <c r="C47" s="40">
        <v>825561</v>
      </c>
      <c r="D47" s="40">
        <v>825561</v>
      </c>
      <c r="E47" s="40">
        <v>0</v>
      </c>
      <c r="F47" s="35">
        <v>0</v>
      </c>
    </row>
    <row r="48" spans="1:10" s="13" customFormat="1" ht="26.25">
      <c r="A48" s="29" t="s">
        <v>50</v>
      </c>
      <c r="B48" s="299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99"/>
      <c r="C52" s="28"/>
      <c r="D52" s="28"/>
      <c r="E52" s="28"/>
      <c r="F52" s="20"/>
    </row>
    <row r="53" spans="1:6" s="36" customFormat="1" ht="26.25">
      <c r="A53" s="46" t="s">
        <v>56</v>
      </c>
      <c r="B53" s="40">
        <v>12844814</v>
      </c>
      <c r="C53" s="40">
        <v>12844813</v>
      </c>
      <c r="D53" s="40">
        <v>14251666</v>
      </c>
      <c r="E53" s="40">
        <v>1406853</v>
      </c>
      <c r="F53" s="35">
        <v>0.10952693511380819</v>
      </c>
    </row>
    <row r="54" spans="1:6" s="13" customFormat="1" ht="26.25">
      <c r="A54" s="47"/>
      <c r="B54" s="299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0</v>
      </c>
      <c r="C57" s="19">
        <v>0</v>
      </c>
      <c r="D57" s="19">
        <v>0</v>
      </c>
      <c r="E57" s="19">
        <v>0</v>
      </c>
      <c r="F57" s="24">
        <v>0</v>
      </c>
    </row>
    <row r="58" spans="1:6" s="13" customFormat="1" ht="26.25">
      <c r="A58" s="29" t="s">
        <v>59</v>
      </c>
      <c r="B58" s="299">
        <v>5779512.3300000001</v>
      </c>
      <c r="C58" s="28">
        <v>5314108</v>
      </c>
      <c r="D58" s="28">
        <v>5482768</v>
      </c>
      <c r="E58" s="28">
        <v>168660</v>
      </c>
      <c r="F58" s="24">
        <v>3.1738158125502909E-2</v>
      </c>
    </row>
    <row r="59" spans="1:6" s="13" customFormat="1" ht="26.25">
      <c r="A59" s="29" t="s">
        <v>60</v>
      </c>
      <c r="B59" s="299">
        <v>195664.69</v>
      </c>
      <c r="C59" s="28">
        <v>233671</v>
      </c>
      <c r="D59" s="28">
        <v>233671</v>
      </c>
      <c r="E59" s="28">
        <v>0</v>
      </c>
      <c r="F59" s="24">
        <v>0</v>
      </c>
    </row>
    <row r="60" spans="1:6" s="13" customFormat="1" ht="26.25">
      <c r="A60" s="29" t="s">
        <v>61</v>
      </c>
      <c r="B60" s="299">
        <v>2617591.3800000004</v>
      </c>
      <c r="C60" s="28">
        <v>2529749</v>
      </c>
      <c r="D60" s="28">
        <v>2530565</v>
      </c>
      <c r="E60" s="28">
        <v>816</v>
      </c>
      <c r="F60" s="24">
        <v>3.2256164544387604E-4</v>
      </c>
    </row>
    <row r="61" spans="1:6" s="13" customFormat="1" ht="26.25">
      <c r="A61" s="29" t="s">
        <v>62</v>
      </c>
      <c r="B61" s="299">
        <v>0</v>
      </c>
      <c r="C61" s="28">
        <v>0</v>
      </c>
      <c r="D61" s="28">
        <v>0</v>
      </c>
      <c r="E61" s="28">
        <v>0</v>
      </c>
      <c r="F61" s="24">
        <v>0</v>
      </c>
    </row>
    <row r="62" spans="1:6" s="13" customFormat="1" ht="26.25">
      <c r="A62" s="29" t="s">
        <v>63</v>
      </c>
      <c r="B62" s="299">
        <v>1133782.3399999999</v>
      </c>
      <c r="C62" s="28">
        <v>1414033</v>
      </c>
      <c r="D62" s="28">
        <v>1340691</v>
      </c>
      <c r="E62" s="28">
        <v>-73342</v>
      </c>
      <c r="F62" s="24">
        <v>-5.1867247794075526E-2</v>
      </c>
    </row>
    <row r="63" spans="1:6" s="13" customFormat="1" ht="26.25">
      <c r="A63" s="29" t="s">
        <v>64</v>
      </c>
      <c r="B63" s="299">
        <v>0</v>
      </c>
      <c r="C63" s="28">
        <v>0</v>
      </c>
      <c r="D63" s="28">
        <v>0</v>
      </c>
      <c r="E63" s="28">
        <v>0</v>
      </c>
      <c r="F63" s="24">
        <v>0</v>
      </c>
    </row>
    <row r="64" spans="1:6" s="13" customFormat="1" ht="26.25">
      <c r="A64" s="29" t="s">
        <v>65</v>
      </c>
      <c r="B64" s="299">
        <v>4382159.91</v>
      </c>
      <c r="C64" s="28">
        <v>4653252</v>
      </c>
      <c r="D64" s="28">
        <v>4663971</v>
      </c>
      <c r="E64" s="28">
        <v>10719</v>
      </c>
      <c r="F64" s="24">
        <v>2.3035502912801629E-3</v>
      </c>
    </row>
    <row r="65" spans="1:6" s="36" customFormat="1" ht="26.25">
      <c r="A65" s="49" t="s">
        <v>66</v>
      </c>
      <c r="B65" s="300">
        <v>14108710.65</v>
      </c>
      <c r="C65" s="34">
        <v>14144813</v>
      </c>
      <c r="D65" s="34">
        <v>14251666</v>
      </c>
      <c r="E65" s="34">
        <v>106853</v>
      </c>
      <c r="F65" s="35">
        <v>7.554217931336385E-3</v>
      </c>
    </row>
    <row r="66" spans="1:6" s="13" customFormat="1" ht="26.25">
      <c r="A66" s="29" t="s">
        <v>67</v>
      </c>
      <c r="B66" s="299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99">
        <v>36101.97</v>
      </c>
      <c r="C67" s="28">
        <v>0</v>
      </c>
      <c r="D67" s="28">
        <v>0</v>
      </c>
      <c r="E67" s="28">
        <v>0</v>
      </c>
      <c r="F67" s="24">
        <v>0</v>
      </c>
    </row>
    <row r="68" spans="1:6" s="13" customFormat="1" ht="26.25">
      <c r="A68" s="29" t="s">
        <v>69</v>
      </c>
      <c r="B68" s="299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13" customFormat="1" ht="26.25">
      <c r="A69" s="29" t="s">
        <v>70</v>
      </c>
      <c r="B69" s="299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50" t="s">
        <v>71</v>
      </c>
      <c r="B70" s="301">
        <v>14144812.620000001</v>
      </c>
      <c r="C70" s="51">
        <v>14144813</v>
      </c>
      <c r="D70" s="51">
        <v>14251666</v>
      </c>
      <c r="E70" s="51">
        <v>106853</v>
      </c>
      <c r="F70" s="35">
        <v>7.554217931336385E-3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7567663.9699999997</v>
      </c>
      <c r="C73" s="23">
        <v>7130848</v>
      </c>
      <c r="D73" s="23">
        <v>7459771</v>
      </c>
      <c r="E73" s="19">
        <v>328923</v>
      </c>
      <c r="F73" s="24">
        <v>4.6126772019260541E-2</v>
      </c>
    </row>
    <row r="74" spans="1:6" s="13" customFormat="1" ht="26.25">
      <c r="A74" s="29" t="s">
        <v>74</v>
      </c>
      <c r="B74" s="298">
        <v>452209.29000000004</v>
      </c>
      <c r="C74" s="23">
        <v>95169</v>
      </c>
      <c r="D74" s="23">
        <v>161178</v>
      </c>
      <c r="E74" s="28">
        <v>66009</v>
      </c>
      <c r="F74" s="24">
        <v>0.69359770513507546</v>
      </c>
    </row>
    <row r="75" spans="1:6" s="13" customFormat="1" ht="26.25">
      <c r="A75" s="29" t="s">
        <v>75</v>
      </c>
      <c r="B75" s="19">
        <v>1907845.4</v>
      </c>
      <c r="C75" s="23">
        <v>2016304</v>
      </c>
      <c r="D75" s="23">
        <v>2122351</v>
      </c>
      <c r="E75" s="28">
        <v>106047</v>
      </c>
      <c r="F75" s="24">
        <v>5.259474761742277E-2</v>
      </c>
    </row>
    <row r="76" spans="1:6" s="36" customFormat="1" ht="26.25">
      <c r="A76" s="49" t="s">
        <v>76</v>
      </c>
      <c r="B76" s="301">
        <v>9927718.6600000001</v>
      </c>
      <c r="C76" s="51">
        <v>9242321</v>
      </c>
      <c r="D76" s="51">
        <v>9743300</v>
      </c>
      <c r="E76" s="34">
        <v>500979</v>
      </c>
      <c r="F76" s="35">
        <v>5.4204890741189359E-2</v>
      </c>
    </row>
    <row r="77" spans="1:6" s="13" customFormat="1" ht="26.25">
      <c r="A77" s="29" t="s">
        <v>77</v>
      </c>
      <c r="B77" s="298">
        <v>130590.62</v>
      </c>
      <c r="C77" s="26">
        <v>30304</v>
      </c>
      <c r="D77" s="26">
        <v>35804</v>
      </c>
      <c r="E77" s="28">
        <v>5500</v>
      </c>
      <c r="F77" s="24">
        <v>0.18149419218585006</v>
      </c>
    </row>
    <row r="78" spans="1:6" s="13" customFormat="1" ht="26.25">
      <c r="A78" s="29" t="s">
        <v>78</v>
      </c>
      <c r="B78" s="23">
        <v>2783214.33</v>
      </c>
      <c r="C78" s="23">
        <v>3444088</v>
      </c>
      <c r="D78" s="23">
        <v>3191333</v>
      </c>
      <c r="E78" s="28">
        <v>-252755</v>
      </c>
      <c r="F78" s="24">
        <v>-7.3388078353398639E-2</v>
      </c>
    </row>
    <row r="79" spans="1:6" s="13" customFormat="1" ht="26.25">
      <c r="A79" s="29" t="s">
        <v>79</v>
      </c>
      <c r="B79" s="19">
        <v>1130219.0799999998</v>
      </c>
      <c r="C79" s="19">
        <v>1305498</v>
      </c>
      <c r="D79" s="19">
        <v>1158627</v>
      </c>
      <c r="E79" s="28">
        <v>-146871</v>
      </c>
      <c r="F79" s="24">
        <v>-0.11250189582825865</v>
      </c>
    </row>
    <row r="80" spans="1:6" s="36" customFormat="1" ht="26.25">
      <c r="A80" s="32" t="s">
        <v>80</v>
      </c>
      <c r="B80" s="301">
        <v>4044024.0300000003</v>
      </c>
      <c r="C80" s="51">
        <v>4779890</v>
      </c>
      <c r="D80" s="51">
        <v>4385764</v>
      </c>
      <c r="E80" s="34">
        <v>-394126</v>
      </c>
      <c r="F80" s="35">
        <v>-8.2455035576132499E-2</v>
      </c>
    </row>
    <row r="81" spans="1:12" s="13" customFormat="1" ht="26.25">
      <c r="A81" s="29" t="s">
        <v>81</v>
      </c>
      <c r="B81" s="19">
        <v>74008.06</v>
      </c>
      <c r="C81" s="19">
        <v>119602</v>
      </c>
      <c r="D81" s="19">
        <v>119602</v>
      </c>
      <c r="E81" s="28">
        <v>0</v>
      </c>
      <c r="F81" s="24">
        <v>0</v>
      </c>
    </row>
    <row r="82" spans="1:12" s="13" customFormat="1" ht="26.25">
      <c r="A82" s="29" t="s">
        <v>82</v>
      </c>
      <c r="B82" s="299">
        <v>42073.88</v>
      </c>
      <c r="C82" s="28">
        <v>3000</v>
      </c>
      <c r="D82" s="28">
        <v>3000</v>
      </c>
      <c r="E82" s="28">
        <v>0</v>
      </c>
      <c r="F82" s="24">
        <v>0</v>
      </c>
    </row>
    <row r="83" spans="1:12" s="13" customFormat="1" ht="26.25">
      <c r="A83" s="29" t="s">
        <v>83</v>
      </c>
      <c r="B83" s="299">
        <v>0</v>
      </c>
      <c r="C83" s="28">
        <v>0</v>
      </c>
      <c r="D83" s="28">
        <v>0</v>
      </c>
      <c r="E83" s="28">
        <v>0</v>
      </c>
      <c r="F83" s="24">
        <v>0</v>
      </c>
    </row>
    <row r="84" spans="1:12" s="13" customFormat="1" ht="26.25">
      <c r="A84" s="29" t="s">
        <v>84</v>
      </c>
      <c r="B84" s="299">
        <v>0</v>
      </c>
      <c r="C84" s="28">
        <v>0</v>
      </c>
      <c r="D84" s="28">
        <v>0</v>
      </c>
      <c r="E84" s="28">
        <v>0</v>
      </c>
      <c r="F84" s="24">
        <v>0</v>
      </c>
    </row>
    <row r="85" spans="1:12" s="36" customFormat="1" ht="26.25">
      <c r="A85" s="32" t="s">
        <v>85</v>
      </c>
      <c r="B85" s="300">
        <v>116081.94</v>
      </c>
      <c r="C85" s="34">
        <v>122602</v>
      </c>
      <c r="D85" s="34">
        <v>122602</v>
      </c>
      <c r="E85" s="34">
        <v>0</v>
      </c>
      <c r="F85" s="35">
        <v>0</v>
      </c>
    </row>
    <row r="86" spans="1:12" s="13" customFormat="1" ht="26.25">
      <c r="A86" s="29" t="s">
        <v>86</v>
      </c>
      <c r="B86" s="299">
        <v>56987.990000000005</v>
      </c>
      <c r="C86" s="28">
        <v>0</v>
      </c>
      <c r="D86" s="28">
        <v>0</v>
      </c>
      <c r="E86" s="28">
        <v>0</v>
      </c>
      <c r="F86" s="24">
        <v>0</v>
      </c>
    </row>
    <row r="87" spans="1:12" s="13" customFormat="1" ht="26.25">
      <c r="A87" s="29" t="s">
        <v>87</v>
      </c>
      <c r="B87" s="299">
        <v>0</v>
      </c>
      <c r="C87" s="28">
        <v>0</v>
      </c>
      <c r="D87" s="28">
        <v>0</v>
      </c>
      <c r="E87" s="28">
        <v>0</v>
      </c>
      <c r="F87" s="24">
        <v>0</v>
      </c>
    </row>
    <row r="88" spans="1:12" s="13" customFormat="1" ht="26.25">
      <c r="A88" s="38" t="s">
        <v>88</v>
      </c>
      <c r="B88" s="299">
        <v>0</v>
      </c>
      <c r="C88" s="28">
        <v>0</v>
      </c>
      <c r="D88" s="28">
        <v>0</v>
      </c>
      <c r="E88" s="28">
        <v>0</v>
      </c>
      <c r="F88" s="24">
        <v>0</v>
      </c>
    </row>
    <row r="89" spans="1:12" s="36" customFormat="1" ht="26.25">
      <c r="A89" s="52" t="s">
        <v>89</v>
      </c>
      <c r="B89" s="301">
        <v>56987.990000000005</v>
      </c>
      <c r="C89" s="51">
        <v>0</v>
      </c>
      <c r="D89" s="51">
        <v>0</v>
      </c>
      <c r="E89" s="51">
        <v>0</v>
      </c>
      <c r="F89" s="35">
        <v>0</v>
      </c>
    </row>
    <row r="90" spans="1:12" s="13" customFormat="1" ht="26.25">
      <c r="A90" s="38" t="s">
        <v>90</v>
      </c>
      <c r="B90" s="299">
        <v>0</v>
      </c>
      <c r="C90" s="28">
        <v>0</v>
      </c>
      <c r="D90" s="26">
        <v>0</v>
      </c>
      <c r="E90" s="28">
        <v>0</v>
      </c>
      <c r="F90" s="24">
        <v>0</v>
      </c>
    </row>
    <row r="91" spans="1:12" s="36" customFormat="1" ht="27" thickBot="1">
      <c r="A91" s="53" t="s">
        <v>71</v>
      </c>
      <c r="B91" s="302">
        <v>14144812.620000001</v>
      </c>
      <c r="C91" s="54">
        <v>14144813</v>
      </c>
      <c r="D91" s="55">
        <v>14251666</v>
      </c>
      <c r="E91" s="54">
        <v>106853</v>
      </c>
      <c r="F91" s="56">
        <v>7.554217931336385E-3</v>
      </c>
    </row>
    <row r="92" spans="1:12" s="60" customFormat="1" ht="32.25" thickBot="1">
      <c r="A92" s="57"/>
      <c r="B92" s="58"/>
      <c r="C92" s="58"/>
      <c r="D92" s="58"/>
      <c r="E92" s="59"/>
      <c r="F92" s="59"/>
    </row>
    <row r="93" spans="1:12" s="60" customFormat="1" ht="31.5">
      <c r="A93" s="160" t="s">
        <v>43</v>
      </c>
      <c r="B93" s="161"/>
      <c r="C93" s="161"/>
      <c r="D93" s="162"/>
      <c r="E93" s="161"/>
      <c r="F93" s="163"/>
      <c r="G93" s="13"/>
      <c r="H93" s="13"/>
      <c r="I93" s="13"/>
      <c r="J93" s="13"/>
      <c r="K93" s="13"/>
      <c r="L93" s="13"/>
    </row>
    <row r="94" spans="1:12" s="60" customFormat="1" ht="31.5" hidden="1">
      <c r="A94" s="164" t="s">
        <v>121</v>
      </c>
      <c r="B94" s="165">
        <v>0</v>
      </c>
      <c r="C94" s="165">
        <v>0</v>
      </c>
      <c r="D94" s="166"/>
      <c r="E94" s="165">
        <v>0</v>
      </c>
      <c r="F94" s="167">
        <v>0</v>
      </c>
      <c r="G94" s="13"/>
      <c r="H94" s="13"/>
      <c r="I94" s="13"/>
      <c r="J94" s="13"/>
      <c r="K94" s="13"/>
      <c r="L94" s="13"/>
    </row>
    <row r="95" spans="1:12" ht="26.25" hidden="1">
      <c r="A95" s="234" t="s">
        <v>45</v>
      </c>
      <c r="B95" s="189">
        <v>0</v>
      </c>
      <c r="C95" s="189">
        <v>0</v>
      </c>
      <c r="D95" s="190"/>
      <c r="E95" s="198">
        <v>0</v>
      </c>
      <c r="F95" s="235">
        <v>0</v>
      </c>
      <c r="G95" s="13"/>
      <c r="H95" s="13"/>
      <c r="I95" s="13"/>
      <c r="J95" s="13"/>
      <c r="K95" s="13"/>
      <c r="L95" s="13"/>
    </row>
    <row r="96" spans="1:12" s="242" customFormat="1" ht="26.25">
      <c r="A96" s="236" t="s">
        <v>122</v>
      </c>
      <c r="B96" s="303">
        <v>-1300000</v>
      </c>
      <c r="C96" s="237">
        <v>-1300000</v>
      </c>
      <c r="D96" s="238"/>
      <c r="E96" s="237">
        <v>1300000</v>
      </c>
      <c r="F96" s="240">
        <v>1</v>
      </c>
      <c r="G96" s="241"/>
      <c r="H96" s="241"/>
      <c r="I96" s="241"/>
      <c r="J96" s="241"/>
      <c r="K96" s="241"/>
      <c r="L96" s="241"/>
    </row>
    <row r="97" spans="1:12" ht="26.25" hidden="1">
      <c r="A97" s="164" t="s">
        <v>47</v>
      </c>
      <c r="B97" s="165">
        <v>0</v>
      </c>
      <c r="C97" s="165">
        <v>0</v>
      </c>
      <c r="D97" s="166"/>
      <c r="E97" s="165">
        <v>0</v>
      </c>
      <c r="F97" s="167">
        <v>0</v>
      </c>
      <c r="G97" s="13"/>
      <c r="H97" s="13"/>
      <c r="I97" s="13"/>
      <c r="J97" s="13"/>
      <c r="K97" s="13"/>
      <c r="L97" s="13"/>
    </row>
    <row r="98" spans="1:12" ht="26.25" hidden="1">
      <c r="A98" s="170" t="s">
        <v>48</v>
      </c>
      <c r="B98" s="165">
        <v>0</v>
      </c>
      <c r="C98" s="165">
        <v>0</v>
      </c>
      <c r="D98" s="166"/>
      <c r="E98" s="169">
        <v>0</v>
      </c>
      <c r="F98" s="167">
        <v>0</v>
      </c>
      <c r="G98" s="13"/>
      <c r="H98" s="13"/>
      <c r="I98" s="13"/>
      <c r="J98" s="13"/>
      <c r="K98" s="13"/>
      <c r="L98" s="13"/>
    </row>
    <row r="99" spans="1:12" ht="27" thickBot="1">
      <c r="A99" s="171" t="s">
        <v>49</v>
      </c>
      <c r="B99" s="172">
        <v>-1300000</v>
      </c>
      <c r="C99" s="172">
        <v>-1300000</v>
      </c>
      <c r="D99" s="173">
        <v>0</v>
      </c>
      <c r="E99" s="172">
        <v>1300000</v>
      </c>
      <c r="F99" s="174">
        <v>1</v>
      </c>
      <c r="G99" s="36"/>
      <c r="H99" s="36"/>
      <c r="I99" s="36"/>
      <c r="J99" s="36" t="s">
        <v>50</v>
      </c>
      <c r="K99" s="36"/>
      <c r="L99" s="36"/>
    </row>
    <row r="100" spans="1:12" ht="26.25">
      <c r="A100" s="175"/>
      <c r="B100" s="176"/>
      <c r="C100" s="176"/>
      <c r="D100" s="176"/>
      <c r="E100" s="176"/>
      <c r="F100" s="177"/>
      <c r="G100" s="36"/>
      <c r="H100" s="36"/>
      <c r="I100" s="36"/>
      <c r="J100" s="36"/>
      <c r="K100" s="36"/>
      <c r="L100" s="36"/>
    </row>
    <row r="101" spans="1:12" ht="31.5">
      <c r="A101" s="61" t="s">
        <v>91</v>
      </c>
      <c r="B101" s="62"/>
      <c r="C101" s="62"/>
      <c r="D101" s="62"/>
      <c r="E101" s="59"/>
      <c r="F101" s="59"/>
      <c r="G101" s="60"/>
      <c r="H101" s="60"/>
      <c r="I101" s="60"/>
      <c r="J101" s="60"/>
      <c r="K101" s="60"/>
      <c r="L101" s="60"/>
    </row>
    <row r="102" spans="1:12" ht="31.5">
      <c r="A102" s="61" t="s">
        <v>92</v>
      </c>
      <c r="B102" s="62"/>
      <c r="C102" s="62"/>
      <c r="D102" s="62"/>
      <c r="E102" s="59"/>
      <c r="F102" s="59"/>
      <c r="G102" s="60"/>
      <c r="H102" s="60"/>
      <c r="I102" s="60"/>
      <c r="J102" s="60"/>
      <c r="K102" s="60"/>
      <c r="L102" s="60"/>
    </row>
    <row r="103" spans="1:12" ht="30">
      <c r="A103" s="178" t="s">
        <v>123</v>
      </c>
      <c r="B103" s="64"/>
      <c r="C103" s="64"/>
      <c r="D103" s="64"/>
    </row>
  </sheetData>
  <pageMargins left="0.7" right="0.7" top="0.3" bottom="0.3" header="0.3" footer="0.3"/>
  <pageSetup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3"/>
  <sheetViews>
    <sheetView topLeftCell="A58" zoomScale="50" zoomScaleNormal="50" workbookViewId="0">
      <selection activeCell="B8" sqref="B8:B99"/>
    </sheetView>
  </sheetViews>
  <sheetFormatPr defaultRowHeight="15.75"/>
  <cols>
    <col min="1" max="1" width="121.140625" style="75" customWidth="1"/>
    <col min="2" max="2" width="32.7109375" style="76" customWidth="1"/>
    <col min="3" max="4" width="32.85546875" style="76" customWidth="1"/>
    <col min="5" max="5" width="40" style="75" customWidth="1"/>
    <col min="6" max="6" width="28.28515625" style="75" customWidth="1"/>
    <col min="7" max="254" width="9.140625" style="75"/>
    <col min="255" max="255" width="121.140625" style="75" customWidth="1"/>
    <col min="256" max="256" width="32.7109375" style="75" customWidth="1"/>
    <col min="257" max="258" width="32.85546875" style="75" customWidth="1"/>
    <col min="259" max="259" width="29.7109375" style="75" customWidth="1"/>
    <col min="260" max="260" width="25.5703125" style="75" customWidth="1"/>
    <col min="261" max="261" width="35.42578125" style="75" customWidth="1"/>
    <col min="262" max="262" width="25.140625" style="75" customWidth="1"/>
    <col min="263" max="510" width="9.140625" style="75"/>
    <col min="511" max="511" width="121.140625" style="75" customWidth="1"/>
    <col min="512" max="512" width="32.7109375" style="75" customWidth="1"/>
    <col min="513" max="514" width="32.85546875" style="75" customWidth="1"/>
    <col min="515" max="515" width="29.7109375" style="75" customWidth="1"/>
    <col min="516" max="516" width="25.5703125" style="75" customWidth="1"/>
    <col min="517" max="517" width="35.42578125" style="75" customWidth="1"/>
    <col min="518" max="518" width="25.140625" style="75" customWidth="1"/>
    <col min="519" max="766" width="9.140625" style="75"/>
    <col min="767" max="767" width="121.140625" style="75" customWidth="1"/>
    <col min="768" max="768" width="32.7109375" style="75" customWidth="1"/>
    <col min="769" max="770" width="32.85546875" style="75" customWidth="1"/>
    <col min="771" max="771" width="29.7109375" style="75" customWidth="1"/>
    <col min="772" max="772" width="25.5703125" style="75" customWidth="1"/>
    <col min="773" max="773" width="35.42578125" style="75" customWidth="1"/>
    <col min="774" max="774" width="25.140625" style="75" customWidth="1"/>
    <col min="775" max="1022" width="9.140625" style="75"/>
    <col min="1023" max="1023" width="121.140625" style="75" customWidth="1"/>
    <col min="1024" max="1024" width="32.7109375" style="75" customWidth="1"/>
    <col min="1025" max="1026" width="32.85546875" style="75" customWidth="1"/>
    <col min="1027" max="1027" width="29.7109375" style="75" customWidth="1"/>
    <col min="1028" max="1028" width="25.5703125" style="75" customWidth="1"/>
    <col min="1029" max="1029" width="35.42578125" style="75" customWidth="1"/>
    <col min="1030" max="1030" width="25.140625" style="75" customWidth="1"/>
    <col min="1031" max="1278" width="9.140625" style="75"/>
    <col min="1279" max="1279" width="121.140625" style="75" customWidth="1"/>
    <col min="1280" max="1280" width="32.7109375" style="75" customWidth="1"/>
    <col min="1281" max="1282" width="32.85546875" style="75" customWidth="1"/>
    <col min="1283" max="1283" width="29.7109375" style="75" customWidth="1"/>
    <col min="1284" max="1284" width="25.5703125" style="75" customWidth="1"/>
    <col min="1285" max="1285" width="35.42578125" style="75" customWidth="1"/>
    <col min="1286" max="1286" width="25.140625" style="75" customWidth="1"/>
    <col min="1287" max="1534" width="9.140625" style="75"/>
    <col min="1535" max="1535" width="121.140625" style="75" customWidth="1"/>
    <col min="1536" max="1536" width="32.7109375" style="75" customWidth="1"/>
    <col min="1537" max="1538" width="32.85546875" style="75" customWidth="1"/>
    <col min="1539" max="1539" width="29.7109375" style="75" customWidth="1"/>
    <col min="1540" max="1540" width="25.5703125" style="75" customWidth="1"/>
    <col min="1541" max="1541" width="35.42578125" style="75" customWidth="1"/>
    <col min="1542" max="1542" width="25.140625" style="75" customWidth="1"/>
    <col min="1543" max="1790" width="9.140625" style="75"/>
    <col min="1791" max="1791" width="121.140625" style="75" customWidth="1"/>
    <col min="1792" max="1792" width="32.7109375" style="75" customWidth="1"/>
    <col min="1793" max="1794" width="32.85546875" style="75" customWidth="1"/>
    <col min="1795" max="1795" width="29.7109375" style="75" customWidth="1"/>
    <col min="1796" max="1796" width="25.5703125" style="75" customWidth="1"/>
    <col min="1797" max="1797" width="35.42578125" style="75" customWidth="1"/>
    <col min="1798" max="1798" width="25.140625" style="75" customWidth="1"/>
    <col min="1799" max="2046" width="9.140625" style="75"/>
    <col min="2047" max="2047" width="121.140625" style="75" customWidth="1"/>
    <col min="2048" max="2048" width="32.7109375" style="75" customWidth="1"/>
    <col min="2049" max="2050" width="32.85546875" style="75" customWidth="1"/>
    <col min="2051" max="2051" width="29.7109375" style="75" customWidth="1"/>
    <col min="2052" max="2052" width="25.5703125" style="75" customWidth="1"/>
    <col min="2053" max="2053" width="35.42578125" style="75" customWidth="1"/>
    <col min="2054" max="2054" width="25.140625" style="75" customWidth="1"/>
    <col min="2055" max="2302" width="9.140625" style="75"/>
    <col min="2303" max="2303" width="121.140625" style="75" customWidth="1"/>
    <col min="2304" max="2304" width="32.7109375" style="75" customWidth="1"/>
    <col min="2305" max="2306" width="32.85546875" style="75" customWidth="1"/>
    <col min="2307" max="2307" width="29.7109375" style="75" customWidth="1"/>
    <col min="2308" max="2308" width="25.5703125" style="75" customWidth="1"/>
    <col min="2309" max="2309" width="35.42578125" style="75" customWidth="1"/>
    <col min="2310" max="2310" width="25.140625" style="75" customWidth="1"/>
    <col min="2311" max="2558" width="9.140625" style="75"/>
    <col min="2559" max="2559" width="121.140625" style="75" customWidth="1"/>
    <col min="2560" max="2560" width="32.7109375" style="75" customWidth="1"/>
    <col min="2561" max="2562" width="32.85546875" style="75" customWidth="1"/>
    <col min="2563" max="2563" width="29.7109375" style="75" customWidth="1"/>
    <col min="2564" max="2564" width="25.5703125" style="75" customWidth="1"/>
    <col min="2565" max="2565" width="35.42578125" style="75" customWidth="1"/>
    <col min="2566" max="2566" width="25.140625" style="75" customWidth="1"/>
    <col min="2567" max="2814" width="9.140625" style="75"/>
    <col min="2815" max="2815" width="121.140625" style="75" customWidth="1"/>
    <col min="2816" max="2816" width="32.7109375" style="75" customWidth="1"/>
    <col min="2817" max="2818" width="32.85546875" style="75" customWidth="1"/>
    <col min="2819" max="2819" width="29.7109375" style="75" customWidth="1"/>
    <col min="2820" max="2820" width="25.5703125" style="75" customWidth="1"/>
    <col min="2821" max="2821" width="35.42578125" style="75" customWidth="1"/>
    <col min="2822" max="2822" width="25.140625" style="75" customWidth="1"/>
    <col min="2823" max="3070" width="9.140625" style="75"/>
    <col min="3071" max="3071" width="121.140625" style="75" customWidth="1"/>
    <col min="3072" max="3072" width="32.7109375" style="75" customWidth="1"/>
    <col min="3073" max="3074" width="32.85546875" style="75" customWidth="1"/>
    <col min="3075" max="3075" width="29.7109375" style="75" customWidth="1"/>
    <col min="3076" max="3076" width="25.5703125" style="75" customWidth="1"/>
    <col min="3077" max="3077" width="35.42578125" style="75" customWidth="1"/>
    <col min="3078" max="3078" width="25.140625" style="75" customWidth="1"/>
    <col min="3079" max="3326" width="9.140625" style="75"/>
    <col min="3327" max="3327" width="121.140625" style="75" customWidth="1"/>
    <col min="3328" max="3328" width="32.7109375" style="75" customWidth="1"/>
    <col min="3329" max="3330" width="32.85546875" style="75" customWidth="1"/>
    <col min="3331" max="3331" width="29.7109375" style="75" customWidth="1"/>
    <col min="3332" max="3332" width="25.5703125" style="75" customWidth="1"/>
    <col min="3333" max="3333" width="35.42578125" style="75" customWidth="1"/>
    <col min="3334" max="3334" width="25.140625" style="75" customWidth="1"/>
    <col min="3335" max="3582" width="9.140625" style="75"/>
    <col min="3583" max="3583" width="121.140625" style="75" customWidth="1"/>
    <col min="3584" max="3584" width="32.7109375" style="75" customWidth="1"/>
    <col min="3585" max="3586" width="32.85546875" style="75" customWidth="1"/>
    <col min="3587" max="3587" width="29.7109375" style="75" customWidth="1"/>
    <col min="3588" max="3588" width="25.5703125" style="75" customWidth="1"/>
    <col min="3589" max="3589" width="35.42578125" style="75" customWidth="1"/>
    <col min="3590" max="3590" width="25.140625" style="75" customWidth="1"/>
    <col min="3591" max="3838" width="9.140625" style="75"/>
    <col min="3839" max="3839" width="121.140625" style="75" customWidth="1"/>
    <col min="3840" max="3840" width="32.7109375" style="75" customWidth="1"/>
    <col min="3841" max="3842" width="32.85546875" style="75" customWidth="1"/>
    <col min="3843" max="3843" width="29.7109375" style="75" customWidth="1"/>
    <col min="3844" max="3844" width="25.5703125" style="75" customWidth="1"/>
    <col min="3845" max="3845" width="35.42578125" style="75" customWidth="1"/>
    <col min="3846" max="3846" width="25.140625" style="75" customWidth="1"/>
    <col min="3847" max="4094" width="9.140625" style="75"/>
    <col min="4095" max="4095" width="121.140625" style="75" customWidth="1"/>
    <col min="4096" max="4096" width="32.7109375" style="75" customWidth="1"/>
    <col min="4097" max="4098" width="32.85546875" style="75" customWidth="1"/>
    <col min="4099" max="4099" width="29.7109375" style="75" customWidth="1"/>
    <col min="4100" max="4100" width="25.5703125" style="75" customWidth="1"/>
    <col min="4101" max="4101" width="35.42578125" style="75" customWidth="1"/>
    <col min="4102" max="4102" width="25.140625" style="75" customWidth="1"/>
    <col min="4103" max="4350" width="9.140625" style="75"/>
    <col min="4351" max="4351" width="121.140625" style="75" customWidth="1"/>
    <col min="4352" max="4352" width="32.7109375" style="75" customWidth="1"/>
    <col min="4353" max="4354" width="32.85546875" style="75" customWidth="1"/>
    <col min="4355" max="4355" width="29.7109375" style="75" customWidth="1"/>
    <col min="4356" max="4356" width="25.5703125" style="75" customWidth="1"/>
    <col min="4357" max="4357" width="35.42578125" style="75" customWidth="1"/>
    <col min="4358" max="4358" width="25.140625" style="75" customWidth="1"/>
    <col min="4359" max="4606" width="9.140625" style="75"/>
    <col min="4607" max="4607" width="121.140625" style="75" customWidth="1"/>
    <col min="4608" max="4608" width="32.7109375" style="75" customWidth="1"/>
    <col min="4609" max="4610" width="32.85546875" style="75" customWidth="1"/>
    <col min="4611" max="4611" width="29.7109375" style="75" customWidth="1"/>
    <col min="4612" max="4612" width="25.5703125" style="75" customWidth="1"/>
    <col min="4613" max="4613" width="35.42578125" style="75" customWidth="1"/>
    <col min="4614" max="4614" width="25.140625" style="75" customWidth="1"/>
    <col min="4615" max="4862" width="9.140625" style="75"/>
    <col min="4863" max="4863" width="121.140625" style="75" customWidth="1"/>
    <col min="4864" max="4864" width="32.7109375" style="75" customWidth="1"/>
    <col min="4865" max="4866" width="32.85546875" style="75" customWidth="1"/>
    <col min="4867" max="4867" width="29.7109375" style="75" customWidth="1"/>
    <col min="4868" max="4868" width="25.5703125" style="75" customWidth="1"/>
    <col min="4869" max="4869" width="35.42578125" style="75" customWidth="1"/>
    <col min="4870" max="4870" width="25.140625" style="75" customWidth="1"/>
    <col min="4871" max="5118" width="9.140625" style="75"/>
    <col min="5119" max="5119" width="121.140625" style="75" customWidth="1"/>
    <col min="5120" max="5120" width="32.7109375" style="75" customWidth="1"/>
    <col min="5121" max="5122" width="32.85546875" style="75" customWidth="1"/>
    <col min="5123" max="5123" width="29.7109375" style="75" customWidth="1"/>
    <col min="5124" max="5124" width="25.5703125" style="75" customWidth="1"/>
    <col min="5125" max="5125" width="35.42578125" style="75" customWidth="1"/>
    <col min="5126" max="5126" width="25.140625" style="75" customWidth="1"/>
    <col min="5127" max="5374" width="9.140625" style="75"/>
    <col min="5375" max="5375" width="121.140625" style="75" customWidth="1"/>
    <col min="5376" max="5376" width="32.7109375" style="75" customWidth="1"/>
    <col min="5377" max="5378" width="32.85546875" style="75" customWidth="1"/>
    <col min="5379" max="5379" width="29.7109375" style="75" customWidth="1"/>
    <col min="5380" max="5380" width="25.5703125" style="75" customWidth="1"/>
    <col min="5381" max="5381" width="35.42578125" style="75" customWidth="1"/>
    <col min="5382" max="5382" width="25.140625" style="75" customWidth="1"/>
    <col min="5383" max="5630" width="9.140625" style="75"/>
    <col min="5631" max="5631" width="121.140625" style="75" customWidth="1"/>
    <col min="5632" max="5632" width="32.7109375" style="75" customWidth="1"/>
    <col min="5633" max="5634" width="32.85546875" style="75" customWidth="1"/>
    <col min="5635" max="5635" width="29.7109375" style="75" customWidth="1"/>
    <col min="5636" max="5636" width="25.5703125" style="75" customWidth="1"/>
    <col min="5637" max="5637" width="35.42578125" style="75" customWidth="1"/>
    <col min="5638" max="5638" width="25.140625" style="75" customWidth="1"/>
    <col min="5639" max="5886" width="9.140625" style="75"/>
    <col min="5887" max="5887" width="121.140625" style="75" customWidth="1"/>
    <col min="5888" max="5888" width="32.7109375" style="75" customWidth="1"/>
    <col min="5889" max="5890" width="32.85546875" style="75" customWidth="1"/>
    <col min="5891" max="5891" width="29.7109375" style="75" customWidth="1"/>
    <col min="5892" max="5892" width="25.5703125" style="75" customWidth="1"/>
    <col min="5893" max="5893" width="35.42578125" style="75" customWidth="1"/>
    <col min="5894" max="5894" width="25.140625" style="75" customWidth="1"/>
    <col min="5895" max="6142" width="9.140625" style="75"/>
    <col min="6143" max="6143" width="121.140625" style="75" customWidth="1"/>
    <col min="6144" max="6144" width="32.7109375" style="75" customWidth="1"/>
    <col min="6145" max="6146" width="32.85546875" style="75" customWidth="1"/>
    <col min="6147" max="6147" width="29.7109375" style="75" customWidth="1"/>
    <col min="6148" max="6148" width="25.5703125" style="75" customWidth="1"/>
    <col min="6149" max="6149" width="35.42578125" style="75" customWidth="1"/>
    <col min="6150" max="6150" width="25.140625" style="75" customWidth="1"/>
    <col min="6151" max="6398" width="9.140625" style="75"/>
    <col min="6399" max="6399" width="121.140625" style="75" customWidth="1"/>
    <col min="6400" max="6400" width="32.7109375" style="75" customWidth="1"/>
    <col min="6401" max="6402" width="32.85546875" style="75" customWidth="1"/>
    <col min="6403" max="6403" width="29.7109375" style="75" customWidth="1"/>
    <col min="6404" max="6404" width="25.5703125" style="75" customWidth="1"/>
    <col min="6405" max="6405" width="35.42578125" style="75" customWidth="1"/>
    <col min="6406" max="6406" width="25.140625" style="75" customWidth="1"/>
    <col min="6407" max="6654" width="9.140625" style="75"/>
    <col min="6655" max="6655" width="121.140625" style="75" customWidth="1"/>
    <col min="6656" max="6656" width="32.7109375" style="75" customWidth="1"/>
    <col min="6657" max="6658" width="32.85546875" style="75" customWidth="1"/>
    <col min="6659" max="6659" width="29.7109375" style="75" customWidth="1"/>
    <col min="6660" max="6660" width="25.5703125" style="75" customWidth="1"/>
    <col min="6661" max="6661" width="35.42578125" style="75" customWidth="1"/>
    <col min="6662" max="6662" width="25.140625" style="75" customWidth="1"/>
    <col min="6663" max="6910" width="9.140625" style="75"/>
    <col min="6911" max="6911" width="121.140625" style="75" customWidth="1"/>
    <col min="6912" max="6912" width="32.7109375" style="75" customWidth="1"/>
    <col min="6913" max="6914" width="32.85546875" style="75" customWidth="1"/>
    <col min="6915" max="6915" width="29.7109375" style="75" customWidth="1"/>
    <col min="6916" max="6916" width="25.5703125" style="75" customWidth="1"/>
    <col min="6917" max="6917" width="35.42578125" style="75" customWidth="1"/>
    <col min="6918" max="6918" width="25.140625" style="75" customWidth="1"/>
    <col min="6919" max="7166" width="9.140625" style="75"/>
    <col min="7167" max="7167" width="121.140625" style="75" customWidth="1"/>
    <col min="7168" max="7168" width="32.7109375" style="75" customWidth="1"/>
    <col min="7169" max="7170" width="32.85546875" style="75" customWidth="1"/>
    <col min="7171" max="7171" width="29.7109375" style="75" customWidth="1"/>
    <col min="7172" max="7172" width="25.5703125" style="75" customWidth="1"/>
    <col min="7173" max="7173" width="35.42578125" style="75" customWidth="1"/>
    <col min="7174" max="7174" width="25.140625" style="75" customWidth="1"/>
    <col min="7175" max="7422" width="9.140625" style="75"/>
    <col min="7423" max="7423" width="121.140625" style="75" customWidth="1"/>
    <col min="7424" max="7424" width="32.7109375" style="75" customWidth="1"/>
    <col min="7425" max="7426" width="32.85546875" style="75" customWidth="1"/>
    <col min="7427" max="7427" width="29.7109375" style="75" customWidth="1"/>
    <col min="7428" max="7428" width="25.5703125" style="75" customWidth="1"/>
    <col min="7429" max="7429" width="35.42578125" style="75" customWidth="1"/>
    <col min="7430" max="7430" width="25.140625" style="75" customWidth="1"/>
    <col min="7431" max="7678" width="9.140625" style="75"/>
    <col min="7679" max="7679" width="121.140625" style="75" customWidth="1"/>
    <col min="7680" max="7680" width="32.7109375" style="75" customWidth="1"/>
    <col min="7681" max="7682" width="32.85546875" style="75" customWidth="1"/>
    <col min="7683" max="7683" width="29.7109375" style="75" customWidth="1"/>
    <col min="7684" max="7684" width="25.5703125" style="75" customWidth="1"/>
    <col min="7685" max="7685" width="35.42578125" style="75" customWidth="1"/>
    <col min="7686" max="7686" width="25.140625" style="75" customWidth="1"/>
    <col min="7687" max="7934" width="9.140625" style="75"/>
    <col min="7935" max="7935" width="121.140625" style="75" customWidth="1"/>
    <col min="7936" max="7936" width="32.7109375" style="75" customWidth="1"/>
    <col min="7937" max="7938" width="32.85546875" style="75" customWidth="1"/>
    <col min="7939" max="7939" width="29.7109375" style="75" customWidth="1"/>
    <col min="7940" max="7940" width="25.5703125" style="75" customWidth="1"/>
    <col min="7941" max="7941" width="35.42578125" style="75" customWidth="1"/>
    <col min="7942" max="7942" width="25.140625" style="75" customWidth="1"/>
    <col min="7943" max="8190" width="9.140625" style="75"/>
    <col min="8191" max="8191" width="121.140625" style="75" customWidth="1"/>
    <col min="8192" max="8192" width="32.7109375" style="75" customWidth="1"/>
    <col min="8193" max="8194" width="32.85546875" style="75" customWidth="1"/>
    <col min="8195" max="8195" width="29.7109375" style="75" customWidth="1"/>
    <col min="8196" max="8196" width="25.5703125" style="75" customWidth="1"/>
    <col min="8197" max="8197" width="35.42578125" style="75" customWidth="1"/>
    <col min="8198" max="8198" width="25.140625" style="75" customWidth="1"/>
    <col min="8199" max="8446" width="9.140625" style="75"/>
    <col min="8447" max="8447" width="121.140625" style="75" customWidth="1"/>
    <col min="8448" max="8448" width="32.7109375" style="75" customWidth="1"/>
    <col min="8449" max="8450" width="32.85546875" style="75" customWidth="1"/>
    <col min="8451" max="8451" width="29.7109375" style="75" customWidth="1"/>
    <col min="8452" max="8452" width="25.5703125" style="75" customWidth="1"/>
    <col min="8453" max="8453" width="35.42578125" style="75" customWidth="1"/>
    <col min="8454" max="8454" width="25.140625" style="75" customWidth="1"/>
    <col min="8455" max="8702" width="9.140625" style="75"/>
    <col min="8703" max="8703" width="121.140625" style="75" customWidth="1"/>
    <col min="8704" max="8704" width="32.7109375" style="75" customWidth="1"/>
    <col min="8705" max="8706" width="32.85546875" style="75" customWidth="1"/>
    <col min="8707" max="8707" width="29.7109375" style="75" customWidth="1"/>
    <col min="8708" max="8708" width="25.5703125" style="75" customWidth="1"/>
    <col min="8709" max="8709" width="35.42578125" style="75" customWidth="1"/>
    <col min="8710" max="8710" width="25.140625" style="75" customWidth="1"/>
    <col min="8711" max="8958" width="9.140625" style="75"/>
    <col min="8959" max="8959" width="121.140625" style="75" customWidth="1"/>
    <col min="8960" max="8960" width="32.7109375" style="75" customWidth="1"/>
    <col min="8961" max="8962" width="32.85546875" style="75" customWidth="1"/>
    <col min="8963" max="8963" width="29.7109375" style="75" customWidth="1"/>
    <col min="8964" max="8964" width="25.5703125" style="75" customWidth="1"/>
    <col min="8965" max="8965" width="35.42578125" style="75" customWidth="1"/>
    <col min="8966" max="8966" width="25.140625" style="75" customWidth="1"/>
    <col min="8967" max="9214" width="9.140625" style="75"/>
    <col min="9215" max="9215" width="121.140625" style="75" customWidth="1"/>
    <col min="9216" max="9216" width="32.7109375" style="75" customWidth="1"/>
    <col min="9217" max="9218" width="32.85546875" style="75" customWidth="1"/>
    <col min="9219" max="9219" width="29.7109375" style="75" customWidth="1"/>
    <col min="9220" max="9220" width="25.5703125" style="75" customWidth="1"/>
    <col min="9221" max="9221" width="35.42578125" style="75" customWidth="1"/>
    <col min="9222" max="9222" width="25.140625" style="75" customWidth="1"/>
    <col min="9223" max="9470" width="9.140625" style="75"/>
    <col min="9471" max="9471" width="121.140625" style="75" customWidth="1"/>
    <col min="9472" max="9472" width="32.7109375" style="75" customWidth="1"/>
    <col min="9473" max="9474" width="32.85546875" style="75" customWidth="1"/>
    <col min="9475" max="9475" width="29.7109375" style="75" customWidth="1"/>
    <col min="9476" max="9476" width="25.5703125" style="75" customWidth="1"/>
    <col min="9477" max="9477" width="35.42578125" style="75" customWidth="1"/>
    <col min="9478" max="9478" width="25.140625" style="75" customWidth="1"/>
    <col min="9479" max="9726" width="9.140625" style="75"/>
    <col min="9727" max="9727" width="121.140625" style="75" customWidth="1"/>
    <col min="9728" max="9728" width="32.7109375" style="75" customWidth="1"/>
    <col min="9729" max="9730" width="32.85546875" style="75" customWidth="1"/>
    <col min="9731" max="9731" width="29.7109375" style="75" customWidth="1"/>
    <col min="9732" max="9732" width="25.5703125" style="75" customWidth="1"/>
    <col min="9733" max="9733" width="35.42578125" style="75" customWidth="1"/>
    <col min="9734" max="9734" width="25.140625" style="75" customWidth="1"/>
    <col min="9735" max="9982" width="9.140625" style="75"/>
    <col min="9983" max="9983" width="121.140625" style="75" customWidth="1"/>
    <col min="9984" max="9984" width="32.7109375" style="75" customWidth="1"/>
    <col min="9985" max="9986" width="32.85546875" style="75" customWidth="1"/>
    <col min="9987" max="9987" width="29.7109375" style="75" customWidth="1"/>
    <col min="9988" max="9988" width="25.5703125" style="75" customWidth="1"/>
    <col min="9989" max="9989" width="35.42578125" style="75" customWidth="1"/>
    <col min="9990" max="9990" width="25.140625" style="75" customWidth="1"/>
    <col min="9991" max="10238" width="9.140625" style="75"/>
    <col min="10239" max="10239" width="121.140625" style="75" customWidth="1"/>
    <col min="10240" max="10240" width="32.7109375" style="75" customWidth="1"/>
    <col min="10241" max="10242" width="32.85546875" style="75" customWidth="1"/>
    <col min="10243" max="10243" width="29.7109375" style="75" customWidth="1"/>
    <col min="10244" max="10244" width="25.5703125" style="75" customWidth="1"/>
    <col min="10245" max="10245" width="35.42578125" style="75" customWidth="1"/>
    <col min="10246" max="10246" width="25.140625" style="75" customWidth="1"/>
    <col min="10247" max="10494" width="9.140625" style="75"/>
    <col min="10495" max="10495" width="121.140625" style="75" customWidth="1"/>
    <col min="10496" max="10496" width="32.7109375" style="75" customWidth="1"/>
    <col min="10497" max="10498" width="32.85546875" style="75" customWidth="1"/>
    <col min="10499" max="10499" width="29.7109375" style="75" customWidth="1"/>
    <col min="10500" max="10500" width="25.5703125" style="75" customWidth="1"/>
    <col min="10501" max="10501" width="35.42578125" style="75" customWidth="1"/>
    <col min="10502" max="10502" width="25.140625" style="75" customWidth="1"/>
    <col min="10503" max="10750" width="9.140625" style="75"/>
    <col min="10751" max="10751" width="121.140625" style="75" customWidth="1"/>
    <col min="10752" max="10752" width="32.7109375" style="75" customWidth="1"/>
    <col min="10753" max="10754" width="32.85546875" style="75" customWidth="1"/>
    <col min="10755" max="10755" width="29.7109375" style="75" customWidth="1"/>
    <col min="10756" max="10756" width="25.5703125" style="75" customWidth="1"/>
    <col min="10757" max="10757" width="35.42578125" style="75" customWidth="1"/>
    <col min="10758" max="10758" width="25.140625" style="75" customWidth="1"/>
    <col min="10759" max="11006" width="9.140625" style="75"/>
    <col min="11007" max="11007" width="121.140625" style="75" customWidth="1"/>
    <col min="11008" max="11008" width="32.7109375" style="75" customWidth="1"/>
    <col min="11009" max="11010" width="32.85546875" style="75" customWidth="1"/>
    <col min="11011" max="11011" width="29.7109375" style="75" customWidth="1"/>
    <col min="11012" max="11012" width="25.5703125" style="75" customWidth="1"/>
    <col min="11013" max="11013" width="35.42578125" style="75" customWidth="1"/>
    <col min="11014" max="11014" width="25.140625" style="75" customWidth="1"/>
    <col min="11015" max="11262" width="9.140625" style="75"/>
    <col min="11263" max="11263" width="121.140625" style="75" customWidth="1"/>
    <col min="11264" max="11264" width="32.7109375" style="75" customWidth="1"/>
    <col min="11265" max="11266" width="32.85546875" style="75" customWidth="1"/>
    <col min="11267" max="11267" width="29.7109375" style="75" customWidth="1"/>
    <col min="11268" max="11268" width="25.5703125" style="75" customWidth="1"/>
    <col min="11269" max="11269" width="35.42578125" style="75" customWidth="1"/>
    <col min="11270" max="11270" width="25.140625" style="75" customWidth="1"/>
    <col min="11271" max="11518" width="9.140625" style="75"/>
    <col min="11519" max="11519" width="121.140625" style="75" customWidth="1"/>
    <col min="11520" max="11520" width="32.7109375" style="75" customWidth="1"/>
    <col min="11521" max="11522" width="32.85546875" style="75" customWidth="1"/>
    <col min="11523" max="11523" width="29.7109375" style="75" customWidth="1"/>
    <col min="11524" max="11524" width="25.5703125" style="75" customWidth="1"/>
    <col min="11525" max="11525" width="35.42578125" style="75" customWidth="1"/>
    <col min="11526" max="11526" width="25.140625" style="75" customWidth="1"/>
    <col min="11527" max="11774" width="9.140625" style="75"/>
    <col min="11775" max="11775" width="121.140625" style="75" customWidth="1"/>
    <col min="11776" max="11776" width="32.7109375" style="75" customWidth="1"/>
    <col min="11777" max="11778" width="32.85546875" style="75" customWidth="1"/>
    <col min="11779" max="11779" width="29.7109375" style="75" customWidth="1"/>
    <col min="11780" max="11780" width="25.5703125" style="75" customWidth="1"/>
    <col min="11781" max="11781" width="35.42578125" style="75" customWidth="1"/>
    <col min="11782" max="11782" width="25.140625" style="75" customWidth="1"/>
    <col min="11783" max="12030" width="9.140625" style="75"/>
    <col min="12031" max="12031" width="121.140625" style="75" customWidth="1"/>
    <col min="12032" max="12032" width="32.7109375" style="75" customWidth="1"/>
    <col min="12033" max="12034" width="32.85546875" style="75" customWidth="1"/>
    <col min="12035" max="12035" width="29.7109375" style="75" customWidth="1"/>
    <col min="12036" max="12036" width="25.5703125" style="75" customWidth="1"/>
    <col min="12037" max="12037" width="35.42578125" style="75" customWidth="1"/>
    <col min="12038" max="12038" width="25.140625" style="75" customWidth="1"/>
    <col min="12039" max="12286" width="9.140625" style="75"/>
    <col min="12287" max="12287" width="121.140625" style="75" customWidth="1"/>
    <col min="12288" max="12288" width="32.7109375" style="75" customWidth="1"/>
    <col min="12289" max="12290" width="32.85546875" style="75" customWidth="1"/>
    <col min="12291" max="12291" width="29.7109375" style="75" customWidth="1"/>
    <col min="12292" max="12292" width="25.5703125" style="75" customWidth="1"/>
    <col min="12293" max="12293" width="35.42578125" style="75" customWidth="1"/>
    <col min="12294" max="12294" width="25.140625" style="75" customWidth="1"/>
    <col min="12295" max="12542" width="9.140625" style="75"/>
    <col min="12543" max="12543" width="121.140625" style="75" customWidth="1"/>
    <col min="12544" max="12544" width="32.7109375" style="75" customWidth="1"/>
    <col min="12545" max="12546" width="32.85546875" style="75" customWidth="1"/>
    <col min="12547" max="12547" width="29.7109375" style="75" customWidth="1"/>
    <col min="12548" max="12548" width="25.5703125" style="75" customWidth="1"/>
    <col min="12549" max="12549" width="35.42578125" style="75" customWidth="1"/>
    <col min="12550" max="12550" width="25.140625" style="75" customWidth="1"/>
    <col min="12551" max="12798" width="9.140625" style="75"/>
    <col min="12799" max="12799" width="121.140625" style="75" customWidth="1"/>
    <col min="12800" max="12800" width="32.7109375" style="75" customWidth="1"/>
    <col min="12801" max="12802" width="32.85546875" style="75" customWidth="1"/>
    <col min="12803" max="12803" width="29.7109375" style="75" customWidth="1"/>
    <col min="12804" max="12804" width="25.5703125" style="75" customWidth="1"/>
    <col min="12805" max="12805" width="35.42578125" style="75" customWidth="1"/>
    <col min="12806" max="12806" width="25.140625" style="75" customWidth="1"/>
    <col min="12807" max="13054" width="9.140625" style="75"/>
    <col min="13055" max="13055" width="121.140625" style="75" customWidth="1"/>
    <col min="13056" max="13056" width="32.7109375" style="75" customWidth="1"/>
    <col min="13057" max="13058" width="32.85546875" style="75" customWidth="1"/>
    <col min="13059" max="13059" width="29.7109375" style="75" customWidth="1"/>
    <col min="13060" max="13060" width="25.5703125" style="75" customWidth="1"/>
    <col min="13061" max="13061" width="35.42578125" style="75" customWidth="1"/>
    <col min="13062" max="13062" width="25.140625" style="75" customWidth="1"/>
    <col min="13063" max="13310" width="9.140625" style="75"/>
    <col min="13311" max="13311" width="121.140625" style="75" customWidth="1"/>
    <col min="13312" max="13312" width="32.7109375" style="75" customWidth="1"/>
    <col min="13313" max="13314" width="32.85546875" style="75" customWidth="1"/>
    <col min="13315" max="13315" width="29.7109375" style="75" customWidth="1"/>
    <col min="13316" max="13316" width="25.5703125" style="75" customWidth="1"/>
    <col min="13317" max="13317" width="35.42578125" style="75" customWidth="1"/>
    <col min="13318" max="13318" width="25.140625" style="75" customWidth="1"/>
    <col min="13319" max="13566" width="9.140625" style="75"/>
    <col min="13567" max="13567" width="121.140625" style="75" customWidth="1"/>
    <col min="13568" max="13568" width="32.7109375" style="75" customWidth="1"/>
    <col min="13569" max="13570" width="32.85546875" style="75" customWidth="1"/>
    <col min="13571" max="13571" width="29.7109375" style="75" customWidth="1"/>
    <col min="13572" max="13572" width="25.5703125" style="75" customWidth="1"/>
    <col min="13573" max="13573" width="35.42578125" style="75" customWidth="1"/>
    <col min="13574" max="13574" width="25.140625" style="75" customWidth="1"/>
    <col min="13575" max="13822" width="9.140625" style="75"/>
    <col min="13823" max="13823" width="121.140625" style="75" customWidth="1"/>
    <col min="13824" max="13824" width="32.7109375" style="75" customWidth="1"/>
    <col min="13825" max="13826" width="32.85546875" style="75" customWidth="1"/>
    <col min="13827" max="13827" width="29.7109375" style="75" customWidth="1"/>
    <col min="13828" max="13828" width="25.5703125" style="75" customWidth="1"/>
    <col min="13829" max="13829" width="35.42578125" style="75" customWidth="1"/>
    <col min="13830" max="13830" width="25.140625" style="75" customWidth="1"/>
    <col min="13831" max="14078" width="9.140625" style="75"/>
    <col min="14079" max="14079" width="121.140625" style="75" customWidth="1"/>
    <col min="14080" max="14080" width="32.7109375" style="75" customWidth="1"/>
    <col min="14081" max="14082" width="32.85546875" style="75" customWidth="1"/>
    <col min="14083" max="14083" width="29.7109375" style="75" customWidth="1"/>
    <col min="14084" max="14084" width="25.5703125" style="75" customWidth="1"/>
    <col min="14085" max="14085" width="35.42578125" style="75" customWidth="1"/>
    <col min="14086" max="14086" width="25.140625" style="75" customWidth="1"/>
    <col min="14087" max="14334" width="9.140625" style="75"/>
    <col min="14335" max="14335" width="121.140625" style="75" customWidth="1"/>
    <col min="14336" max="14336" width="32.7109375" style="75" customWidth="1"/>
    <col min="14337" max="14338" width="32.85546875" style="75" customWidth="1"/>
    <col min="14339" max="14339" width="29.7109375" style="75" customWidth="1"/>
    <col min="14340" max="14340" width="25.5703125" style="75" customWidth="1"/>
    <col min="14341" max="14341" width="35.42578125" style="75" customWidth="1"/>
    <col min="14342" max="14342" width="25.140625" style="75" customWidth="1"/>
    <col min="14343" max="14590" width="9.140625" style="75"/>
    <col min="14591" max="14591" width="121.140625" style="75" customWidth="1"/>
    <col min="14592" max="14592" width="32.7109375" style="75" customWidth="1"/>
    <col min="14593" max="14594" width="32.85546875" style="75" customWidth="1"/>
    <col min="14595" max="14595" width="29.7109375" style="75" customWidth="1"/>
    <col min="14596" max="14596" width="25.5703125" style="75" customWidth="1"/>
    <col min="14597" max="14597" width="35.42578125" style="75" customWidth="1"/>
    <col min="14598" max="14598" width="25.140625" style="75" customWidth="1"/>
    <col min="14599" max="14846" width="9.140625" style="75"/>
    <col min="14847" max="14847" width="121.140625" style="75" customWidth="1"/>
    <col min="14848" max="14848" width="32.7109375" style="75" customWidth="1"/>
    <col min="14849" max="14850" width="32.85546875" style="75" customWidth="1"/>
    <col min="14851" max="14851" width="29.7109375" style="75" customWidth="1"/>
    <col min="14852" max="14852" width="25.5703125" style="75" customWidth="1"/>
    <col min="14853" max="14853" width="35.42578125" style="75" customWidth="1"/>
    <col min="14854" max="14854" width="25.140625" style="75" customWidth="1"/>
    <col min="14855" max="15102" width="9.140625" style="75"/>
    <col min="15103" max="15103" width="121.140625" style="75" customWidth="1"/>
    <col min="15104" max="15104" width="32.7109375" style="75" customWidth="1"/>
    <col min="15105" max="15106" width="32.85546875" style="75" customWidth="1"/>
    <col min="15107" max="15107" width="29.7109375" style="75" customWidth="1"/>
    <col min="15108" max="15108" width="25.5703125" style="75" customWidth="1"/>
    <col min="15109" max="15109" width="35.42578125" style="75" customWidth="1"/>
    <col min="15110" max="15110" width="25.140625" style="75" customWidth="1"/>
    <col min="15111" max="15358" width="9.140625" style="75"/>
    <col min="15359" max="15359" width="121.140625" style="75" customWidth="1"/>
    <col min="15360" max="15360" width="32.7109375" style="75" customWidth="1"/>
    <col min="15361" max="15362" width="32.85546875" style="75" customWidth="1"/>
    <col min="15363" max="15363" width="29.7109375" style="75" customWidth="1"/>
    <col min="15364" max="15364" width="25.5703125" style="75" customWidth="1"/>
    <col min="15365" max="15365" width="35.42578125" style="75" customWidth="1"/>
    <col min="15366" max="15366" width="25.140625" style="75" customWidth="1"/>
    <col min="15367" max="15614" width="9.140625" style="75"/>
    <col min="15615" max="15615" width="121.140625" style="75" customWidth="1"/>
    <col min="15616" max="15616" width="32.7109375" style="75" customWidth="1"/>
    <col min="15617" max="15618" width="32.85546875" style="75" customWidth="1"/>
    <col min="15619" max="15619" width="29.7109375" style="75" customWidth="1"/>
    <col min="15620" max="15620" width="25.5703125" style="75" customWidth="1"/>
    <col min="15621" max="15621" width="35.42578125" style="75" customWidth="1"/>
    <col min="15622" max="15622" width="25.140625" style="75" customWidth="1"/>
    <col min="15623" max="15870" width="9.140625" style="75"/>
    <col min="15871" max="15871" width="121.140625" style="75" customWidth="1"/>
    <col min="15872" max="15872" width="32.7109375" style="75" customWidth="1"/>
    <col min="15873" max="15874" width="32.85546875" style="75" customWidth="1"/>
    <col min="15875" max="15875" width="29.7109375" style="75" customWidth="1"/>
    <col min="15876" max="15876" width="25.5703125" style="75" customWidth="1"/>
    <col min="15877" max="15877" width="35.42578125" style="75" customWidth="1"/>
    <col min="15878" max="15878" width="25.140625" style="75" customWidth="1"/>
    <col min="15879" max="16126" width="9.140625" style="75"/>
    <col min="16127" max="16127" width="121.140625" style="75" customWidth="1"/>
    <col min="16128" max="16128" width="32.7109375" style="75" customWidth="1"/>
    <col min="16129" max="16130" width="32.85546875" style="75" customWidth="1"/>
    <col min="16131" max="16131" width="29.7109375" style="75" customWidth="1"/>
    <col min="16132" max="16132" width="25.5703125" style="75" customWidth="1"/>
    <col min="16133" max="16133" width="35.42578125" style="75" customWidth="1"/>
    <col min="16134" max="16134" width="25.140625" style="75" customWidth="1"/>
    <col min="16135" max="16384" width="9.140625" style="75"/>
  </cols>
  <sheetData>
    <row r="1" spans="1:7" s="69" customFormat="1" ht="46.5">
      <c r="A1" s="1" t="s">
        <v>0</v>
      </c>
      <c r="D1" s="277" t="s">
        <v>1</v>
      </c>
      <c r="E1" s="289" t="s">
        <v>129</v>
      </c>
      <c r="F1" s="281"/>
      <c r="G1" s="70"/>
    </row>
    <row r="2" spans="1:7" s="69" customFormat="1" ht="46.5">
      <c r="A2" s="1" t="s">
        <v>2</v>
      </c>
      <c r="B2" s="2"/>
      <c r="C2" s="2"/>
      <c r="D2" s="2"/>
      <c r="E2" s="67"/>
      <c r="F2" s="67"/>
    </row>
    <row r="3" spans="1:7" s="69" customFormat="1" ht="47.25" thickBot="1">
      <c r="A3" s="7" t="s">
        <v>3</v>
      </c>
      <c r="B3" s="8"/>
      <c r="C3" s="8"/>
      <c r="D3" s="8"/>
      <c r="E3" s="67"/>
      <c r="F3" s="67"/>
    </row>
    <row r="4" spans="1:7" s="70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7" s="71" customFormat="1" ht="52.5">
      <c r="A5" s="14"/>
      <c r="B5" s="15" t="s">
        <v>9</v>
      </c>
      <c r="C5" s="15" t="s">
        <v>10</v>
      </c>
      <c r="D5" s="15" t="s">
        <v>11</v>
      </c>
      <c r="E5" s="15" t="s">
        <v>160</v>
      </c>
      <c r="F5" s="16" t="s">
        <v>12</v>
      </c>
    </row>
    <row r="6" spans="1:7" s="70" customFormat="1" ht="26.25">
      <c r="A6" s="18" t="s">
        <v>14</v>
      </c>
      <c r="B6" s="19"/>
      <c r="C6" s="19"/>
      <c r="D6" s="19"/>
      <c r="E6" s="19"/>
      <c r="F6" s="20"/>
    </row>
    <row r="7" spans="1:7" s="70" customFormat="1" ht="26.25">
      <c r="A7" s="18" t="s">
        <v>15</v>
      </c>
      <c r="B7" s="19"/>
      <c r="C7" s="19"/>
      <c r="D7" s="19"/>
      <c r="E7" s="19"/>
      <c r="F7" s="21"/>
    </row>
    <row r="8" spans="1:7" s="70" customFormat="1" ht="26.25">
      <c r="A8" s="22" t="s">
        <v>16</v>
      </c>
      <c r="B8" s="23">
        <v>9386129</v>
      </c>
      <c r="C8" s="23">
        <v>9386129</v>
      </c>
      <c r="D8" s="23">
        <v>10513906</v>
      </c>
      <c r="E8" s="23">
        <v>1127777</v>
      </c>
      <c r="F8" s="24">
        <v>0.12015357981975316</v>
      </c>
    </row>
    <row r="9" spans="1:7" s="70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7" s="70" customFormat="1" ht="26.25">
      <c r="A10" s="25" t="s">
        <v>18</v>
      </c>
      <c r="B10" s="298">
        <v>0</v>
      </c>
      <c r="C10" s="26">
        <v>0</v>
      </c>
      <c r="D10" s="26">
        <v>0</v>
      </c>
      <c r="E10" s="26">
        <v>0</v>
      </c>
      <c r="F10" s="24">
        <v>0</v>
      </c>
    </row>
    <row r="11" spans="1:7" s="70" customFormat="1" ht="26.25">
      <c r="A11" s="27" t="s">
        <v>19</v>
      </c>
      <c r="B11" s="299">
        <v>0</v>
      </c>
      <c r="C11" s="28">
        <v>0</v>
      </c>
      <c r="D11" s="28">
        <v>0</v>
      </c>
      <c r="E11" s="26">
        <v>0</v>
      </c>
      <c r="F11" s="24">
        <v>0</v>
      </c>
    </row>
    <row r="12" spans="1:7" s="70" customFormat="1" ht="26.25">
      <c r="A12" s="29" t="s">
        <v>20</v>
      </c>
      <c r="B12" s="299">
        <v>0</v>
      </c>
      <c r="C12" s="28">
        <v>0</v>
      </c>
      <c r="D12" s="28">
        <v>0</v>
      </c>
      <c r="E12" s="26">
        <v>0</v>
      </c>
      <c r="F12" s="24">
        <v>0</v>
      </c>
    </row>
    <row r="13" spans="1:7" s="70" customFormat="1" ht="26.25">
      <c r="A13" s="29" t="s">
        <v>21</v>
      </c>
      <c r="B13" s="299">
        <v>0</v>
      </c>
      <c r="C13" s="28">
        <v>0</v>
      </c>
      <c r="D13" s="28">
        <v>0</v>
      </c>
      <c r="E13" s="26">
        <v>0</v>
      </c>
      <c r="F13" s="24">
        <v>0</v>
      </c>
    </row>
    <row r="14" spans="1:7" s="70" customFormat="1" ht="26.25">
      <c r="A14" s="29" t="s">
        <v>22</v>
      </c>
      <c r="B14" s="299">
        <v>0</v>
      </c>
      <c r="C14" s="28">
        <v>0</v>
      </c>
      <c r="D14" s="28">
        <v>0</v>
      </c>
      <c r="E14" s="26">
        <v>0</v>
      </c>
      <c r="F14" s="24">
        <v>0</v>
      </c>
    </row>
    <row r="15" spans="1:7" s="70" customFormat="1" ht="26.25">
      <c r="A15" s="29" t="s">
        <v>23</v>
      </c>
      <c r="B15" s="299">
        <v>0</v>
      </c>
      <c r="C15" s="28">
        <v>0</v>
      </c>
      <c r="D15" s="28">
        <v>0</v>
      </c>
      <c r="E15" s="26">
        <v>0</v>
      </c>
      <c r="F15" s="24">
        <v>0</v>
      </c>
    </row>
    <row r="16" spans="1:7" s="70" customFormat="1" ht="26.25">
      <c r="A16" s="29" t="s">
        <v>24</v>
      </c>
      <c r="B16" s="299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70" customFormat="1" ht="26.25">
      <c r="A17" s="29" t="s">
        <v>25</v>
      </c>
      <c r="B17" s="299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70" customFormat="1" ht="26.25">
      <c r="A18" s="29" t="s">
        <v>26</v>
      </c>
      <c r="B18" s="299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70" customFormat="1" ht="26.25">
      <c r="A19" s="29" t="s">
        <v>27</v>
      </c>
      <c r="B19" s="299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70" customFormat="1" ht="26.25">
      <c r="A20" s="29" t="s">
        <v>28</v>
      </c>
      <c r="B20" s="299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70" customFormat="1" ht="26.25">
      <c r="A21" s="29" t="s">
        <v>29</v>
      </c>
      <c r="B21" s="299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70" customFormat="1" ht="26.25">
      <c r="A22" s="29" t="s">
        <v>30</v>
      </c>
      <c r="B22" s="299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70" customFormat="1" ht="26.25">
      <c r="A23" s="30" t="s">
        <v>31</v>
      </c>
      <c r="B23" s="299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70" customFormat="1" ht="26.25">
      <c r="A24" s="30" t="s">
        <v>32</v>
      </c>
      <c r="B24" s="299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70" customFormat="1" ht="26.25">
      <c r="A25" s="30" t="s">
        <v>33</v>
      </c>
      <c r="B25" s="299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70" customFormat="1" ht="26.25">
      <c r="A26" s="30" t="s">
        <v>34</v>
      </c>
      <c r="B26" s="299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70" customFormat="1" ht="26.25">
      <c r="A27" s="30" t="s">
        <v>35</v>
      </c>
      <c r="B27" s="299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70" customFormat="1" ht="26.25">
      <c r="A28" s="30" t="s">
        <v>36</v>
      </c>
      <c r="B28" s="299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70" customFormat="1" ht="26.25">
      <c r="A29" s="31" t="s">
        <v>37</v>
      </c>
      <c r="B29" s="299"/>
      <c r="C29" s="28"/>
      <c r="D29" s="28"/>
      <c r="E29" s="28"/>
      <c r="F29" s="20"/>
    </row>
    <row r="30" spans="1:6" s="70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70" customFormat="1" ht="26.25">
      <c r="A31" s="32" t="s">
        <v>39</v>
      </c>
      <c r="B31" s="299"/>
      <c r="C31" s="28"/>
      <c r="D31" s="28"/>
      <c r="E31" s="28"/>
      <c r="F31" s="20"/>
    </row>
    <row r="32" spans="1:6" s="70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70" customFormat="1" ht="26.25">
      <c r="A33" s="29" t="s">
        <v>40</v>
      </c>
      <c r="B33" s="299"/>
      <c r="C33" s="28"/>
      <c r="D33" s="28"/>
      <c r="E33" s="26"/>
      <c r="F33" s="24" t="s">
        <v>41</v>
      </c>
    </row>
    <row r="34" spans="1:10" s="72" customFormat="1" ht="26.25">
      <c r="A34" s="33" t="s">
        <v>42</v>
      </c>
      <c r="B34" s="300">
        <v>9386129</v>
      </c>
      <c r="C34" s="34">
        <v>9386129</v>
      </c>
      <c r="D34" s="34">
        <v>10513906</v>
      </c>
      <c r="E34" s="34">
        <v>1127777</v>
      </c>
      <c r="F34" s="35">
        <v>0.12015357981975316</v>
      </c>
    </row>
    <row r="35" spans="1:10" s="70" customFormat="1" ht="26.25">
      <c r="A35" s="31" t="s">
        <v>43</v>
      </c>
      <c r="B35" s="299"/>
      <c r="C35" s="28"/>
      <c r="D35" s="28"/>
      <c r="E35" s="28"/>
      <c r="F35" s="20"/>
    </row>
    <row r="36" spans="1:10" s="70" customFormat="1" ht="26.25">
      <c r="A36" s="37" t="s">
        <v>44</v>
      </c>
      <c r="B36" s="23"/>
      <c r="C36" s="23"/>
      <c r="D36" s="23"/>
      <c r="E36" s="23">
        <v>0</v>
      </c>
      <c r="F36" s="24">
        <v>0</v>
      </c>
    </row>
    <row r="37" spans="1:10" s="70" customFormat="1" ht="26.25">
      <c r="A37" s="38" t="s">
        <v>45</v>
      </c>
      <c r="B37" s="23"/>
      <c r="C37" s="23"/>
      <c r="D37" s="23"/>
      <c r="E37" s="26">
        <v>0</v>
      </c>
      <c r="F37" s="24">
        <v>0</v>
      </c>
    </row>
    <row r="38" spans="1:10" s="70" customFormat="1" ht="26.25">
      <c r="A38" s="38" t="s">
        <v>46</v>
      </c>
      <c r="B38" s="23"/>
      <c r="C38" s="23"/>
      <c r="D38" s="23"/>
      <c r="E38" s="26">
        <v>0</v>
      </c>
      <c r="F38" s="24">
        <v>0</v>
      </c>
    </row>
    <row r="39" spans="1:10" s="70" customFormat="1" ht="26.25">
      <c r="A39" s="38" t="s">
        <v>47</v>
      </c>
      <c r="B39" s="23"/>
      <c r="C39" s="23"/>
      <c r="D39" s="23"/>
      <c r="E39" s="26">
        <v>0</v>
      </c>
      <c r="F39" s="24">
        <v>0</v>
      </c>
    </row>
    <row r="40" spans="1:10" s="70" customFormat="1" ht="26.25">
      <c r="A40" s="39" t="s">
        <v>48</v>
      </c>
      <c r="B40" s="23"/>
      <c r="C40" s="23"/>
      <c r="D40" s="23"/>
      <c r="E40" s="26">
        <v>0</v>
      </c>
      <c r="F40" s="24">
        <v>0</v>
      </c>
    </row>
    <row r="41" spans="1:10" s="72" customFormat="1" ht="26.25">
      <c r="A41" s="31" t="s">
        <v>49</v>
      </c>
      <c r="B41" s="40">
        <v>0</v>
      </c>
      <c r="C41" s="40">
        <v>0</v>
      </c>
      <c r="D41" s="40">
        <v>0</v>
      </c>
      <c r="E41" s="40">
        <v>0</v>
      </c>
      <c r="F41" s="35">
        <v>0</v>
      </c>
      <c r="J41" s="72" t="s">
        <v>50</v>
      </c>
    </row>
    <row r="42" spans="1:10" s="70" customFormat="1" ht="26.25">
      <c r="A42" s="29" t="s">
        <v>50</v>
      </c>
      <c r="B42" s="299"/>
      <c r="C42" s="28"/>
      <c r="D42" s="28"/>
      <c r="E42" s="28"/>
      <c r="F42" s="20"/>
    </row>
    <row r="43" spans="1:10" s="72" customFormat="1" ht="26.25">
      <c r="A43" s="41" t="s">
        <v>51</v>
      </c>
      <c r="B43" s="42">
        <v>104534681.26000001</v>
      </c>
      <c r="C43" s="42">
        <v>110322871</v>
      </c>
      <c r="D43" s="42">
        <v>102584279</v>
      </c>
      <c r="E43" s="42">
        <v>-7738592</v>
      </c>
      <c r="F43" s="35">
        <v>-7.0144947551265227E-2</v>
      </c>
    </row>
    <row r="44" spans="1:10" s="70" customFormat="1" ht="26.25">
      <c r="A44" s="29" t="s">
        <v>50</v>
      </c>
      <c r="B44" s="299"/>
      <c r="C44" s="28"/>
      <c r="D44" s="28"/>
      <c r="E44" s="28"/>
      <c r="F44" s="20"/>
    </row>
    <row r="45" spans="1:10" s="72" customFormat="1" ht="26.25">
      <c r="A45" s="41" t="s">
        <v>52</v>
      </c>
      <c r="B45" s="42">
        <v>0</v>
      </c>
      <c r="C45" s="42">
        <v>0</v>
      </c>
      <c r="D45" s="42">
        <v>0</v>
      </c>
      <c r="E45" s="42">
        <v>0</v>
      </c>
      <c r="F45" s="35">
        <v>0</v>
      </c>
    </row>
    <row r="46" spans="1:10" s="70" customFormat="1" ht="26.25">
      <c r="A46" s="29" t="s">
        <v>50</v>
      </c>
      <c r="B46" s="299"/>
      <c r="C46" s="28"/>
      <c r="D46" s="28"/>
      <c r="E46" s="28"/>
      <c r="F46" s="20"/>
    </row>
    <row r="47" spans="1:10" s="72" customFormat="1" ht="26.25">
      <c r="A47" s="31" t="s">
        <v>53</v>
      </c>
      <c r="B47" s="40">
        <v>2799145</v>
      </c>
      <c r="C47" s="40">
        <v>2799145</v>
      </c>
      <c r="D47" s="40">
        <v>2799145</v>
      </c>
      <c r="E47" s="40">
        <v>0</v>
      </c>
      <c r="F47" s="35">
        <v>0</v>
      </c>
    </row>
    <row r="48" spans="1:10" s="70" customFormat="1" ht="26.25">
      <c r="A48" s="29" t="s">
        <v>50</v>
      </c>
      <c r="B48" s="299"/>
      <c r="C48" s="28"/>
      <c r="D48" s="28"/>
      <c r="E48" s="28"/>
      <c r="F48" s="20"/>
    </row>
    <row r="49" spans="1:6" s="72" customFormat="1" ht="26.25">
      <c r="A49" s="43" t="s">
        <v>54</v>
      </c>
      <c r="B49" s="44">
        <v>7537144.4100000001</v>
      </c>
      <c r="C49" s="44">
        <v>8058474</v>
      </c>
      <c r="D49" s="44">
        <v>8058474</v>
      </c>
      <c r="E49" s="44">
        <v>0</v>
      </c>
      <c r="F49" s="35">
        <v>0</v>
      </c>
    </row>
    <row r="50" spans="1:6" s="70" customFormat="1" ht="26.25">
      <c r="A50" s="31"/>
      <c r="B50" s="19"/>
      <c r="C50" s="19"/>
      <c r="D50" s="19"/>
      <c r="E50" s="19"/>
      <c r="F50" s="45"/>
    </row>
    <row r="51" spans="1:6" s="72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70" customFormat="1" ht="26.25">
      <c r="A52" s="29"/>
      <c r="B52" s="299"/>
      <c r="C52" s="28"/>
      <c r="D52" s="28"/>
      <c r="E52" s="28"/>
      <c r="F52" s="20"/>
    </row>
    <row r="53" spans="1:6" s="72" customFormat="1" ht="26.25">
      <c r="A53" s="46" t="s">
        <v>56</v>
      </c>
      <c r="B53" s="40">
        <v>124257099.67</v>
      </c>
      <c r="C53" s="40">
        <v>130566619</v>
      </c>
      <c r="D53" s="40">
        <v>123955804</v>
      </c>
      <c r="E53" s="40">
        <v>-6610815</v>
      </c>
      <c r="F53" s="35">
        <v>-5.06317391890189E-2</v>
      </c>
    </row>
    <row r="54" spans="1:6" s="70" customFormat="1" ht="12.75" customHeight="1">
      <c r="A54" s="47"/>
      <c r="B54" s="299"/>
      <c r="C54" s="28"/>
      <c r="D54" s="28"/>
      <c r="E54" s="28"/>
      <c r="F54" s="20" t="s">
        <v>50</v>
      </c>
    </row>
    <row r="55" spans="1:6" s="70" customFormat="1" ht="12.75" customHeight="1">
      <c r="A55" s="48"/>
      <c r="B55" s="19"/>
      <c r="C55" s="19"/>
      <c r="D55" s="19"/>
      <c r="E55" s="19"/>
      <c r="F55" s="21" t="s">
        <v>50</v>
      </c>
    </row>
    <row r="56" spans="1:6" s="70" customFormat="1" ht="26.25">
      <c r="A56" s="46" t="s">
        <v>57</v>
      </c>
      <c r="B56" s="19"/>
      <c r="C56" s="19"/>
      <c r="D56" s="19"/>
      <c r="E56" s="19"/>
      <c r="F56" s="21"/>
    </row>
    <row r="57" spans="1:6" s="70" customFormat="1" ht="26.25">
      <c r="A57" s="27" t="s">
        <v>58</v>
      </c>
      <c r="B57" s="19">
        <v>0</v>
      </c>
      <c r="C57" s="19">
        <v>0</v>
      </c>
      <c r="D57" s="19">
        <v>0</v>
      </c>
      <c r="E57" s="19">
        <v>0</v>
      </c>
      <c r="F57" s="24">
        <v>0</v>
      </c>
    </row>
    <row r="58" spans="1:6" s="70" customFormat="1" ht="26.25">
      <c r="A58" s="29" t="s">
        <v>59</v>
      </c>
      <c r="B58" s="299">
        <v>0</v>
      </c>
      <c r="C58" s="28">
        <v>0</v>
      </c>
      <c r="D58" s="28">
        <v>0</v>
      </c>
      <c r="E58" s="28">
        <v>0</v>
      </c>
      <c r="F58" s="24">
        <v>0</v>
      </c>
    </row>
    <row r="59" spans="1:6" s="70" customFormat="1" ht="26.25">
      <c r="A59" s="29" t="s">
        <v>60</v>
      </c>
      <c r="B59" s="299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70" customFormat="1" ht="26.25">
      <c r="A60" s="29" t="s">
        <v>61</v>
      </c>
      <c r="B60" s="299">
        <v>0</v>
      </c>
      <c r="C60" s="28">
        <v>0</v>
      </c>
      <c r="D60" s="28">
        <v>0</v>
      </c>
      <c r="E60" s="28">
        <v>0</v>
      </c>
      <c r="F60" s="24">
        <v>0</v>
      </c>
    </row>
    <row r="61" spans="1:6" s="70" customFormat="1" ht="26.25">
      <c r="A61" s="29" t="s">
        <v>62</v>
      </c>
      <c r="B61" s="299">
        <v>0</v>
      </c>
      <c r="C61" s="28">
        <v>0</v>
      </c>
      <c r="D61" s="28">
        <v>0</v>
      </c>
      <c r="E61" s="28">
        <v>0</v>
      </c>
      <c r="F61" s="24">
        <v>0</v>
      </c>
    </row>
    <row r="62" spans="1:6" s="70" customFormat="1" ht="26.25">
      <c r="A62" s="29" t="s">
        <v>63</v>
      </c>
      <c r="B62" s="299">
        <v>0</v>
      </c>
      <c r="C62" s="28">
        <v>0</v>
      </c>
      <c r="D62" s="28">
        <v>0</v>
      </c>
      <c r="E62" s="28">
        <v>0</v>
      </c>
      <c r="F62" s="24">
        <v>0</v>
      </c>
    </row>
    <row r="63" spans="1:6" s="70" customFormat="1" ht="26.25">
      <c r="A63" s="29" t="s">
        <v>64</v>
      </c>
      <c r="B63" s="299">
        <v>0</v>
      </c>
      <c r="C63" s="28">
        <v>0</v>
      </c>
      <c r="D63" s="28">
        <v>0</v>
      </c>
      <c r="E63" s="28">
        <v>0</v>
      </c>
      <c r="F63" s="24">
        <v>0</v>
      </c>
    </row>
    <row r="64" spans="1:6" s="70" customFormat="1" ht="26.25">
      <c r="A64" s="29" t="s">
        <v>65</v>
      </c>
      <c r="B64" s="299">
        <v>0</v>
      </c>
      <c r="C64" s="28">
        <v>0</v>
      </c>
      <c r="D64" s="28">
        <v>0</v>
      </c>
      <c r="E64" s="28">
        <v>0</v>
      </c>
      <c r="F64" s="24">
        <v>0</v>
      </c>
    </row>
    <row r="65" spans="1:6" s="72" customFormat="1" ht="26.25">
      <c r="A65" s="49" t="s">
        <v>66</v>
      </c>
      <c r="B65" s="300">
        <v>0</v>
      </c>
      <c r="C65" s="34">
        <v>0</v>
      </c>
      <c r="D65" s="34">
        <v>0</v>
      </c>
      <c r="E65" s="34">
        <v>0</v>
      </c>
      <c r="F65" s="35">
        <v>0</v>
      </c>
    </row>
    <row r="66" spans="1:6" s="70" customFormat="1" ht="26.25">
      <c r="A66" s="29" t="s">
        <v>67</v>
      </c>
      <c r="B66" s="299">
        <v>124013726.67</v>
      </c>
      <c r="C66" s="28">
        <v>130323246</v>
      </c>
      <c r="D66" s="28">
        <v>123955804</v>
      </c>
      <c r="E66" s="28">
        <v>-6367442</v>
      </c>
      <c r="F66" s="24">
        <v>-4.8858835207342827E-2</v>
      </c>
    </row>
    <row r="67" spans="1:6" s="70" customFormat="1" ht="26.25">
      <c r="A67" s="29" t="s">
        <v>68</v>
      </c>
      <c r="B67" s="299">
        <v>0</v>
      </c>
      <c r="C67" s="28">
        <v>0</v>
      </c>
      <c r="D67" s="28">
        <v>0</v>
      </c>
      <c r="E67" s="28">
        <v>0</v>
      </c>
      <c r="F67" s="24">
        <v>0</v>
      </c>
    </row>
    <row r="68" spans="1:6" s="70" customFormat="1" ht="26.25">
      <c r="A68" s="29" t="s">
        <v>69</v>
      </c>
      <c r="B68" s="299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70" customFormat="1" ht="26.25">
      <c r="A69" s="29" t="s">
        <v>128</v>
      </c>
      <c r="B69" s="299">
        <v>17125</v>
      </c>
      <c r="C69" s="28">
        <v>17125</v>
      </c>
      <c r="D69" s="28">
        <v>0</v>
      </c>
      <c r="E69" s="28">
        <v>-17125</v>
      </c>
      <c r="F69" s="24">
        <v>-1</v>
      </c>
    </row>
    <row r="70" spans="1:6" s="72" customFormat="1" ht="26.25">
      <c r="A70" s="50" t="s">
        <v>71</v>
      </c>
      <c r="B70" s="301">
        <v>124030851.67</v>
      </c>
      <c r="C70" s="51">
        <v>130340371</v>
      </c>
      <c r="D70" s="51">
        <v>123955804</v>
      </c>
      <c r="E70" s="51">
        <v>-6384567</v>
      </c>
      <c r="F70" s="35">
        <v>-4.8983802570271955E-2</v>
      </c>
    </row>
    <row r="71" spans="1:6" s="70" customFormat="1" ht="12.75" customHeight="1">
      <c r="A71" s="48"/>
      <c r="B71" s="19"/>
      <c r="C71" s="19"/>
      <c r="D71" s="19"/>
      <c r="E71" s="19"/>
      <c r="F71" s="21"/>
    </row>
    <row r="72" spans="1:6" s="70" customFormat="1" ht="26.25">
      <c r="A72" s="46" t="s">
        <v>72</v>
      </c>
      <c r="B72" s="19"/>
      <c r="C72" s="19"/>
      <c r="D72" s="19"/>
      <c r="E72" s="19"/>
      <c r="F72" s="21"/>
    </row>
    <row r="73" spans="1:6" s="70" customFormat="1" ht="26.25">
      <c r="A73" s="27" t="s">
        <v>73</v>
      </c>
      <c r="B73" s="23">
        <v>33486863.649999999</v>
      </c>
      <c r="C73" s="23">
        <v>33142993</v>
      </c>
      <c r="D73" s="23">
        <v>32384118</v>
      </c>
      <c r="E73" s="19">
        <v>-758875</v>
      </c>
      <c r="F73" s="24">
        <v>-2.2896996659293865E-2</v>
      </c>
    </row>
    <row r="74" spans="1:6" s="70" customFormat="1" ht="26.25">
      <c r="A74" s="29" t="s">
        <v>74</v>
      </c>
      <c r="B74" s="298">
        <v>1742630.59</v>
      </c>
      <c r="C74" s="23">
        <v>1287350</v>
      </c>
      <c r="D74" s="23">
        <v>1612209</v>
      </c>
      <c r="E74" s="28">
        <v>324859</v>
      </c>
      <c r="F74" s="24">
        <v>0.25234706956150232</v>
      </c>
    </row>
    <row r="75" spans="1:6" s="70" customFormat="1" ht="26.25">
      <c r="A75" s="29" t="s">
        <v>75</v>
      </c>
      <c r="B75" s="19">
        <v>11083476.449999999</v>
      </c>
      <c r="C75" s="23">
        <v>10997899</v>
      </c>
      <c r="D75" s="23">
        <v>10976836</v>
      </c>
      <c r="E75" s="28">
        <v>-21063</v>
      </c>
      <c r="F75" s="24">
        <v>-1.9151839819587359E-3</v>
      </c>
    </row>
    <row r="76" spans="1:6" s="72" customFormat="1" ht="26.25">
      <c r="A76" s="49" t="s">
        <v>76</v>
      </c>
      <c r="B76" s="301">
        <v>46312970.689999998</v>
      </c>
      <c r="C76" s="51">
        <v>45428242</v>
      </c>
      <c r="D76" s="51">
        <v>44973163</v>
      </c>
      <c r="E76" s="34">
        <v>-455079</v>
      </c>
      <c r="F76" s="35">
        <v>-1.0017534907029861E-2</v>
      </c>
    </row>
    <row r="77" spans="1:6" s="70" customFormat="1" ht="26.25">
      <c r="A77" s="29" t="s">
        <v>77</v>
      </c>
      <c r="B77" s="298">
        <v>14106.01</v>
      </c>
      <c r="C77" s="26">
        <v>20000</v>
      </c>
      <c r="D77" s="26">
        <v>20000</v>
      </c>
      <c r="E77" s="28">
        <v>0</v>
      </c>
      <c r="F77" s="24">
        <v>0</v>
      </c>
    </row>
    <row r="78" spans="1:6" s="70" customFormat="1" ht="26.25">
      <c r="A78" s="29" t="s">
        <v>78</v>
      </c>
      <c r="B78" s="23">
        <v>7084438.4199999999</v>
      </c>
      <c r="C78" s="23">
        <v>8310923</v>
      </c>
      <c r="D78" s="23">
        <v>6587849</v>
      </c>
      <c r="E78" s="28">
        <v>-1723074</v>
      </c>
      <c r="F78" s="24">
        <v>-0.2073264305300386</v>
      </c>
    </row>
    <row r="79" spans="1:6" s="70" customFormat="1" ht="26.25">
      <c r="A79" s="29" t="s">
        <v>79</v>
      </c>
      <c r="B79" s="19">
        <v>9866427.75</v>
      </c>
      <c r="C79" s="19">
        <v>9567720</v>
      </c>
      <c r="D79" s="19">
        <v>9238372</v>
      </c>
      <c r="E79" s="28">
        <v>-329348</v>
      </c>
      <c r="F79" s="24">
        <v>-3.4422830099543049E-2</v>
      </c>
    </row>
    <row r="80" spans="1:6" s="72" customFormat="1" ht="26.25">
      <c r="A80" s="32" t="s">
        <v>80</v>
      </c>
      <c r="B80" s="301">
        <v>16964972.18</v>
      </c>
      <c r="C80" s="51">
        <v>17898643</v>
      </c>
      <c r="D80" s="51">
        <v>15846221</v>
      </c>
      <c r="E80" s="34">
        <v>-2052422</v>
      </c>
      <c r="F80" s="35">
        <v>-0.11466914000128389</v>
      </c>
    </row>
    <row r="81" spans="1:6" s="70" customFormat="1" ht="26.25">
      <c r="A81" s="29" t="s">
        <v>81</v>
      </c>
      <c r="B81" s="19">
        <v>2103352.29</v>
      </c>
      <c r="C81" s="19">
        <v>2994000</v>
      </c>
      <c r="D81" s="19">
        <v>2169300</v>
      </c>
      <c r="E81" s="28">
        <v>-824700</v>
      </c>
      <c r="F81" s="24">
        <v>-0.27545090180360721</v>
      </c>
    </row>
    <row r="82" spans="1:6" s="70" customFormat="1" ht="26.25">
      <c r="A82" s="29" t="s">
        <v>82</v>
      </c>
      <c r="B82" s="299">
        <v>45154881.170000002</v>
      </c>
      <c r="C82" s="28">
        <v>50439629</v>
      </c>
      <c r="D82" s="28">
        <v>46922848</v>
      </c>
      <c r="E82" s="28">
        <v>-3516781</v>
      </c>
      <c r="F82" s="24">
        <v>-6.9722578649418693E-2</v>
      </c>
    </row>
    <row r="83" spans="1:6" s="70" customFormat="1" ht="26.25">
      <c r="A83" s="29" t="s">
        <v>83</v>
      </c>
      <c r="B83" s="299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70" customFormat="1" ht="26.25">
      <c r="A84" s="29" t="s">
        <v>84</v>
      </c>
      <c r="B84" s="299">
        <v>13494675.339999996</v>
      </c>
      <c r="C84" s="28">
        <v>13579857</v>
      </c>
      <c r="D84" s="28">
        <v>14044272</v>
      </c>
      <c r="E84" s="28">
        <v>464415</v>
      </c>
      <c r="F84" s="24">
        <v>3.419881372830362E-2</v>
      </c>
    </row>
    <row r="85" spans="1:6" s="72" customFormat="1" ht="26.25">
      <c r="A85" s="32" t="s">
        <v>85</v>
      </c>
      <c r="B85" s="300">
        <v>60752908.799999997</v>
      </c>
      <c r="C85" s="34">
        <v>67013486</v>
      </c>
      <c r="D85" s="34">
        <v>63136420</v>
      </c>
      <c r="E85" s="34">
        <v>-3877066</v>
      </c>
      <c r="F85" s="35">
        <v>-5.7855011452470927E-2</v>
      </c>
    </row>
    <row r="86" spans="1:6" s="70" customFormat="1" ht="26.25">
      <c r="A86" s="29" t="s">
        <v>86</v>
      </c>
      <c r="B86" s="299">
        <v>0</v>
      </c>
      <c r="C86" s="28">
        <v>0</v>
      </c>
      <c r="D86" s="28">
        <v>0</v>
      </c>
      <c r="E86" s="28">
        <v>0</v>
      </c>
      <c r="F86" s="24">
        <v>0</v>
      </c>
    </row>
    <row r="87" spans="1:6" s="70" customFormat="1" ht="26.25">
      <c r="A87" s="29" t="s">
        <v>87</v>
      </c>
      <c r="B87" s="299">
        <v>0</v>
      </c>
      <c r="C87" s="28">
        <v>0</v>
      </c>
      <c r="D87" s="28">
        <v>0</v>
      </c>
      <c r="E87" s="28">
        <v>0</v>
      </c>
      <c r="F87" s="24">
        <v>0</v>
      </c>
    </row>
    <row r="88" spans="1:6" s="70" customFormat="1" ht="26.25">
      <c r="A88" s="38" t="s">
        <v>88</v>
      </c>
      <c r="B88" s="299">
        <v>0</v>
      </c>
      <c r="C88" s="28">
        <v>0</v>
      </c>
      <c r="D88" s="28">
        <v>0</v>
      </c>
      <c r="E88" s="28">
        <v>0</v>
      </c>
      <c r="F88" s="24">
        <v>0</v>
      </c>
    </row>
    <row r="89" spans="1:6" s="72" customFormat="1" ht="26.25">
      <c r="A89" s="52" t="s">
        <v>89</v>
      </c>
      <c r="B89" s="301">
        <v>0</v>
      </c>
      <c r="C89" s="51">
        <v>0</v>
      </c>
      <c r="D89" s="51">
        <v>0</v>
      </c>
      <c r="E89" s="51">
        <v>0</v>
      </c>
      <c r="F89" s="35">
        <v>0</v>
      </c>
    </row>
    <row r="90" spans="1:6" s="70" customFormat="1" ht="26.25">
      <c r="A90" s="38" t="s">
        <v>90</v>
      </c>
      <c r="B90" s="299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72" customFormat="1" ht="27" thickBot="1">
      <c r="A91" s="53" t="s">
        <v>71</v>
      </c>
      <c r="B91" s="302">
        <v>124030851.66999999</v>
      </c>
      <c r="C91" s="54">
        <v>130340371</v>
      </c>
      <c r="D91" s="55">
        <v>123955804</v>
      </c>
      <c r="E91" s="54">
        <v>-6384567</v>
      </c>
      <c r="F91" s="56">
        <v>-4.8983802570271955E-2</v>
      </c>
    </row>
    <row r="92" spans="1:6" s="74" customFormat="1" ht="12.75" customHeight="1" thickBot="1">
      <c r="A92" s="57"/>
      <c r="B92" s="58"/>
      <c r="C92" s="58"/>
      <c r="D92" s="58"/>
      <c r="E92" s="59"/>
      <c r="F92" s="59"/>
    </row>
    <row r="93" spans="1:6" s="74" customFormat="1" ht="31.5">
      <c r="A93" s="160" t="s">
        <v>43</v>
      </c>
      <c r="B93" s="161"/>
      <c r="C93" s="161"/>
      <c r="D93" s="162"/>
      <c r="E93" s="161"/>
      <c r="F93" s="163"/>
    </row>
    <row r="94" spans="1:6" s="74" customFormat="1" ht="31.5" hidden="1">
      <c r="A94" s="164" t="s">
        <v>121</v>
      </c>
      <c r="B94" s="165">
        <v>0</v>
      </c>
      <c r="C94" s="165">
        <v>0</v>
      </c>
      <c r="D94" s="166"/>
      <c r="E94" s="165">
        <v>0</v>
      </c>
      <c r="F94" s="167">
        <v>0</v>
      </c>
    </row>
    <row r="95" spans="1:6" ht="25.5" hidden="1">
      <c r="A95" s="234" t="s">
        <v>45</v>
      </c>
      <c r="B95" s="189">
        <v>0</v>
      </c>
      <c r="C95" s="189">
        <v>0</v>
      </c>
      <c r="D95" s="190"/>
      <c r="E95" s="198">
        <v>0</v>
      </c>
      <c r="F95" s="235">
        <v>0</v>
      </c>
    </row>
    <row r="96" spans="1:6" s="246" customFormat="1" ht="25.5">
      <c r="A96" s="236" t="s">
        <v>122</v>
      </c>
      <c r="B96" s="303">
        <v>226248</v>
      </c>
      <c r="C96" s="237">
        <v>226248</v>
      </c>
      <c r="D96" s="238"/>
      <c r="E96" s="237">
        <v>-226248</v>
      </c>
      <c r="F96" s="240">
        <v>-1</v>
      </c>
    </row>
    <row r="97" spans="1:6" ht="25.5" hidden="1">
      <c r="A97" s="164" t="s">
        <v>47</v>
      </c>
      <c r="B97" s="165">
        <v>0</v>
      </c>
      <c r="C97" s="165">
        <v>0</v>
      </c>
      <c r="D97" s="166"/>
      <c r="E97" s="165">
        <v>0</v>
      </c>
      <c r="F97" s="167">
        <v>0</v>
      </c>
    </row>
    <row r="98" spans="1:6" ht="25.5" hidden="1">
      <c r="A98" s="170" t="s">
        <v>48</v>
      </c>
      <c r="B98" s="165">
        <v>0</v>
      </c>
      <c r="C98" s="165">
        <v>0</v>
      </c>
      <c r="D98" s="166"/>
      <c r="E98" s="169">
        <v>0</v>
      </c>
      <c r="F98" s="167">
        <v>0</v>
      </c>
    </row>
    <row r="99" spans="1:6" ht="27" thickBot="1">
      <c r="A99" s="171" t="s">
        <v>49</v>
      </c>
      <c r="B99" s="172">
        <v>226248</v>
      </c>
      <c r="C99" s="172">
        <v>226248</v>
      </c>
      <c r="D99" s="173">
        <v>0</v>
      </c>
      <c r="E99" s="172">
        <v>-226248</v>
      </c>
      <c r="F99" s="174">
        <v>-1</v>
      </c>
    </row>
    <row r="100" spans="1:6" ht="26.25">
      <c r="A100" s="175"/>
      <c r="B100" s="176"/>
      <c r="C100" s="176"/>
      <c r="D100" s="176"/>
      <c r="E100" s="176"/>
      <c r="F100" s="177"/>
    </row>
    <row r="101" spans="1:6" ht="31.5">
      <c r="A101" s="61" t="s">
        <v>91</v>
      </c>
      <c r="B101" s="62"/>
      <c r="C101" s="62"/>
      <c r="D101" s="62"/>
      <c r="E101" s="59"/>
      <c r="F101" s="59"/>
    </row>
    <row r="102" spans="1:6" ht="31.5">
      <c r="A102" s="61" t="s">
        <v>92</v>
      </c>
      <c r="B102" s="62"/>
      <c r="C102" s="62"/>
      <c r="D102" s="62"/>
      <c r="E102" s="59"/>
      <c r="F102" s="59"/>
    </row>
    <row r="103" spans="1:6" ht="30">
      <c r="A103" s="178" t="s">
        <v>123</v>
      </c>
      <c r="B103" s="64"/>
      <c r="C103" s="64"/>
      <c r="D103" s="64"/>
      <c r="E103" s="65"/>
      <c r="F103" s="65"/>
    </row>
  </sheetData>
  <pageMargins left="0.7" right="0.7" top="0.3" bottom="0.3" header="0.3" footer="0.3"/>
  <pageSetup scale="3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3"/>
  <sheetViews>
    <sheetView topLeftCell="A76" zoomScale="60" zoomScaleNormal="60" workbookViewId="0">
      <selection activeCell="A109" sqref="A109:XFD110"/>
    </sheetView>
  </sheetViews>
  <sheetFormatPr defaultRowHeight="15.75"/>
  <cols>
    <col min="1" max="1" width="121.140625" style="75" customWidth="1"/>
    <col min="2" max="2" width="32.7109375" style="76" customWidth="1"/>
    <col min="3" max="4" width="32.85546875" style="76" customWidth="1"/>
    <col min="5" max="5" width="35.42578125" style="75" customWidth="1"/>
    <col min="6" max="6" width="25.140625" style="75" customWidth="1"/>
    <col min="7" max="254" width="9.140625" style="75"/>
    <col min="255" max="255" width="121.140625" style="75" customWidth="1"/>
    <col min="256" max="256" width="32.7109375" style="75" customWidth="1"/>
    <col min="257" max="258" width="32.85546875" style="75" customWidth="1"/>
    <col min="259" max="259" width="29.7109375" style="75" customWidth="1"/>
    <col min="260" max="260" width="25.5703125" style="75" customWidth="1"/>
    <col min="261" max="261" width="35.42578125" style="75" customWidth="1"/>
    <col min="262" max="262" width="25.140625" style="75" customWidth="1"/>
    <col min="263" max="510" width="9.140625" style="75"/>
    <col min="511" max="511" width="121.140625" style="75" customWidth="1"/>
    <col min="512" max="512" width="32.7109375" style="75" customWidth="1"/>
    <col min="513" max="514" width="32.85546875" style="75" customWidth="1"/>
    <col min="515" max="515" width="29.7109375" style="75" customWidth="1"/>
    <col min="516" max="516" width="25.5703125" style="75" customWidth="1"/>
    <col min="517" max="517" width="35.42578125" style="75" customWidth="1"/>
    <col min="518" max="518" width="25.140625" style="75" customWidth="1"/>
    <col min="519" max="766" width="9.140625" style="75"/>
    <col min="767" max="767" width="121.140625" style="75" customWidth="1"/>
    <col min="768" max="768" width="32.7109375" style="75" customWidth="1"/>
    <col min="769" max="770" width="32.85546875" style="75" customWidth="1"/>
    <col min="771" max="771" width="29.7109375" style="75" customWidth="1"/>
    <col min="772" max="772" width="25.5703125" style="75" customWidth="1"/>
    <col min="773" max="773" width="35.42578125" style="75" customWidth="1"/>
    <col min="774" max="774" width="25.140625" style="75" customWidth="1"/>
    <col min="775" max="1022" width="9.140625" style="75"/>
    <col min="1023" max="1023" width="121.140625" style="75" customWidth="1"/>
    <col min="1024" max="1024" width="32.7109375" style="75" customWidth="1"/>
    <col min="1025" max="1026" width="32.85546875" style="75" customWidth="1"/>
    <col min="1027" max="1027" width="29.7109375" style="75" customWidth="1"/>
    <col min="1028" max="1028" width="25.5703125" style="75" customWidth="1"/>
    <col min="1029" max="1029" width="35.42578125" style="75" customWidth="1"/>
    <col min="1030" max="1030" width="25.140625" style="75" customWidth="1"/>
    <col min="1031" max="1278" width="9.140625" style="75"/>
    <col min="1279" max="1279" width="121.140625" style="75" customWidth="1"/>
    <col min="1280" max="1280" width="32.7109375" style="75" customWidth="1"/>
    <col min="1281" max="1282" width="32.85546875" style="75" customWidth="1"/>
    <col min="1283" max="1283" width="29.7109375" style="75" customWidth="1"/>
    <col min="1284" max="1284" width="25.5703125" style="75" customWidth="1"/>
    <col min="1285" max="1285" width="35.42578125" style="75" customWidth="1"/>
    <col min="1286" max="1286" width="25.140625" style="75" customWidth="1"/>
    <col min="1287" max="1534" width="9.140625" style="75"/>
    <col min="1535" max="1535" width="121.140625" style="75" customWidth="1"/>
    <col min="1536" max="1536" width="32.7109375" style="75" customWidth="1"/>
    <col min="1537" max="1538" width="32.85546875" style="75" customWidth="1"/>
    <col min="1539" max="1539" width="29.7109375" style="75" customWidth="1"/>
    <col min="1540" max="1540" width="25.5703125" style="75" customWidth="1"/>
    <col min="1541" max="1541" width="35.42578125" style="75" customWidth="1"/>
    <col min="1542" max="1542" width="25.140625" style="75" customWidth="1"/>
    <col min="1543" max="1790" width="9.140625" style="75"/>
    <col min="1791" max="1791" width="121.140625" style="75" customWidth="1"/>
    <col min="1792" max="1792" width="32.7109375" style="75" customWidth="1"/>
    <col min="1793" max="1794" width="32.85546875" style="75" customWidth="1"/>
    <col min="1795" max="1795" width="29.7109375" style="75" customWidth="1"/>
    <col min="1796" max="1796" width="25.5703125" style="75" customWidth="1"/>
    <col min="1797" max="1797" width="35.42578125" style="75" customWidth="1"/>
    <col min="1798" max="1798" width="25.140625" style="75" customWidth="1"/>
    <col min="1799" max="2046" width="9.140625" style="75"/>
    <col min="2047" max="2047" width="121.140625" style="75" customWidth="1"/>
    <col min="2048" max="2048" width="32.7109375" style="75" customWidth="1"/>
    <col min="2049" max="2050" width="32.85546875" style="75" customWidth="1"/>
    <col min="2051" max="2051" width="29.7109375" style="75" customWidth="1"/>
    <col min="2052" max="2052" width="25.5703125" style="75" customWidth="1"/>
    <col min="2053" max="2053" width="35.42578125" style="75" customWidth="1"/>
    <col min="2054" max="2054" width="25.140625" style="75" customWidth="1"/>
    <col min="2055" max="2302" width="9.140625" style="75"/>
    <col min="2303" max="2303" width="121.140625" style="75" customWidth="1"/>
    <col min="2304" max="2304" width="32.7109375" style="75" customWidth="1"/>
    <col min="2305" max="2306" width="32.85546875" style="75" customWidth="1"/>
    <col min="2307" max="2307" width="29.7109375" style="75" customWidth="1"/>
    <col min="2308" max="2308" width="25.5703125" style="75" customWidth="1"/>
    <col min="2309" max="2309" width="35.42578125" style="75" customWidth="1"/>
    <col min="2310" max="2310" width="25.140625" style="75" customWidth="1"/>
    <col min="2311" max="2558" width="9.140625" style="75"/>
    <col min="2559" max="2559" width="121.140625" style="75" customWidth="1"/>
    <col min="2560" max="2560" width="32.7109375" style="75" customWidth="1"/>
    <col min="2561" max="2562" width="32.85546875" style="75" customWidth="1"/>
    <col min="2563" max="2563" width="29.7109375" style="75" customWidth="1"/>
    <col min="2564" max="2564" width="25.5703125" style="75" customWidth="1"/>
    <col min="2565" max="2565" width="35.42578125" style="75" customWidth="1"/>
    <col min="2566" max="2566" width="25.140625" style="75" customWidth="1"/>
    <col min="2567" max="2814" width="9.140625" style="75"/>
    <col min="2815" max="2815" width="121.140625" style="75" customWidth="1"/>
    <col min="2816" max="2816" width="32.7109375" style="75" customWidth="1"/>
    <col min="2817" max="2818" width="32.85546875" style="75" customWidth="1"/>
    <col min="2819" max="2819" width="29.7109375" style="75" customWidth="1"/>
    <col min="2820" max="2820" width="25.5703125" style="75" customWidth="1"/>
    <col min="2821" max="2821" width="35.42578125" style="75" customWidth="1"/>
    <col min="2822" max="2822" width="25.140625" style="75" customWidth="1"/>
    <col min="2823" max="3070" width="9.140625" style="75"/>
    <col min="3071" max="3071" width="121.140625" style="75" customWidth="1"/>
    <col min="3072" max="3072" width="32.7109375" style="75" customWidth="1"/>
    <col min="3073" max="3074" width="32.85546875" style="75" customWidth="1"/>
    <col min="3075" max="3075" width="29.7109375" style="75" customWidth="1"/>
    <col min="3076" max="3076" width="25.5703125" style="75" customWidth="1"/>
    <col min="3077" max="3077" width="35.42578125" style="75" customWidth="1"/>
    <col min="3078" max="3078" width="25.140625" style="75" customWidth="1"/>
    <col min="3079" max="3326" width="9.140625" style="75"/>
    <col min="3327" max="3327" width="121.140625" style="75" customWidth="1"/>
    <col min="3328" max="3328" width="32.7109375" style="75" customWidth="1"/>
    <col min="3329" max="3330" width="32.85546875" style="75" customWidth="1"/>
    <col min="3331" max="3331" width="29.7109375" style="75" customWidth="1"/>
    <col min="3332" max="3332" width="25.5703125" style="75" customWidth="1"/>
    <col min="3333" max="3333" width="35.42578125" style="75" customWidth="1"/>
    <col min="3334" max="3334" width="25.140625" style="75" customWidth="1"/>
    <col min="3335" max="3582" width="9.140625" style="75"/>
    <col min="3583" max="3583" width="121.140625" style="75" customWidth="1"/>
    <col min="3584" max="3584" width="32.7109375" style="75" customWidth="1"/>
    <col min="3585" max="3586" width="32.85546875" style="75" customWidth="1"/>
    <col min="3587" max="3587" width="29.7109375" style="75" customWidth="1"/>
    <col min="3588" max="3588" width="25.5703125" style="75" customWidth="1"/>
    <col min="3589" max="3589" width="35.42578125" style="75" customWidth="1"/>
    <col min="3590" max="3590" width="25.140625" style="75" customWidth="1"/>
    <col min="3591" max="3838" width="9.140625" style="75"/>
    <col min="3839" max="3839" width="121.140625" style="75" customWidth="1"/>
    <col min="3840" max="3840" width="32.7109375" style="75" customWidth="1"/>
    <col min="3841" max="3842" width="32.85546875" style="75" customWidth="1"/>
    <col min="3843" max="3843" width="29.7109375" style="75" customWidth="1"/>
    <col min="3844" max="3844" width="25.5703125" style="75" customWidth="1"/>
    <col min="3845" max="3845" width="35.42578125" style="75" customWidth="1"/>
    <col min="3846" max="3846" width="25.140625" style="75" customWidth="1"/>
    <col min="3847" max="4094" width="9.140625" style="75"/>
    <col min="4095" max="4095" width="121.140625" style="75" customWidth="1"/>
    <col min="4096" max="4096" width="32.7109375" style="75" customWidth="1"/>
    <col min="4097" max="4098" width="32.85546875" style="75" customWidth="1"/>
    <col min="4099" max="4099" width="29.7109375" style="75" customWidth="1"/>
    <col min="4100" max="4100" width="25.5703125" style="75" customWidth="1"/>
    <col min="4101" max="4101" width="35.42578125" style="75" customWidth="1"/>
    <col min="4102" max="4102" width="25.140625" style="75" customWidth="1"/>
    <col min="4103" max="4350" width="9.140625" style="75"/>
    <col min="4351" max="4351" width="121.140625" style="75" customWidth="1"/>
    <col min="4352" max="4352" width="32.7109375" style="75" customWidth="1"/>
    <col min="4353" max="4354" width="32.85546875" style="75" customWidth="1"/>
    <col min="4355" max="4355" width="29.7109375" style="75" customWidth="1"/>
    <col min="4356" max="4356" width="25.5703125" style="75" customWidth="1"/>
    <col min="4357" max="4357" width="35.42578125" style="75" customWidth="1"/>
    <col min="4358" max="4358" width="25.140625" style="75" customWidth="1"/>
    <col min="4359" max="4606" width="9.140625" style="75"/>
    <col min="4607" max="4607" width="121.140625" style="75" customWidth="1"/>
    <col min="4608" max="4608" width="32.7109375" style="75" customWidth="1"/>
    <col min="4609" max="4610" width="32.85546875" style="75" customWidth="1"/>
    <col min="4611" max="4611" width="29.7109375" style="75" customWidth="1"/>
    <col min="4612" max="4612" width="25.5703125" style="75" customWidth="1"/>
    <col min="4613" max="4613" width="35.42578125" style="75" customWidth="1"/>
    <col min="4614" max="4614" width="25.140625" style="75" customWidth="1"/>
    <col min="4615" max="4862" width="9.140625" style="75"/>
    <col min="4863" max="4863" width="121.140625" style="75" customWidth="1"/>
    <col min="4864" max="4864" width="32.7109375" style="75" customWidth="1"/>
    <col min="4865" max="4866" width="32.85546875" style="75" customWidth="1"/>
    <col min="4867" max="4867" width="29.7109375" style="75" customWidth="1"/>
    <col min="4868" max="4868" width="25.5703125" style="75" customWidth="1"/>
    <col min="4869" max="4869" width="35.42578125" style="75" customWidth="1"/>
    <col min="4870" max="4870" width="25.140625" style="75" customWidth="1"/>
    <col min="4871" max="5118" width="9.140625" style="75"/>
    <col min="5119" max="5119" width="121.140625" style="75" customWidth="1"/>
    <col min="5120" max="5120" width="32.7109375" style="75" customWidth="1"/>
    <col min="5121" max="5122" width="32.85546875" style="75" customWidth="1"/>
    <col min="5123" max="5123" width="29.7109375" style="75" customWidth="1"/>
    <col min="5124" max="5124" width="25.5703125" style="75" customWidth="1"/>
    <col min="5125" max="5125" width="35.42578125" style="75" customWidth="1"/>
    <col min="5126" max="5126" width="25.140625" style="75" customWidth="1"/>
    <col min="5127" max="5374" width="9.140625" style="75"/>
    <col min="5375" max="5375" width="121.140625" style="75" customWidth="1"/>
    <col min="5376" max="5376" width="32.7109375" style="75" customWidth="1"/>
    <col min="5377" max="5378" width="32.85546875" style="75" customWidth="1"/>
    <col min="5379" max="5379" width="29.7109375" style="75" customWidth="1"/>
    <col min="5380" max="5380" width="25.5703125" style="75" customWidth="1"/>
    <col min="5381" max="5381" width="35.42578125" style="75" customWidth="1"/>
    <col min="5382" max="5382" width="25.140625" style="75" customWidth="1"/>
    <col min="5383" max="5630" width="9.140625" style="75"/>
    <col min="5631" max="5631" width="121.140625" style="75" customWidth="1"/>
    <col min="5632" max="5632" width="32.7109375" style="75" customWidth="1"/>
    <col min="5633" max="5634" width="32.85546875" style="75" customWidth="1"/>
    <col min="5635" max="5635" width="29.7109375" style="75" customWidth="1"/>
    <col min="5636" max="5636" width="25.5703125" style="75" customWidth="1"/>
    <col min="5637" max="5637" width="35.42578125" style="75" customWidth="1"/>
    <col min="5638" max="5638" width="25.140625" style="75" customWidth="1"/>
    <col min="5639" max="5886" width="9.140625" style="75"/>
    <col min="5887" max="5887" width="121.140625" style="75" customWidth="1"/>
    <col min="5888" max="5888" width="32.7109375" style="75" customWidth="1"/>
    <col min="5889" max="5890" width="32.85546875" style="75" customWidth="1"/>
    <col min="5891" max="5891" width="29.7109375" style="75" customWidth="1"/>
    <col min="5892" max="5892" width="25.5703125" style="75" customWidth="1"/>
    <col min="5893" max="5893" width="35.42578125" style="75" customWidth="1"/>
    <col min="5894" max="5894" width="25.140625" style="75" customWidth="1"/>
    <col min="5895" max="6142" width="9.140625" style="75"/>
    <col min="6143" max="6143" width="121.140625" style="75" customWidth="1"/>
    <col min="6144" max="6144" width="32.7109375" style="75" customWidth="1"/>
    <col min="6145" max="6146" width="32.85546875" style="75" customWidth="1"/>
    <col min="6147" max="6147" width="29.7109375" style="75" customWidth="1"/>
    <col min="6148" max="6148" width="25.5703125" style="75" customWidth="1"/>
    <col min="6149" max="6149" width="35.42578125" style="75" customWidth="1"/>
    <col min="6150" max="6150" width="25.140625" style="75" customWidth="1"/>
    <col min="6151" max="6398" width="9.140625" style="75"/>
    <col min="6399" max="6399" width="121.140625" style="75" customWidth="1"/>
    <col min="6400" max="6400" width="32.7109375" style="75" customWidth="1"/>
    <col min="6401" max="6402" width="32.85546875" style="75" customWidth="1"/>
    <col min="6403" max="6403" width="29.7109375" style="75" customWidth="1"/>
    <col min="6404" max="6404" width="25.5703125" style="75" customWidth="1"/>
    <col min="6405" max="6405" width="35.42578125" style="75" customWidth="1"/>
    <col min="6406" max="6406" width="25.140625" style="75" customWidth="1"/>
    <col min="6407" max="6654" width="9.140625" style="75"/>
    <col min="6655" max="6655" width="121.140625" style="75" customWidth="1"/>
    <col min="6656" max="6656" width="32.7109375" style="75" customWidth="1"/>
    <col min="6657" max="6658" width="32.85546875" style="75" customWidth="1"/>
    <col min="6659" max="6659" width="29.7109375" style="75" customWidth="1"/>
    <col min="6660" max="6660" width="25.5703125" style="75" customWidth="1"/>
    <col min="6661" max="6661" width="35.42578125" style="75" customWidth="1"/>
    <col min="6662" max="6662" width="25.140625" style="75" customWidth="1"/>
    <col min="6663" max="6910" width="9.140625" style="75"/>
    <col min="6911" max="6911" width="121.140625" style="75" customWidth="1"/>
    <col min="6912" max="6912" width="32.7109375" style="75" customWidth="1"/>
    <col min="6913" max="6914" width="32.85546875" style="75" customWidth="1"/>
    <col min="6915" max="6915" width="29.7109375" style="75" customWidth="1"/>
    <col min="6916" max="6916" width="25.5703125" style="75" customWidth="1"/>
    <col min="6917" max="6917" width="35.42578125" style="75" customWidth="1"/>
    <col min="6918" max="6918" width="25.140625" style="75" customWidth="1"/>
    <col min="6919" max="7166" width="9.140625" style="75"/>
    <col min="7167" max="7167" width="121.140625" style="75" customWidth="1"/>
    <col min="7168" max="7168" width="32.7109375" style="75" customWidth="1"/>
    <col min="7169" max="7170" width="32.85546875" style="75" customWidth="1"/>
    <col min="7171" max="7171" width="29.7109375" style="75" customWidth="1"/>
    <col min="7172" max="7172" width="25.5703125" style="75" customWidth="1"/>
    <col min="7173" max="7173" width="35.42578125" style="75" customWidth="1"/>
    <col min="7174" max="7174" width="25.140625" style="75" customWidth="1"/>
    <col min="7175" max="7422" width="9.140625" style="75"/>
    <col min="7423" max="7423" width="121.140625" style="75" customWidth="1"/>
    <col min="7424" max="7424" width="32.7109375" style="75" customWidth="1"/>
    <col min="7425" max="7426" width="32.85546875" style="75" customWidth="1"/>
    <col min="7427" max="7427" width="29.7109375" style="75" customWidth="1"/>
    <col min="7428" max="7428" width="25.5703125" style="75" customWidth="1"/>
    <col min="7429" max="7429" width="35.42578125" style="75" customWidth="1"/>
    <col min="7430" max="7430" width="25.140625" style="75" customWidth="1"/>
    <col min="7431" max="7678" width="9.140625" style="75"/>
    <col min="7679" max="7679" width="121.140625" style="75" customWidth="1"/>
    <col min="7680" max="7680" width="32.7109375" style="75" customWidth="1"/>
    <col min="7681" max="7682" width="32.85546875" style="75" customWidth="1"/>
    <col min="7683" max="7683" width="29.7109375" style="75" customWidth="1"/>
    <col min="7684" max="7684" width="25.5703125" style="75" customWidth="1"/>
    <col min="7685" max="7685" width="35.42578125" style="75" customWidth="1"/>
    <col min="7686" max="7686" width="25.140625" style="75" customWidth="1"/>
    <col min="7687" max="7934" width="9.140625" style="75"/>
    <col min="7935" max="7935" width="121.140625" style="75" customWidth="1"/>
    <col min="7936" max="7936" width="32.7109375" style="75" customWidth="1"/>
    <col min="7937" max="7938" width="32.85546875" style="75" customWidth="1"/>
    <col min="7939" max="7939" width="29.7109375" style="75" customWidth="1"/>
    <col min="7940" max="7940" width="25.5703125" style="75" customWidth="1"/>
    <col min="7941" max="7941" width="35.42578125" style="75" customWidth="1"/>
    <col min="7942" max="7942" width="25.140625" style="75" customWidth="1"/>
    <col min="7943" max="8190" width="9.140625" style="75"/>
    <col min="8191" max="8191" width="121.140625" style="75" customWidth="1"/>
    <col min="8192" max="8192" width="32.7109375" style="75" customWidth="1"/>
    <col min="8193" max="8194" width="32.85546875" style="75" customWidth="1"/>
    <col min="8195" max="8195" width="29.7109375" style="75" customWidth="1"/>
    <col min="8196" max="8196" width="25.5703125" style="75" customWidth="1"/>
    <col min="8197" max="8197" width="35.42578125" style="75" customWidth="1"/>
    <col min="8198" max="8198" width="25.140625" style="75" customWidth="1"/>
    <col min="8199" max="8446" width="9.140625" style="75"/>
    <col min="8447" max="8447" width="121.140625" style="75" customWidth="1"/>
    <col min="8448" max="8448" width="32.7109375" style="75" customWidth="1"/>
    <col min="8449" max="8450" width="32.85546875" style="75" customWidth="1"/>
    <col min="8451" max="8451" width="29.7109375" style="75" customWidth="1"/>
    <col min="8452" max="8452" width="25.5703125" style="75" customWidth="1"/>
    <col min="8453" max="8453" width="35.42578125" style="75" customWidth="1"/>
    <col min="8454" max="8454" width="25.140625" style="75" customWidth="1"/>
    <col min="8455" max="8702" width="9.140625" style="75"/>
    <col min="8703" max="8703" width="121.140625" style="75" customWidth="1"/>
    <col min="8704" max="8704" width="32.7109375" style="75" customWidth="1"/>
    <col min="8705" max="8706" width="32.85546875" style="75" customWidth="1"/>
    <col min="8707" max="8707" width="29.7109375" style="75" customWidth="1"/>
    <col min="8708" max="8708" width="25.5703125" style="75" customWidth="1"/>
    <col min="8709" max="8709" width="35.42578125" style="75" customWidth="1"/>
    <col min="8710" max="8710" width="25.140625" style="75" customWidth="1"/>
    <col min="8711" max="8958" width="9.140625" style="75"/>
    <col min="8959" max="8959" width="121.140625" style="75" customWidth="1"/>
    <col min="8960" max="8960" width="32.7109375" style="75" customWidth="1"/>
    <col min="8961" max="8962" width="32.85546875" style="75" customWidth="1"/>
    <col min="8963" max="8963" width="29.7109375" style="75" customWidth="1"/>
    <col min="8964" max="8964" width="25.5703125" style="75" customWidth="1"/>
    <col min="8965" max="8965" width="35.42578125" style="75" customWidth="1"/>
    <col min="8966" max="8966" width="25.140625" style="75" customWidth="1"/>
    <col min="8967" max="9214" width="9.140625" style="75"/>
    <col min="9215" max="9215" width="121.140625" style="75" customWidth="1"/>
    <col min="9216" max="9216" width="32.7109375" style="75" customWidth="1"/>
    <col min="9217" max="9218" width="32.85546875" style="75" customWidth="1"/>
    <col min="9219" max="9219" width="29.7109375" style="75" customWidth="1"/>
    <col min="9220" max="9220" width="25.5703125" style="75" customWidth="1"/>
    <col min="9221" max="9221" width="35.42578125" style="75" customWidth="1"/>
    <col min="9222" max="9222" width="25.140625" style="75" customWidth="1"/>
    <col min="9223" max="9470" width="9.140625" style="75"/>
    <col min="9471" max="9471" width="121.140625" style="75" customWidth="1"/>
    <col min="9472" max="9472" width="32.7109375" style="75" customWidth="1"/>
    <col min="9473" max="9474" width="32.85546875" style="75" customWidth="1"/>
    <col min="9475" max="9475" width="29.7109375" style="75" customWidth="1"/>
    <col min="9476" max="9476" width="25.5703125" style="75" customWidth="1"/>
    <col min="9477" max="9477" width="35.42578125" style="75" customWidth="1"/>
    <col min="9478" max="9478" width="25.140625" style="75" customWidth="1"/>
    <col min="9479" max="9726" width="9.140625" style="75"/>
    <col min="9727" max="9727" width="121.140625" style="75" customWidth="1"/>
    <col min="9728" max="9728" width="32.7109375" style="75" customWidth="1"/>
    <col min="9729" max="9730" width="32.85546875" style="75" customWidth="1"/>
    <col min="9731" max="9731" width="29.7109375" style="75" customWidth="1"/>
    <col min="9732" max="9732" width="25.5703125" style="75" customWidth="1"/>
    <col min="9733" max="9733" width="35.42578125" style="75" customWidth="1"/>
    <col min="9734" max="9734" width="25.140625" style="75" customWidth="1"/>
    <col min="9735" max="9982" width="9.140625" style="75"/>
    <col min="9983" max="9983" width="121.140625" style="75" customWidth="1"/>
    <col min="9984" max="9984" width="32.7109375" style="75" customWidth="1"/>
    <col min="9985" max="9986" width="32.85546875" style="75" customWidth="1"/>
    <col min="9987" max="9987" width="29.7109375" style="75" customWidth="1"/>
    <col min="9988" max="9988" width="25.5703125" style="75" customWidth="1"/>
    <col min="9989" max="9989" width="35.42578125" style="75" customWidth="1"/>
    <col min="9990" max="9990" width="25.140625" style="75" customWidth="1"/>
    <col min="9991" max="10238" width="9.140625" style="75"/>
    <col min="10239" max="10239" width="121.140625" style="75" customWidth="1"/>
    <col min="10240" max="10240" width="32.7109375" style="75" customWidth="1"/>
    <col min="10241" max="10242" width="32.85546875" style="75" customWidth="1"/>
    <col min="10243" max="10243" width="29.7109375" style="75" customWidth="1"/>
    <col min="10244" max="10244" width="25.5703125" style="75" customWidth="1"/>
    <col min="10245" max="10245" width="35.42578125" style="75" customWidth="1"/>
    <col min="10246" max="10246" width="25.140625" style="75" customWidth="1"/>
    <col min="10247" max="10494" width="9.140625" style="75"/>
    <col min="10495" max="10495" width="121.140625" style="75" customWidth="1"/>
    <col min="10496" max="10496" width="32.7109375" style="75" customWidth="1"/>
    <col min="10497" max="10498" width="32.85546875" style="75" customWidth="1"/>
    <col min="10499" max="10499" width="29.7109375" style="75" customWidth="1"/>
    <col min="10500" max="10500" width="25.5703125" style="75" customWidth="1"/>
    <col min="10501" max="10501" width="35.42578125" style="75" customWidth="1"/>
    <col min="10502" max="10502" width="25.140625" style="75" customWidth="1"/>
    <col min="10503" max="10750" width="9.140625" style="75"/>
    <col min="10751" max="10751" width="121.140625" style="75" customWidth="1"/>
    <col min="10752" max="10752" width="32.7109375" style="75" customWidth="1"/>
    <col min="10753" max="10754" width="32.85546875" style="75" customWidth="1"/>
    <col min="10755" max="10755" width="29.7109375" style="75" customWidth="1"/>
    <col min="10756" max="10756" width="25.5703125" style="75" customWidth="1"/>
    <col min="10757" max="10757" width="35.42578125" style="75" customWidth="1"/>
    <col min="10758" max="10758" width="25.140625" style="75" customWidth="1"/>
    <col min="10759" max="11006" width="9.140625" style="75"/>
    <col min="11007" max="11007" width="121.140625" style="75" customWidth="1"/>
    <col min="11008" max="11008" width="32.7109375" style="75" customWidth="1"/>
    <col min="11009" max="11010" width="32.85546875" style="75" customWidth="1"/>
    <col min="11011" max="11011" width="29.7109375" style="75" customWidth="1"/>
    <col min="11012" max="11012" width="25.5703125" style="75" customWidth="1"/>
    <col min="11013" max="11013" width="35.42578125" style="75" customWidth="1"/>
    <col min="11014" max="11014" width="25.140625" style="75" customWidth="1"/>
    <col min="11015" max="11262" width="9.140625" style="75"/>
    <col min="11263" max="11263" width="121.140625" style="75" customWidth="1"/>
    <col min="11264" max="11264" width="32.7109375" style="75" customWidth="1"/>
    <col min="11265" max="11266" width="32.85546875" style="75" customWidth="1"/>
    <col min="11267" max="11267" width="29.7109375" style="75" customWidth="1"/>
    <col min="11268" max="11268" width="25.5703125" style="75" customWidth="1"/>
    <col min="11269" max="11269" width="35.42578125" style="75" customWidth="1"/>
    <col min="11270" max="11270" width="25.140625" style="75" customWidth="1"/>
    <col min="11271" max="11518" width="9.140625" style="75"/>
    <col min="11519" max="11519" width="121.140625" style="75" customWidth="1"/>
    <col min="11520" max="11520" width="32.7109375" style="75" customWidth="1"/>
    <col min="11521" max="11522" width="32.85546875" style="75" customWidth="1"/>
    <col min="11523" max="11523" width="29.7109375" style="75" customWidth="1"/>
    <col min="11524" max="11524" width="25.5703125" style="75" customWidth="1"/>
    <col min="11525" max="11525" width="35.42578125" style="75" customWidth="1"/>
    <col min="11526" max="11526" width="25.140625" style="75" customWidth="1"/>
    <col min="11527" max="11774" width="9.140625" style="75"/>
    <col min="11775" max="11775" width="121.140625" style="75" customWidth="1"/>
    <col min="11776" max="11776" width="32.7109375" style="75" customWidth="1"/>
    <col min="11777" max="11778" width="32.85546875" style="75" customWidth="1"/>
    <col min="11779" max="11779" width="29.7109375" style="75" customWidth="1"/>
    <col min="11780" max="11780" width="25.5703125" style="75" customWidth="1"/>
    <col min="11781" max="11781" width="35.42578125" style="75" customWidth="1"/>
    <col min="11782" max="11782" width="25.140625" style="75" customWidth="1"/>
    <col min="11783" max="12030" width="9.140625" style="75"/>
    <col min="12031" max="12031" width="121.140625" style="75" customWidth="1"/>
    <col min="12032" max="12032" width="32.7109375" style="75" customWidth="1"/>
    <col min="12033" max="12034" width="32.85546875" style="75" customWidth="1"/>
    <col min="12035" max="12035" width="29.7109375" style="75" customWidth="1"/>
    <col min="12036" max="12036" width="25.5703125" style="75" customWidth="1"/>
    <col min="12037" max="12037" width="35.42578125" style="75" customWidth="1"/>
    <col min="12038" max="12038" width="25.140625" style="75" customWidth="1"/>
    <col min="12039" max="12286" width="9.140625" style="75"/>
    <col min="12287" max="12287" width="121.140625" style="75" customWidth="1"/>
    <col min="12288" max="12288" width="32.7109375" style="75" customWidth="1"/>
    <col min="12289" max="12290" width="32.85546875" style="75" customWidth="1"/>
    <col min="12291" max="12291" width="29.7109375" style="75" customWidth="1"/>
    <col min="12292" max="12292" width="25.5703125" style="75" customWidth="1"/>
    <col min="12293" max="12293" width="35.42578125" style="75" customWidth="1"/>
    <col min="12294" max="12294" width="25.140625" style="75" customWidth="1"/>
    <col min="12295" max="12542" width="9.140625" style="75"/>
    <col min="12543" max="12543" width="121.140625" style="75" customWidth="1"/>
    <col min="12544" max="12544" width="32.7109375" style="75" customWidth="1"/>
    <col min="12545" max="12546" width="32.85546875" style="75" customWidth="1"/>
    <col min="12547" max="12547" width="29.7109375" style="75" customWidth="1"/>
    <col min="12548" max="12548" width="25.5703125" style="75" customWidth="1"/>
    <col min="12549" max="12549" width="35.42578125" style="75" customWidth="1"/>
    <col min="12550" max="12550" width="25.140625" style="75" customWidth="1"/>
    <col min="12551" max="12798" width="9.140625" style="75"/>
    <col min="12799" max="12799" width="121.140625" style="75" customWidth="1"/>
    <col min="12800" max="12800" width="32.7109375" style="75" customWidth="1"/>
    <col min="12801" max="12802" width="32.85546875" style="75" customWidth="1"/>
    <col min="12803" max="12803" width="29.7109375" style="75" customWidth="1"/>
    <col min="12804" max="12804" width="25.5703125" style="75" customWidth="1"/>
    <col min="12805" max="12805" width="35.42578125" style="75" customWidth="1"/>
    <col min="12806" max="12806" width="25.140625" style="75" customWidth="1"/>
    <col min="12807" max="13054" width="9.140625" style="75"/>
    <col min="13055" max="13055" width="121.140625" style="75" customWidth="1"/>
    <col min="13056" max="13056" width="32.7109375" style="75" customWidth="1"/>
    <col min="13057" max="13058" width="32.85546875" style="75" customWidth="1"/>
    <col min="13059" max="13059" width="29.7109375" style="75" customWidth="1"/>
    <col min="13060" max="13060" width="25.5703125" style="75" customWidth="1"/>
    <col min="13061" max="13061" width="35.42578125" style="75" customWidth="1"/>
    <col min="13062" max="13062" width="25.140625" style="75" customWidth="1"/>
    <col min="13063" max="13310" width="9.140625" style="75"/>
    <col min="13311" max="13311" width="121.140625" style="75" customWidth="1"/>
    <col min="13312" max="13312" width="32.7109375" style="75" customWidth="1"/>
    <col min="13313" max="13314" width="32.85546875" style="75" customWidth="1"/>
    <col min="13315" max="13315" width="29.7109375" style="75" customWidth="1"/>
    <col min="13316" max="13316" width="25.5703125" style="75" customWidth="1"/>
    <col min="13317" max="13317" width="35.42578125" style="75" customWidth="1"/>
    <col min="13318" max="13318" width="25.140625" style="75" customWidth="1"/>
    <col min="13319" max="13566" width="9.140625" style="75"/>
    <col min="13567" max="13567" width="121.140625" style="75" customWidth="1"/>
    <col min="13568" max="13568" width="32.7109375" style="75" customWidth="1"/>
    <col min="13569" max="13570" width="32.85546875" style="75" customWidth="1"/>
    <col min="13571" max="13571" width="29.7109375" style="75" customWidth="1"/>
    <col min="13572" max="13572" width="25.5703125" style="75" customWidth="1"/>
    <col min="13573" max="13573" width="35.42578125" style="75" customWidth="1"/>
    <col min="13574" max="13574" width="25.140625" style="75" customWidth="1"/>
    <col min="13575" max="13822" width="9.140625" style="75"/>
    <col min="13823" max="13823" width="121.140625" style="75" customWidth="1"/>
    <col min="13824" max="13824" width="32.7109375" style="75" customWidth="1"/>
    <col min="13825" max="13826" width="32.85546875" style="75" customWidth="1"/>
    <col min="13827" max="13827" width="29.7109375" style="75" customWidth="1"/>
    <col min="13828" max="13828" width="25.5703125" style="75" customWidth="1"/>
    <col min="13829" max="13829" width="35.42578125" style="75" customWidth="1"/>
    <col min="13830" max="13830" width="25.140625" style="75" customWidth="1"/>
    <col min="13831" max="14078" width="9.140625" style="75"/>
    <col min="14079" max="14079" width="121.140625" style="75" customWidth="1"/>
    <col min="14080" max="14080" width="32.7109375" style="75" customWidth="1"/>
    <col min="14081" max="14082" width="32.85546875" style="75" customWidth="1"/>
    <col min="14083" max="14083" width="29.7109375" style="75" customWidth="1"/>
    <col min="14084" max="14084" width="25.5703125" style="75" customWidth="1"/>
    <col min="14085" max="14085" width="35.42578125" style="75" customWidth="1"/>
    <col min="14086" max="14086" width="25.140625" style="75" customWidth="1"/>
    <col min="14087" max="14334" width="9.140625" style="75"/>
    <col min="14335" max="14335" width="121.140625" style="75" customWidth="1"/>
    <col min="14336" max="14336" width="32.7109375" style="75" customWidth="1"/>
    <col min="14337" max="14338" width="32.85546875" style="75" customWidth="1"/>
    <col min="14339" max="14339" width="29.7109375" style="75" customWidth="1"/>
    <col min="14340" max="14340" width="25.5703125" style="75" customWidth="1"/>
    <col min="14341" max="14341" width="35.42578125" style="75" customWidth="1"/>
    <col min="14342" max="14342" width="25.140625" style="75" customWidth="1"/>
    <col min="14343" max="14590" width="9.140625" style="75"/>
    <col min="14591" max="14591" width="121.140625" style="75" customWidth="1"/>
    <col min="14592" max="14592" width="32.7109375" style="75" customWidth="1"/>
    <col min="14593" max="14594" width="32.85546875" style="75" customWidth="1"/>
    <col min="14595" max="14595" width="29.7109375" style="75" customWidth="1"/>
    <col min="14596" max="14596" width="25.5703125" style="75" customWidth="1"/>
    <col min="14597" max="14597" width="35.42578125" style="75" customWidth="1"/>
    <col min="14598" max="14598" width="25.140625" style="75" customWidth="1"/>
    <col min="14599" max="14846" width="9.140625" style="75"/>
    <col min="14847" max="14847" width="121.140625" style="75" customWidth="1"/>
    <col min="14848" max="14848" width="32.7109375" style="75" customWidth="1"/>
    <col min="14849" max="14850" width="32.85546875" style="75" customWidth="1"/>
    <col min="14851" max="14851" width="29.7109375" style="75" customWidth="1"/>
    <col min="14852" max="14852" width="25.5703125" style="75" customWidth="1"/>
    <col min="14853" max="14853" width="35.42578125" style="75" customWidth="1"/>
    <col min="14854" max="14854" width="25.140625" style="75" customWidth="1"/>
    <col min="14855" max="15102" width="9.140625" style="75"/>
    <col min="15103" max="15103" width="121.140625" style="75" customWidth="1"/>
    <col min="15104" max="15104" width="32.7109375" style="75" customWidth="1"/>
    <col min="15105" max="15106" width="32.85546875" style="75" customWidth="1"/>
    <col min="15107" max="15107" width="29.7109375" style="75" customWidth="1"/>
    <col min="15108" max="15108" width="25.5703125" style="75" customWidth="1"/>
    <col min="15109" max="15109" width="35.42578125" style="75" customWidth="1"/>
    <col min="15110" max="15110" width="25.140625" style="75" customWidth="1"/>
    <col min="15111" max="15358" width="9.140625" style="75"/>
    <col min="15359" max="15359" width="121.140625" style="75" customWidth="1"/>
    <col min="15360" max="15360" width="32.7109375" style="75" customWidth="1"/>
    <col min="15361" max="15362" width="32.85546875" style="75" customWidth="1"/>
    <col min="15363" max="15363" width="29.7109375" style="75" customWidth="1"/>
    <col min="15364" max="15364" width="25.5703125" style="75" customWidth="1"/>
    <col min="15365" max="15365" width="35.42578125" style="75" customWidth="1"/>
    <col min="15366" max="15366" width="25.140625" style="75" customWidth="1"/>
    <col min="15367" max="15614" width="9.140625" style="75"/>
    <col min="15615" max="15615" width="121.140625" style="75" customWidth="1"/>
    <col min="15616" max="15616" width="32.7109375" style="75" customWidth="1"/>
    <col min="15617" max="15618" width="32.85546875" style="75" customWidth="1"/>
    <col min="15619" max="15619" width="29.7109375" style="75" customWidth="1"/>
    <col min="15620" max="15620" width="25.5703125" style="75" customWidth="1"/>
    <col min="15621" max="15621" width="35.42578125" style="75" customWidth="1"/>
    <col min="15622" max="15622" width="25.140625" style="75" customWidth="1"/>
    <col min="15623" max="15870" width="9.140625" style="75"/>
    <col min="15871" max="15871" width="121.140625" style="75" customWidth="1"/>
    <col min="15872" max="15872" width="32.7109375" style="75" customWidth="1"/>
    <col min="15873" max="15874" width="32.85546875" style="75" customWidth="1"/>
    <col min="15875" max="15875" width="29.7109375" style="75" customWidth="1"/>
    <col min="15876" max="15876" width="25.5703125" style="75" customWidth="1"/>
    <col min="15877" max="15877" width="35.42578125" style="75" customWidth="1"/>
    <col min="15878" max="15878" width="25.140625" style="75" customWidth="1"/>
    <col min="15879" max="16126" width="9.140625" style="75"/>
    <col min="16127" max="16127" width="121.140625" style="75" customWidth="1"/>
    <col min="16128" max="16128" width="32.7109375" style="75" customWidth="1"/>
    <col min="16129" max="16130" width="32.85546875" style="75" customWidth="1"/>
    <col min="16131" max="16131" width="29.7109375" style="75" customWidth="1"/>
    <col min="16132" max="16132" width="25.5703125" style="75" customWidth="1"/>
    <col min="16133" max="16133" width="35.42578125" style="75" customWidth="1"/>
    <col min="16134" max="16134" width="25.140625" style="75" customWidth="1"/>
    <col min="16135" max="16384" width="9.140625" style="75"/>
  </cols>
  <sheetData>
    <row r="1" spans="1:6" s="69" customFormat="1" ht="46.5">
      <c r="A1" s="1" t="s">
        <v>0</v>
      </c>
      <c r="D1" s="277" t="s">
        <v>1</v>
      </c>
      <c r="E1" s="289" t="s">
        <v>130</v>
      </c>
      <c r="F1" s="281"/>
    </row>
    <row r="2" spans="1:6" s="69" customFormat="1" ht="46.5">
      <c r="A2" s="1" t="s">
        <v>2</v>
      </c>
      <c r="B2" s="2"/>
      <c r="C2" s="2"/>
      <c r="D2" s="2"/>
      <c r="E2" s="67"/>
      <c r="F2" s="67"/>
    </row>
    <row r="3" spans="1:6" s="69" customFormat="1" ht="47.25" thickBot="1">
      <c r="A3" s="7" t="s">
        <v>3</v>
      </c>
      <c r="B3" s="8"/>
      <c r="C3" s="8"/>
      <c r="D3" s="8"/>
      <c r="E3" s="67"/>
      <c r="F3" s="67"/>
    </row>
    <row r="4" spans="1:6" s="70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71" customFormat="1" ht="52.5">
      <c r="A5" s="14"/>
      <c r="B5" s="15" t="s">
        <v>9</v>
      </c>
      <c r="C5" s="15" t="s">
        <v>10</v>
      </c>
      <c r="D5" s="15" t="s">
        <v>11</v>
      </c>
      <c r="E5" s="15" t="s">
        <v>160</v>
      </c>
      <c r="F5" s="16" t="s">
        <v>12</v>
      </c>
    </row>
    <row r="6" spans="1:6" s="70" customFormat="1" ht="26.25">
      <c r="A6" s="18" t="s">
        <v>14</v>
      </c>
      <c r="B6" s="19"/>
      <c r="C6" s="19"/>
      <c r="D6" s="19"/>
      <c r="E6" s="19"/>
      <c r="F6" s="20"/>
    </row>
    <row r="7" spans="1:6" s="70" customFormat="1" ht="26.25">
      <c r="A7" s="18" t="s">
        <v>15</v>
      </c>
      <c r="B7" s="19"/>
      <c r="C7" s="19"/>
      <c r="D7" s="19"/>
      <c r="E7" s="19"/>
      <c r="F7" s="21"/>
    </row>
    <row r="8" spans="1:6" s="70" customFormat="1" ht="26.25">
      <c r="A8" s="22" t="s">
        <v>16</v>
      </c>
      <c r="B8" s="23">
        <v>10170298</v>
      </c>
      <c r="C8" s="23">
        <v>10170298</v>
      </c>
      <c r="D8" s="23">
        <v>11392296</v>
      </c>
      <c r="E8" s="23">
        <v>1221998</v>
      </c>
      <c r="F8" s="24">
        <v>0.1201536080850335</v>
      </c>
    </row>
    <row r="9" spans="1:6" s="70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70" customFormat="1" ht="26.25">
      <c r="A10" s="25" t="s">
        <v>18</v>
      </c>
      <c r="B10" s="298">
        <v>0</v>
      </c>
      <c r="C10" s="26">
        <v>0</v>
      </c>
      <c r="D10" s="26">
        <v>0</v>
      </c>
      <c r="E10" s="26">
        <v>0</v>
      </c>
      <c r="F10" s="24">
        <v>0</v>
      </c>
    </row>
    <row r="11" spans="1:6" s="70" customFormat="1" ht="26.25">
      <c r="A11" s="27" t="s">
        <v>19</v>
      </c>
      <c r="B11" s="299">
        <v>0</v>
      </c>
      <c r="C11" s="28">
        <v>0</v>
      </c>
      <c r="D11" s="28">
        <v>0</v>
      </c>
      <c r="E11" s="26">
        <v>0</v>
      </c>
      <c r="F11" s="24">
        <v>0</v>
      </c>
    </row>
    <row r="12" spans="1:6" s="70" customFormat="1" ht="26.25">
      <c r="A12" s="29" t="s">
        <v>20</v>
      </c>
      <c r="B12" s="299">
        <v>0</v>
      </c>
      <c r="C12" s="28">
        <v>0</v>
      </c>
      <c r="D12" s="28">
        <v>0</v>
      </c>
      <c r="E12" s="26">
        <v>0</v>
      </c>
      <c r="F12" s="24">
        <v>0</v>
      </c>
    </row>
    <row r="13" spans="1:6" s="70" customFormat="1" ht="26.25">
      <c r="A13" s="29" t="s">
        <v>21</v>
      </c>
      <c r="B13" s="299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70" customFormat="1" ht="26.25">
      <c r="A14" s="29" t="s">
        <v>22</v>
      </c>
      <c r="B14" s="299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70" customFormat="1" ht="26.25">
      <c r="A15" s="29" t="s">
        <v>23</v>
      </c>
      <c r="B15" s="299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70" customFormat="1" ht="26.25">
      <c r="A16" s="29" t="s">
        <v>24</v>
      </c>
      <c r="B16" s="299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70" customFormat="1" ht="26.25">
      <c r="A17" s="29" t="s">
        <v>25</v>
      </c>
      <c r="B17" s="299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70" customFormat="1" ht="26.25">
      <c r="A18" s="29" t="s">
        <v>26</v>
      </c>
      <c r="B18" s="299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70" customFormat="1" ht="26.25">
      <c r="A19" s="29" t="s">
        <v>27</v>
      </c>
      <c r="B19" s="299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70" customFormat="1" ht="26.25">
      <c r="A20" s="29" t="s">
        <v>28</v>
      </c>
      <c r="B20" s="299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70" customFormat="1" ht="26.25">
      <c r="A21" s="29" t="s">
        <v>29</v>
      </c>
      <c r="B21" s="299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70" customFormat="1" ht="26.25">
      <c r="A22" s="29" t="s">
        <v>30</v>
      </c>
      <c r="B22" s="299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70" customFormat="1" ht="26.25">
      <c r="A23" s="30" t="s">
        <v>31</v>
      </c>
      <c r="B23" s="299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70" customFormat="1" ht="26.25">
      <c r="A24" s="30" t="s">
        <v>32</v>
      </c>
      <c r="B24" s="299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70" customFormat="1" ht="26.25">
      <c r="A25" s="30" t="s">
        <v>33</v>
      </c>
      <c r="B25" s="299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70" customFormat="1" ht="26.25">
      <c r="A26" s="30" t="s">
        <v>34</v>
      </c>
      <c r="B26" s="299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70" customFormat="1" ht="26.25">
      <c r="A27" s="30" t="s">
        <v>35</v>
      </c>
      <c r="B27" s="299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70" customFormat="1" ht="26.25">
      <c r="A28" s="30" t="s">
        <v>36</v>
      </c>
      <c r="B28" s="299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70" customFormat="1" ht="26.25">
      <c r="A29" s="31" t="s">
        <v>37</v>
      </c>
      <c r="B29" s="299"/>
      <c r="C29" s="28"/>
      <c r="D29" s="28"/>
      <c r="E29" s="28"/>
      <c r="F29" s="20"/>
    </row>
    <row r="30" spans="1:6" s="70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70" customFormat="1" ht="26.25">
      <c r="A31" s="32" t="s">
        <v>39</v>
      </c>
      <c r="B31" s="299"/>
      <c r="C31" s="28"/>
      <c r="D31" s="28"/>
      <c r="E31" s="28"/>
      <c r="F31" s="20"/>
    </row>
    <row r="32" spans="1:6" s="70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70" customFormat="1" ht="26.25">
      <c r="A33" s="29" t="s">
        <v>40</v>
      </c>
      <c r="B33" s="299"/>
      <c r="C33" s="28"/>
      <c r="D33" s="28"/>
      <c r="E33" s="26"/>
      <c r="F33" s="24" t="s">
        <v>41</v>
      </c>
    </row>
    <row r="34" spans="1:10" s="72" customFormat="1" ht="26.25">
      <c r="A34" s="33" t="s">
        <v>42</v>
      </c>
      <c r="B34" s="300">
        <v>10170298</v>
      </c>
      <c r="C34" s="34">
        <v>10170298</v>
      </c>
      <c r="D34" s="34">
        <v>11392296</v>
      </c>
      <c r="E34" s="34">
        <v>1221998</v>
      </c>
      <c r="F34" s="35">
        <v>0.1201536080850335</v>
      </c>
    </row>
    <row r="35" spans="1:10" s="70" customFormat="1" ht="26.25">
      <c r="A35" s="31" t="s">
        <v>43</v>
      </c>
      <c r="B35" s="299"/>
      <c r="C35" s="28"/>
      <c r="D35" s="28"/>
      <c r="E35" s="28"/>
      <c r="F35" s="20"/>
    </row>
    <row r="36" spans="1:10" s="70" customFormat="1" ht="26.25">
      <c r="A36" s="37" t="s">
        <v>44</v>
      </c>
      <c r="B36" s="23"/>
      <c r="C36" s="23"/>
      <c r="D36" s="23"/>
      <c r="E36" s="23">
        <v>0</v>
      </c>
      <c r="F36" s="24">
        <v>0</v>
      </c>
    </row>
    <row r="37" spans="1:10" s="70" customFormat="1" ht="26.25">
      <c r="A37" s="38" t="s">
        <v>45</v>
      </c>
      <c r="B37" s="23"/>
      <c r="C37" s="23"/>
      <c r="D37" s="23"/>
      <c r="E37" s="26">
        <v>0</v>
      </c>
      <c r="F37" s="24">
        <v>0</v>
      </c>
    </row>
    <row r="38" spans="1:10" s="70" customFormat="1" ht="26.25">
      <c r="A38" s="38" t="s">
        <v>46</v>
      </c>
      <c r="B38" s="23"/>
      <c r="C38" s="23"/>
      <c r="D38" s="23"/>
      <c r="E38" s="26">
        <v>0</v>
      </c>
      <c r="F38" s="24">
        <v>0</v>
      </c>
    </row>
    <row r="39" spans="1:10" s="70" customFormat="1" ht="26.25">
      <c r="A39" s="38" t="s">
        <v>47</v>
      </c>
      <c r="B39" s="23"/>
      <c r="C39" s="23"/>
      <c r="D39" s="23"/>
      <c r="E39" s="26">
        <v>0</v>
      </c>
      <c r="F39" s="24">
        <v>0</v>
      </c>
    </row>
    <row r="40" spans="1:10" s="70" customFormat="1" ht="26.25">
      <c r="A40" s="39" t="s">
        <v>48</v>
      </c>
      <c r="B40" s="23"/>
      <c r="C40" s="23"/>
      <c r="D40" s="23"/>
      <c r="E40" s="26">
        <v>0</v>
      </c>
      <c r="F40" s="24">
        <v>0</v>
      </c>
    </row>
    <row r="41" spans="1:10" s="72" customFormat="1" ht="26.25">
      <c r="A41" s="31" t="s">
        <v>49</v>
      </c>
      <c r="B41" s="40">
        <v>0</v>
      </c>
      <c r="C41" s="40">
        <v>0</v>
      </c>
      <c r="D41" s="40">
        <v>0</v>
      </c>
      <c r="E41" s="40">
        <v>0</v>
      </c>
      <c r="F41" s="35">
        <v>0</v>
      </c>
      <c r="J41" s="72" t="s">
        <v>50</v>
      </c>
    </row>
    <row r="42" spans="1:10" s="70" customFormat="1" ht="26.25">
      <c r="A42" s="29" t="s">
        <v>50</v>
      </c>
      <c r="B42" s="299"/>
      <c r="C42" s="28"/>
      <c r="D42" s="28"/>
      <c r="E42" s="28"/>
      <c r="F42" s="20"/>
    </row>
    <row r="43" spans="1:10" s="72" customFormat="1" ht="26.25">
      <c r="A43" s="41" t="s">
        <v>51</v>
      </c>
      <c r="B43" s="42">
        <v>37041411.329999998</v>
      </c>
      <c r="C43" s="42">
        <v>41785218</v>
      </c>
      <c r="D43" s="42">
        <v>37215891</v>
      </c>
      <c r="E43" s="42">
        <v>-4569327</v>
      </c>
      <c r="F43" s="35">
        <v>-0.10935271415838969</v>
      </c>
    </row>
    <row r="44" spans="1:10" s="70" customFormat="1" ht="26.25">
      <c r="A44" s="29" t="s">
        <v>50</v>
      </c>
      <c r="B44" s="299"/>
      <c r="C44" s="28"/>
      <c r="D44" s="28"/>
      <c r="E44" s="28"/>
      <c r="F44" s="20"/>
    </row>
    <row r="45" spans="1:10" s="72" customFormat="1" ht="26.25">
      <c r="A45" s="41" t="s">
        <v>52</v>
      </c>
      <c r="B45" s="42">
        <v>0</v>
      </c>
      <c r="C45" s="42">
        <v>0</v>
      </c>
      <c r="D45" s="42">
        <v>0</v>
      </c>
      <c r="E45" s="42">
        <v>0</v>
      </c>
      <c r="F45" s="35">
        <v>0</v>
      </c>
    </row>
    <row r="46" spans="1:10" s="70" customFormat="1" ht="26.25">
      <c r="A46" s="29" t="s">
        <v>50</v>
      </c>
      <c r="B46" s="299"/>
      <c r="C46" s="28"/>
      <c r="D46" s="28"/>
      <c r="E46" s="28"/>
      <c r="F46" s="20"/>
    </row>
    <row r="47" spans="1:10" s="72" customFormat="1" ht="26.25">
      <c r="A47" s="31" t="s">
        <v>53</v>
      </c>
      <c r="B47" s="40">
        <v>1730699</v>
      </c>
      <c r="C47" s="40">
        <v>1918278</v>
      </c>
      <c r="D47" s="40">
        <v>1918278</v>
      </c>
      <c r="E47" s="40">
        <v>0</v>
      </c>
      <c r="F47" s="35">
        <v>0</v>
      </c>
    </row>
    <row r="48" spans="1:10" s="70" customFormat="1" ht="26.25">
      <c r="A48" s="29" t="s">
        <v>50</v>
      </c>
      <c r="B48" s="299"/>
      <c r="C48" s="28"/>
      <c r="D48" s="28"/>
      <c r="E48" s="28"/>
      <c r="F48" s="20"/>
    </row>
    <row r="49" spans="1:6" s="72" customFormat="1" ht="26.25">
      <c r="A49" s="43" t="s">
        <v>54</v>
      </c>
      <c r="B49" s="44">
        <v>3431177.39</v>
      </c>
      <c r="C49" s="44">
        <v>3782232</v>
      </c>
      <c r="D49" s="44">
        <v>3782232</v>
      </c>
      <c r="E49" s="44">
        <v>0</v>
      </c>
      <c r="F49" s="35">
        <v>0</v>
      </c>
    </row>
    <row r="50" spans="1:6" s="70" customFormat="1" ht="26.25">
      <c r="A50" s="31"/>
      <c r="B50" s="19"/>
      <c r="C50" s="19"/>
      <c r="D50" s="19"/>
      <c r="E50" s="19"/>
      <c r="F50" s="45"/>
    </row>
    <row r="51" spans="1:6" s="72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70" customFormat="1" ht="26.25">
      <c r="A52" s="29"/>
      <c r="B52" s="299"/>
      <c r="C52" s="28"/>
      <c r="D52" s="28"/>
      <c r="E52" s="28"/>
      <c r="F52" s="20"/>
    </row>
    <row r="53" spans="1:6" s="72" customFormat="1" ht="26.25">
      <c r="A53" s="46" t="s">
        <v>56</v>
      </c>
      <c r="B53" s="40">
        <v>52373585.719999999</v>
      </c>
      <c r="C53" s="40">
        <v>57656026</v>
      </c>
      <c r="D53" s="40">
        <v>54308697</v>
      </c>
      <c r="E53" s="40">
        <v>-3347329</v>
      </c>
      <c r="F53" s="35">
        <v>-5.8056880299034136E-2</v>
      </c>
    </row>
    <row r="54" spans="1:6" s="70" customFormat="1" ht="12.75" customHeight="1">
      <c r="A54" s="47"/>
      <c r="B54" s="299"/>
      <c r="C54" s="28"/>
      <c r="D54" s="28"/>
      <c r="E54" s="28"/>
      <c r="F54" s="20" t="s">
        <v>50</v>
      </c>
    </row>
    <row r="55" spans="1:6" s="70" customFormat="1" ht="12.75" customHeight="1">
      <c r="A55" s="48"/>
      <c r="B55" s="19"/>
      <c r="C55" s="19"/>
      <c r="D55" s="19"/>
      <c r="E55" s="19"/>
      <c r="F55" s="21" t="s">
        <v>50</v>
      </c>
    </row>
    <row r="56" spans="1:6" s="70" customFormat="1" ht="26.25">
      <c r="A56" s="46" t="s">
        <v>57</v>
      </c>
      <c r="B56" s="19"/>
      <c r="C56" s="19"/>
      <c r="D56" s="19"/>
      <c r="E56" s="19"/>
      <c r="F56" s="21"/>
    </row>
    <row r="57" spans="1:6" s="70" customFormat="1" ht="26.25">
      <c r="A57" s="27" t="s">
        <v>58</v>
      </c>
      <c r="B57" s="19">
        <v>0</v>
      </c>
      <c r="C57" s="19">
        <v>0</v>
      </c>
      <c r="D57" s="19">
        <v>0</v>
      </c>
      <c r="E57" s="19">
        <v>0</v>
      </c>
      <c r="F57" s="24">
        <v>0</v>
      </c>
    </row>
    <row r="58" spans="1:6" s="70" customFormat="1" ht="26.25">
      <c r="A58" s="29" t="s">
        <v>59</v>
      </c>
      <c r="B58" s="299">
        <v>0</v>
      </c>
      <c r="C58" s="28">
        <v>0</v>
      </c>
      <c r="D58" s="28">
        <v>0</v>
      </c>
      <c r="E58" s="28">
        <v>0</v>
      </c>
      <c r="F58" s="24">
        <v>0</v>
      </c>
    </row>
    <row r="59" spans="1:6" s="70" customFormat="1" ht="26.25">
      <c r="A59" s="29" t="s">
        <v>60</v>
      </c>
      <c r="B59" s="299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70" customFormat="1" ht="26.25">
      <c r="A60" s="29" t="s">
        <v>61</v>
      </c>
      <c r="B60" s="299">
        <v>0</v>
      </c>
      <c r="C60" s="28">
        <v>0</v>
      </c>
      <c r="D60" s="28">
        <v>0</v>
      </c>
      <c r="E60" s="28">
        <v>0</v>
      </c>
      <c r="F60" s="24">
        <v>0</v>
      </c>
    </row>
    <row r="61" spans="1:6" s="70" customFormat="1" ht="26.25">
      <c r="A61" s="29" t="s">
        <v>62</v>
      </c>
      <c r="B61" s="299">
        <v>0</v>
      </c>
      <c r="C61" s="28">
        <v>0</v>
      </c>
      <c r="D61" s="28">
        <v>0</v>
      </c>
      <c r="E61" s="28">
        <v>0</v>
      </c>
      <c r="F61" s="24">
        <v>0</v>
      </c>
    </row>
    <row r="62" spans="1:6" s="70" customFormat="1" ht="26.25">
      <c r="A62" s="29" t="s">
        <v>63</v>
      </c>
      <c r="B62" s="299">
        <v>0</v>
      </c>
      <c r="C62" s="28">
        <v>0</v>
      </c>
      <c r="D62" s="28">
        <v>0</v>
      </c>
      <c r="E62" s="28">
        <v>0</v>
      </c>
      <c r="F62" s="24">
        <v>0</v>
      </c>
    </row>
    <row r="63" spans="1:6" s="70" customFormat="1" ht="26.25">
      <c r="A63" s="29" t="s">
        <v>64</v>
      </c>
      <c r="B63" s="299">
        <v>0</v>
      </c>
      <c r="C63" s="28">
        <v>0</v>
      </c>
      <c r="D63" s="28">
        <v>0</v>
      </c>
      <c r="E63" s="28">
        <v>0</v>
      </c>
      <c r="F63" s="24">
        <v>0</v>
      </c>
    </row>
    <row r="64" spans="1:6" s="70" customFormat="1" ht="26.25">
      <c r="A64" s="29" t="s">
        <v>65</v>
      </c>
      <c r="B64" s="299">
        <v>0</v>
      </c>
      <c r="C64" s="28">
        <v>0</v>
      </c>
      <c r="D64" s="28">
        <v>0</v>
      </c>
      <c r="E64" s="28">
        <v>0</v>
      </c>
      <c r="F64" s="24">
        <v>0</v>
      </c>
    </row>
    <row r="65" spans="1:6" s="72" customFormat="1" ht="26.25">
      <c r="A65" s="49" t="s">
        <v>66</v>
      </c>
      <c r="B65" s="300">
        <v>0</v>
      </c>
      <c r="C65" s="34">
        <v>0</v>
      </c>
      <c r="D65" s="34">
        <v>0</v>
      </c>
      <c r="E65" s="34">
        <v>0</v>
      </c>
      <c r="F65" s="35">
        <v>0</v>
      </c>
    </row>
    <row r="66" spans="1:6" s="70" customFormat="1" ht="26.25">
      <c r="A66" s="29" t="s">
        <v>67</v>
      </c>
      <c r="B66" s="299">
        <v>52128435.719999999</v>
      </c>
      <c r="C66" s="28">
        <v>57410876</v>
      </c>
      <c r="D66" s="28">
        <v>54308697</v>
      </c>
      <c r="E66" s="28">
        <v>-3102179</v>
      </c>
      <c r="F66" s="24">
        <v>-5.4034691963244036E-2</v>
      </c>
    </row>
    <row r="67" spans="1:6" s="70" customFormat="1" ht="26.25">
      <c r="A67" s="29" t="s">
        <v>68</v>
      </c>
      <c r="B67" s="299">
        <v>0</v>
      </c>
      <c r="C67" s="28">
        <v>0</v>
      </c>
      <c r="D67" s="28">
        <v>0</v>
      </c>
      <c r="E67" s="28">
        <v>0</v>
      </c>
      <c r="F67" s="24">
        <v>0</v>
      </c>
    </row>
    <row r="68" spans="1:6" s="70" customFormat="1" ht="26.25">
      <c r="A68" s="29" t="s">
        <v>69</v>
      </c>
      <c r="B68" s="299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70" customFormat="1" ht="26.25">
      <c r="A69" s="29" t="s">
        <v>70</v>
      </c>
      <c r="B69" s="299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72" customFormat="1" ht="26.25">
      <c r="A70" s="50" t="s">
        <v>71</v>
      </c>
      <c r="B70" s="301">
        <v>52128435.719999999</v>
      </c>
      <c r="C70" s="51">
        <v>57410876</v>
      </c>
      <c r="D70" s="51">
        <v>54308697</v>
      </c>
      <c r="E70" s="51">
        <v>-3102179</v>
      </c>
      <c r="F70" s="35">
        <v>-5.4034691963244036E-2</v>
      </c>
    </row>
    <row r="71" spans="1:6" s="70" customFormat="1" ht="12.75" customHeight="1">
      <c r="A71" s="48"/>
      <c r="B71" s="19"/>
      <c r="C71" s="19"/>
      <c r="D71" s="19"/>
      <c r="E71" s="19"/>
      <c r="F71" s="21"/>
    </row>
    <row r="72" spans="1:6" s="70" customFormat="1" ht="26.25">
      <c r="A72" s="46" t="s">
        <v>72</v>
      </c>
      <c r="B72" s="19"/>
      <c r="C72" s="19"/>
      <c r="D72" s="19"/>
      <c r="E72" s="19"/>
      <c r="F72" s="21"/>
    </row>
    <row r="73" spans="1:6" s="70" customFormat="1" ht="26.25">
      <c r="A73" s="27" t="s">
        <v>73</v>
      </c>
      <c r="B73" s="23">
        <v>20675499.57</v>
      </c>
      <c r="C73" s="23">
        <v>23560084</v>
      </c>
      <c r="D73" s="23">
        <v>21213486</v>
      </c>
      <c r="E73" s="19">
        <v>-2346598</v>
      </c>
      <c r="F73" s="24">
        <v>-9.9600578673658374E-2</v>
      </c>
    </row>
    <row r="74" spans="1:6" s="70" customFormat="1" ht="26.25">
      <c r="A74" s="29" t="s">
        <v>74</v>
      </c>
      <c r="B74" s="298">
        <v>567976.21</v>
      </c>
      <c r="C74" s="23">
        <v>660854</v>
      </c>
      <c r="D74" s="23">
        <v>574742</v>
      </c>
      <c r="E74" s="28">
        <v>-86112</v>
      </c>
      <c r="F74" s="24">
        <v>-0.13030412163654906</v>
      </c>
    </row>
    <row r="75" spans="1:6" s="70" customFormat="1" ht="26.25">
      <c r="A75" s="29" t="s">
        <v>75</v>
      </c>
      <c r="B75" s="19">
        <v>7100947.7199999997</v>
      </c>
      <c r="C75" s="23">
        <v>7123216</v>
      </c>
      <c r="D75" s="23">
        <v>7292174</v>
      </c>
      <c r="E75" s="28">
        <v>168958</v>
      </c>
      <c r="F75" s="24">
        <v>2.3719342499230685E-2</v>
      </c>
    </row>
    <row r="76" spans="1:6" s="72" customFormat="1" ht="26.25">
      <c r="A76" s="49" t="s">
        <v>76</v>
      </c>
      <c r="B76" s="301">
        <v>28344423.5</v>
      </c>
      <c r="C76" s="51">
        <v>31344154</v>
      </c>
      <c r="D76" s="51">
        <v>29080402</v>
      </c>
      <c r="E76" s="34">
        <v>-2263752</v>
      </c>
      <c r="F76" s="35">
        <v>-7.2222462919241656E-2</v>
      </c>
    </row>
    <row r="77" spans="1:6" s="70" customFormat="1" ht="26.25">
      <c r="A77" s="29" t="s">
        <v>77</v>
      </c>
      <c r="B77" s="298">
        <v>8568.7000000000007</v>
      </c>
      <c r="C77" s="26">
        <v>9940</v>
      </c>
      <c r="D77" s="26">
        <v>6543</v>
      </c>
      <c r="E77" s="28">
        <v>-3397</v>
      </c>
      <c r="F77" s="24">
        <v>-0.34175050301810866</v>
      </c>
    </row>
    <row r="78" spans="1:6" s="70" customFormat="1" ht="26.25">
      <c r="A78" s="29" t="s">
        <v>78</v>
      </c>
      <c r="B78" s="23">
        <v>6311705.7999999998</v>
      </c>
      <c r="C78" s="23">
        <v>6660225</v>
      </c>
      <c r="D78" s="23">
        <v>6596276</v>
      </c>
      <c r="E78" s="28">
        <v>-63949</v>
      </c>
      <c r="F78" s="24">
        <v>-9.6016275726420654E-3</v>
      </c>
    </row>
    <row r="79" spans="1:6" s="70" customFormat="1" ht="26.25">
      <c r="A79" s="29" t="s">
        <v>79</v>
      </c>
      <c r="B79" s="19">
        <v>7364944.7300000004</v>
      </c>
      <c r="C79" s="19">
        <v>7023552</v>
      </c>
      <c r="D79" s="19">
        <v>7455093</v>
      </c>
      <c r="E79" s="28">
        <v>431541</v>
      </c>
      <c r="F79" s="24">
        <v>6.1441988327273718E-2</v>
      </c>
    </row>
    <row r="80" spans="1:6" s="72" customFormat="1" ht="26.25">
      <c r="A80" s="32" t="s">
        <v>80</v>
      </c>
      <c r="B80" s="301">
        <v>13685219.23</v>
      </c>
      <c r="C80" s="51">
        <v>13693717</v>
      </c>
      <c r="D80" s="51">
        <v>14057912</v>
      </c>
      <c r="E80" s="34">
        <v>364195</v>
      </c>
      <c r="F80" s="35">
        <v>2.6595773813640228E-2</v>
      </c>
    </row>
    <row r="81" spans="1:6" s="70" customFormat="1" ht="26.25">
      <c r="A81" s="29" t="s">
        <v>81</v>
      </c>
      <c r="B81" s="19">
        <v>7699288.3799999999</v>
      </c>
      <c r="C81" s="19">
        <v>10575055</v>
      </c>
      <c r="D81" s="19">
        <v>8619833</v>
      </c>
      <c r="E81" s="28">
        <v>-1955222</v>
      </c>
      <c r="F81" s="24">
        <v>-0.18489000766426275</v>
      </c>
    </row>
    <row r="82" spans="1:6" s="70" customFormat="1" ht="26.25">
      <c r="A82" s="29" t="s">
        <v>82</v>
      </c>
      <c r="B82" s="299">
        <v>129753.21</v>
      </c>
      <c r="C82" s="28">
        <v>-778125</v>
      </c>
      <c r="D82" s="28">
        <v>136376</v>
      </c>
      <c r="E82" s="28">
        <v>914501</v>
      </c>
      <c r="F82" s="24">
        <v>1</v>
      </c>
    </row>
    <row r="83" spans="1:6" s="70" customFormat="1" ht="26.25">
      <c r="A83" s="29" t="s">
        <v>83</v>
      </c>
      <c r="B83" s="299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70" customFormat="1" ht="26.25">
      <c r="A84" s="29" t="s">
        <v>84</v>
      </c>
      <c r="B84" s="299">
        <v>2011313.4</v>
      </c>
      <c r="C84" s="28">
        <v>2123304</v>
      </c>
      <c r="D84" s="28">
        <v>1961403</v>
      </c>
      <c r="E84" s="28">
        <v>-161901</v>
      </c>
      <c r="F84" s="24">
        <v>-7.624956200336834E-2</v>
      </c>
    </row>
    <row r="85" spans="1:6" s="72" customFormat="1" ht="26.25">
      <c r="A85" s="32" t="s">
        <v>85</v>
      </c>
      <c r="B85" s="300">
        <v>9840354.9900000002</v>
      </c>
      <c r="C85" s="34">
        <v>11920234</v>
      </c>
      <c r="D85" s="34">
        <v>10717612</v>
      </c>
      <c r="E85" s="34">
        <v>-1202622</v>
      </c>
      <c r="F85" s="35">
        <v>-0.10088912684096638</v>
      </c>
    </row>
    <row r="86" spans="1:6" s="70" customFormat="1" ht="26.25">
      <c r="A86" s="29" t="s">
        <v>86</v>
      </c>
      <c r="B86" s="299">
        <v>258438</v>
      </c>
      <c r="C86" s="28">
        <v>452771</v>
      </c>
      <c r="D86" s="28">
        <v>452771</v>
      </c>
      <c r="E86" s="28">
        <v>0</v>
      </c>
      <c r="F86" s="24">
        <v>0</v>
      </c>
    </row>
    <row r="87" spans="1:6" s="70" customFormat="1" ht="26.25">
      <c r="A87" s="29" t="s">
        <v>87</v>
      </c>
      <c r="B87" s="299">
        <v>0</v>
      </c>
      <c r="C87" s="28">
        <v>0</v>
      </c>
      <c r="D87" s="28">
        <v>0</v>
      </c>
      <c r="E87" s="28">
        <v>0</v>
      </c>
      <c r="F87" s="24">
        <v>0</v>
      </c>
    </row>
    <row r="88" spans="1:6" s="70" customFormat="1" ht="26.25">
      <c r="A88" s="38" t="s">
        <v>88</v>
      </c>
      <c r="B88" s="299">
        <v>0</v>
      </c>
      <c r="C88" s="28">
        <v>0</v>
      </c>
      <c r="D88" s="28">
        <v>0</v>
      </c>
      <c r="E88" s="28">
        <v>0</v>
      </c>
      <c r="F88" s="24">
        <v>0</v>
      </c>
    </row>
    <row r="89" spans="1:6" s="72" customFormat="1" ht="26.25">
      <c r="A89" s="52" t="s">
        <v>89</v>
      </c>
      <c r="B89" s="301">
        <v>258438</v>
      </c>
      <c r="C89" s="51">
        <v>452771</v>
      </c>
      <c r="D89" s="51">
        <v>452771</v>
      </c>
      <c r="E89" s="51">
        <v>0</v>
      </c>
      <c r="F89" s="35">
        <v>0</v>
      </c>
    </row>
    <row r="90" spans="1:6" s="70" customFormat="1" ht="26.25">
      <c r="A90" s="38" t="s">
        <v>90</v>
      </c>
      <c r="B90" s="299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72" customFormat="1" ht="27" thickBot="1">
      <c r="A91" s="53" t="s">
        <v>71</v>
      </c>
      <c r="B91" s="302">
        <v>52128435.719999999</v>
      </c>
      <c r="C91" s="54">
        <v>57410876</v>
      </c>
      <c r="D91" s="55">
        <v>54308697</v>
      </c>
      <c r="E91" s="54">
        <v>-3102179</v>
      </c>
      <c r="F91" s="56">
        <v>-5.4034691963244036E-2</v>
      </c>
    </row>
    <row r="92" spans="1:6" s="74" customFormat="1" ht="12.75" customHeight="1" thickBot="1">
      <c r="A92" s="57"/>
      <c r="B92" s="58"/>
      <c r="C92" s="58"/>
      <c r="D92" s="58"/>
      <c r="E92" s="59"/>
      <c r="F92" s="59"/>
    </row>
    <row r="93" spans="1:6" s="74" customFormat="1" ht="31.5">
      <c r="A93" s="160" t="s">
        <v>43</v>
      </c>
      <c r="B93" s="161"/>
      <c r="C93" s="161"/>
      <c r="D93" s="162"/>
      <c r="E93" s="161"/>
      <c r="F93" s="163"/>
    </row>
    <row r="94" spans="1:6" s="74" customFormat="1" ht="31.5" hidden="1">
      <c r="A94" s="164" t="s">
        <v>121</v>
      </c>
      <c r="B94" s="165">
        <v>0</v>
      </c>
      <c r="C94" s="165">
        <v>0</v>
      </c>
      <c r="D94" s="166"/>
      <c r="E94" s="165">
        <v>0</v>
      </c>
      <c r="F94" s="167">
        <v>0</v>
      </c>
    </row>
    <row r="95" spans="1:6" ht="25.5" hidden="1">
      <c r="A95" s="234" t="s">
        <v>45</v>
      </c>
      <c r="B95" s="189">
        <v>0</v>
      </c>
      <c r="C95" s="189">
        <v>0</v>
      </c>
      <c r="D95" s="190"/>
      <c r="E95" s="198">
        <v>0</v>
      </c>
      <c r="F95" s="235">
        <v>0</v>
      </c>
    </row>
    <row r="96" spans="1:6" s="246" customFormat="1" ht="25.5">
      <c r="A96" s="236" t="s">
        <v>122</v>
      </c>
      <c r="B96" s="303">
        <v>245150</v>
      </c>
      <c r="C96" s="237">
        <v>245150</v>
      </c>
      <c r="D96" s="238"/>
      <c r="E96" s="237">
        <v>-245150</v>
      </c>
      <c r="F96" s="240">
        <v>-1</v>
      </c>
    </row>
    <row r="97" spans="1:6" ht="25.5" hidden="1">
      <c r="A97" s="164" t="s">
        <v>47</v>
      </c>
      <c r="B97" s="165">
        <v>0</v>
      </c>
      <c r="C97" s="165">
        <v>0</v>
      </c>
      <c r="D97" s="166"/>
      <c r="E97" s="165">
        <v>0</v>
      </c>
      <c r="F97" s="167">
        <v>0</v>
      </c>
    </row>
    <row r="98" spans="1:6" ht="25.5" hidden="1">
      <c r="A98" s="170" t="s">
        <v>48</v>
      </c>
      <c r="B98" s="165">
        <v>0</v>
      </c>
      <c r="C98" s="165">
        <v>0</v>
      </c>
      <c r="D98" s="166"/>
      <c r="E98" s="169">
        <v>0</v>
      </c>
      <c r="F98" s="167">
        <v>0</v>
      </c>
    </row>
    <row r="99" spans="1:6" ht="27" thickBot="1">
      <c r="A99" s="171" t="s">
        <v>49</v>
      </c>
      <c r="B99" s="172">
        <v>245150</v>
      </c>
      <c r="C99" s="172">
        <v>245150</v>
      </c>
      <c r="D99" s="173">
        <v>0</v>
      </c>
      <c r="E99" s="172">
        <v>-245150</v>
      </c>
      <c r="F99" s="174">
        <v>-1</v>
      </c>
    </row>
    <row r="100" spans="1:6" ht="26.25">
      <c r="A100" s="175"/>
      <c r="B100" s="176"/>
      <c r="C100" s="176"/>
      <c r="D100" s="176"/>
      <c r="E100" s="176"/>
      <c r="F100" s="177"/>
    </row>
    <row r="101" spans="1:6" ht="31.5">
      <c r="A101" s="61" t="s">
        <v>91</v>
      </c>
      <c r="B101" s="62"/>
      <c r="C101" s="62"/>
      <c r="D101" s="62"/>
      <c r="E101" s="59"/>
      <c r="F101" s="59"/>
    </row>
    <row r="102" spans="1:6" ht="31.5">
      <c r="A102" s="61" t="s">
        <v>92</v>
      </c>
      <c r="B102" s="62"/>
      <c r="C102" s="62"/>
      <c r="D102" s="62"/>
      <c r="E102" s="59"/>
      <c r="F102" s="59"/>
    </row>
    <row r="103" spans="1:6" ht="30">
      <c r="A103" s="178" t="s">
        <v>123</v>
      </c>
      <c r="B103" s="64"/>
      <c r="C103" s="64"/>
      <c r="D103" s="64"/>
      <c r="E103" s="65"/>
      <c r="F103" s="65"/>
    </row>
  </sheetData>
  <pageMargins left="0.7" right="0.7" top="0.3" bottom="0.3" header="0.3" footer="0.3"/>
  <pageSetup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3"/>
  <sheetViews>
    <sheetView topLeftCell="A64" zoomScale="50" zoomScaleNormal="50" workbookViewId="0">
      <selection activeCell="M46" sqref="M46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0.285156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4" t="s">
        <v>141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f>'UL System'!B8-'UL BOS'!B8+LSUBR!B8+LSUA!B8+LSUS!B8+UNO!B8+SUBR!B8+SUNO!B8</f>
        <v>560493186.05999994</v>
      </c>
      <c r="C8" s="23">
        <f>'UL System'!C8-'UL BOS'!C8+LSUBR!C8+LSUA!C8+LSUS!C8+UNO!C8+SUBR!C8+SUNO!C8</f>
        <v>560493188</v>
      </c>
      <c r="D8" s="23">
        <f>'UL System'!D8-'UL BOS'!D8+LSUBR!D8+LSUA!D8+LSUS!D8+UNO!D8+SUBR!D8+SUNO!D8</f>
        <v>547681640</v>
      </c>
      <c r="E8" s="23">
        <f t="shared" ref="E8:E28" si="0">D8-C8</f>
        <v>-12811548</v>
      </c>
      <c r="F8" s="24">
        <f t="shared" ref="F8:F28" si="1">IF(ISBLANK(E8),"  ",IF(C8&gt;0,E8/C8,IF(E8&gt;0,1,0)))</f>
        <v>-2.2857633730956246E-2</v>
      </c>
    </row>
    <row r="9" spans="1:6" s="13" customFormat="1" ht="26.25">
      <c r="A9" s="22" t="s">
        <v>17</v>
      </c>
      <c r="B9" s="23">
        <f>'UL System'!B9-'UL BOS'!B9+LSUBR!B9+LSUA!B9+LSUS!B9+UNO!B9+SUBR!B9+SUNO!B9</f>
        <v>0</v>
      </c>
      <c r="C9" s="23">
        <f>'UL System'!C9-'UL BOS'!C9+LSUBR!C9+LSUA!C9+LSUS!C9+UNO!C9+SUBR!C9+SUNO!C9</f>
        <v>0</v>
      </c>
      <c r="D9" s="23">
        <f>'UL System'!D9-'UL BOS'!D9+LSUBR!D9+LSUA!D9+LSUS!D9+UNO!D9+SUBR!D9+SUNO!D9</f>
        <v>0</v>
      </c>
      <c r="E9" s="23">
        <f t="shared" si="0"/>
        <v>0</v>
      </c>
      <c r="F9" s="24">
        <f t="shared" si="1"/>
        <v>0</v>
      </c>
    </row>
    <row r="10" spans="1:6" s="13" customFormat="1" ht="26.25">
      <c r="A10" s="25" t="s">
        <v>18</v>
      </c>
      <c r="B10" s="26">
        <f>SUM(B11:B28)</f>
        <v>34825336.770000003</v>
      </c>
      <c r="C10" s="26">
        <f>SUM(C11:C28)</f>
        <v>35447703</v>
      </c>
      <c r="D10" s="26">
        <f>SUM(D11:D28)</f>
        <v>32382130</v>
      </c>
      <c r="E10" s="26">
        <f t="shared" si="0"/>
        <v>-3065573</v>
      </c>
      <c r="F10" s="24">
        <f t="shared" si="1"/>
        <v>-8.6481569764901275E-2</v>
      </c>
    </row>
    <row r="11" spans="1:6" s="13" customFormat="1" ht="26.25">
      <c r="A11" s="27" t="s">
        <v>19</v>
      </c>
      <c r="B11" s="23">
        <f>'UL System'!B11-'UL BOS'!B11+LSUBR!B11+LSUA!B11+LSUS!B11+UNO!B11+SUBR!B11+SUNO!B11</f>
        <v>469799.57</v>
      </c>
      <c r="C11" s="23">
        <f>'UL System'!C11-'UL BOS'!C11+LSUBR!C11+LSUA!C11+LSUS!C11+UNO!C11+SUBR!C11+SUNO!C11</f>
        <v>469799</v>
      </c>
      <c r="D11" s="23">
        <f>'UL System'!D11-'UL BOS'!D11+LSUBR!D11+LSUA!D11+LSUS!D11+UNO!D11+SUBR!D11+SUNO!D11</f>
        <v>0</v>
      </c>
      <c r="E11" s="26">
        <f t="shared" si="0"/>
        <v>-469799</v>
      </c>
      <c r="F11" s="24">
        <f t="shared" si="1"/>
        <v>-1</v>
      </c>
    </row>
    <row r="12" spans="1:6" s="13" customFormat="1" ht="26.25">
      <c r="A12" s="29" t="s">
        <v>20</v>
      </c>
      <c r="B12" s="23">
        <f>'UL System'!B12-'UL BOS'!B12+LSUBR!B12+LSUA!B12+LSUS!B12+UNO!B12+SUBR!B12+SUNO!B12</f>
        <v>27335096.200000003</v>
      </c>
      <c r="C12" s="23">
        <f>'UL System'!C12-'UL BOS'!C12+LSUBR!C12+LSUA!C12+LSUS!C12+UNO!C12+SUBR!C12+SUNO!C12</f>
        <v>27435350</v>
      </c>
      <c r="D12" s="23">
        <f>'UL System'!D12-'UL BOS'!D12+LSUBR!D12+LSUA!D12+LSUS!D12+UNO!D12+SUBR!D12+SUNO!D12</f>
        <v>27646526</v>
      </c>
      <c r="E12" s="26">
        <f t="shared" si="0"/>
        <v>211176</v>
      </c>
      <c r="F12" s="24">
        <f t="shared" si="1"/>
        <v>7.6972227436500722E-3</v>
      </c>
    </row>
    <row r="13" spans="1:6" s="13" customFormat="1" ht="26.25">
      <c r="A13" s="29" t="s">
        <v>21</v>
      </c>
      <c r="B13" s="23">
        <f>'UL System'!B13-'UL BOS'!B13+LSUBR!B13+LSUA!B13+LSUS!B13+UNO!B13+SUBR!B13+SUNO!B13</f>
        <v>0</v>
      </c>
      <c r="C13" s="23">
        <f>'UL System'!C13-'UL BOS'!C13+LSUBR!C13+LSUA!C13+LSUS!C13+UNO!C13+SUBR!C13+SUNO!C13</f>
        <v>0</v>
      </c>
      <c r="D13" s="23">
        <f>'UL System'!D13-'UL BOS'!D13+LSUBR!D13+LSUA!D13+LSUS!D13+UNO!D13+SUBR!D13+SUNO!D13</f>
        <v>0</v>
      </c>
      <c r="E13" s="26">
        <f t="shared" si="0"/>
        <v>0</v>
      </c>
      <c r="F13" s="24">
        <f t="shared" si="1"/>
        <v>0</v>
      </c>
    </row>
    <row r="14" spans="1:6" s="13" customFormat="1" ht="26.25">
      <c r="A14" s="29" t="s">
        <v>22</v>
      </c>
      <c r="B14" s="23">
        <f>'UL System'!B14-'UL BOS'!B14+LSUBR!B14+LSUA!B14+LSUS!B14+UNO!B14+SUBR!B14+SUNO!B14</f>
        <v>525604</v>
      </c>
      <c r="C14" s="23">
        <f>'UL System'!C14-'UL BOS'!C14+LSUBR!C14+LSUA!C14+LSUS!C14+UNO!C14+SUBR!C14+SUNO!C14</f>
        <v>525604</v>
      </c>
      <c r="D14" s="23">
        <f>'UL System'!D14-'UL BOS'!D14+LSUBR!D14+LSUA!D14+LSUS!D14+UNO!D14+SUBR!D14+SUNO!D14</f>
        <v>525604</v>
      </c>
      <c r="E14" s="26">
        <f t="shared" si="0"/>
        <v>0</v>
      </c>
      <c r="F14" s="24">
        <f t="shared" si="1"/>
        <v>0</v>
      </c>
    </row>
    <row r="15" spans="1:6" s="13" customFormat="1" ht="26.25">
      <c r="A15" s="29" t="s">
        <v>23</v>
      </c>
      <c r="B15" s="23">
        <f>'UL System'!B15-'UL BOS'!B15+LSUBR!B15+LSUA!B15+LSUS!B15+UNO!B15+SUBR!B15+SUNO!B15</f>
        <v>0</v>
      </c>
      <c r="C15" s="23">
        <f>'UL System'!C15-'UL BOS'!C15+LSUBR!C15+LSUA!C15+LSUS!C15+UNO!C15+SUBR!C15+SUNO!C15</f>
        <v>0</v>
      </c>
      <c r="D15" s="23">
        <f>'UL System'!D15-'UL BOS'!D15+LSUBR!D15+LSUA!D15+LSUS!D15+UNO!D15+SUBR!D15+SUNO!D15</f>
        <v>0</v>
      </c>
      <c r="E15" s="26">
        <f t="shared" si="0"/>
        <v>0</v>
      </c>
      <c r="F15" s="24">
        <f t="shared" si="1"/>
        <v>0</v>
      </c>
    </row>
    <row r="16" spans="1:6" s="13" customFormat="1" ht="26.25">
      <c r="A16" s="29" t="s">
        <v>24</v>
      </c>
      <c r="B16" s="23">
        <f>'UL System'!B16-'UL BOS'!B16+LSUBR!B16+LSUA!B16+LSUS!B16+UNO!B16+SUBR!B16+SUNO!B16</f>
        <v>50000</v>
      </c>
      <c r="C16" s="23">
        <f>'UL System'!C16-'UL BOS'!C16+LSUBR!C16+LSUA!C16+LSUS!C16+UNO!C16+SUBR!C16+SUNO!C16</f>
        <v>50000</v>
      </c>
      <c r="D16" s="23">
        <f>'UL System'!D16-'UL BOS'!D16+LSUBR!D16+LSUA!D16+LSUS!D16+UNO!D16+SUBR!D16+SUNO!D16</f>
        <v>50000</v>
      </c>
      <c r="E16" s="26">
        <f t="shared" si="0"/>
        <v>0</v>
      </c>
      <c r="F16" s="24">
        <f t="shared" si="1"/>
        <v>0</v>
      </c>
    </row>
    <row r="17" spans="1:6" s="13" customFormat="1" ht="26.25">
      <c r="A17" s="29" t="s">
        <v>25</v>
      </c>
      <c r="B17" s="23">
        <f>'UL System'!B17-'UL BOS'!B17+LSUBR!B17+LSUA!B17+LSUS!B17+UNO!B17+SUBR!B17+SUNO!B17</f>
        <v>0</v>
      </c>
      <c r="C17" s="23">
        <f>'UL System'!C17-'UL BOS'!C17+LSUBR!C17+LSUA!C17+LSUS!C17+UNO!C17+SUBR!C17+SUNO!C17</f>
        <v>0</v>
      </c>
      <c r="D17" s="23">
        <f>'UL System'!D17-'UL BOS'!D17+LSUBR!D17+LSUA!D17+LSUS!D17+UNO!D17+SUBR!D17+SUNO!D17</f>
        <v>0</v>
      </c>
      <c r="E17" s="26">
        <f t="shared" si="0"/>
        <v>0</v>
      </c>
      <c r="F17" s="24">
        <f t="shared" si="1"/>
        <v>0</v>
      </c>
    </row>
    <row r="18" spans="1:6" s="13" customFormat="1" ht="26.25">
      <c r="A18" s="29" t="s">
        <v>26</v>
      </c>
      <c r="B18" s="23">
        <f>'UL System'!B18-'UL BOS'!B18+LSUBR!B18+LSUA!B18+LSUS!B18+UNO!B18+SUBR!B18+SUNO!B18</f>
        <v>750000</v>
      </c>
      <c r="C18" s="23">
        <f>'UL System'!C18-'UL BOS'!C18+LSUBR!C18+LSUA!C18+LSUS!C18+UNO!C18+SUBR!C18+SUNO!C18</f>
        <v>750000</v>
      </c>
      <c r="D18" s="23">
        <f>'UL System'!D18-'UL BOS'!D18+LSUBR!D18+LSUA!D18+LSUS!D18+UNO!D18+SUBR!D18+SUNO!D18</f>
        <v>750000</v>
      </c>
      <c r="E18" s="26">
        <f t="shared" si="0"/>
        <v>0</v>
      </c>
      <c r="F18" s="24">
        <f t="shared" si="1"/>
        <v>0</v>
      </c>
    </row>
    <row r="19" spans="1:6" s="13" customFormat="1" ht="26.25">
      <c r="A19" s="29" t="s">
        <v>27</v>
      </c>
      <c r="B19" s="23">
        <f>'UL System'!B19-'UL BOS'!B19+LSUBR!B19+LSUA!B19+LSUS!B19+UNO!B19+SUBR!B19+SUNO!B19</f>
        <v>3001837</v>
      </c>
      <c r="C19" s="23">
        <f>'UL System'!C19-'UL BOS'!C19+LSUBR!C19+LSUA!C19+LSUS!C19+UNO!C19+SUBR!C19+SUNO!C19</f>
        <v>3523950</v>
      </c>
      <c r="D19" s="23">
        <f>'UL System'!D19-'UL BOS'!D19+LSUBR!D19+LSUA!D19+LSUS!D19+UNO!D19+SUBR!D19+SUNO!D19</f>
        <v>3200000</v>
      </c>
      <c r="E19" s="26">
        <f t="shared" si="0"/>
        <v>-323950</v>
      </c>
      <c r="F19" s="24">
        <f t="shared" si="1"/>
        <v>-9.1928092055789667E-2</v>
      </c>
    </row>
    <row r="20" spans="1:6" s="13" customFormat="1" ht="26.25">
      <c r="A20" s="29" t="s">
        <v>28</v>
      </c>
      <c r="B20" s="23">
        <f>'UL System'!B20-'UL BOS'!B20+LSUBR!B20+LSUA!B20+LSUS!B20+UNO!B20+SUBR!B20+SUNO!B20</f>
        <v>210000</v>
      </c>
      <c r="C20" s="23">
        <f>'UL System'!C20-'UL BOS'!C20+LSUBR!C20+LSUA!C20+LSUS!C20+UNO!C20+SUBR!C20+SUNO!C20</f>
        <v>210000</v>
      </c>
      <c r="D20" s="23">
        <f>'UL System'!D20-'UL BOS'!D20+LSUBR!D20+LSUA!D20+LSUS!D20+UNO!D20+SUBR!D20+SUNO!D20</f>
        <v>210000</v>
      </c>
      <c r="E20" s="26">
        <f t="shared" si="0"/>
        <v>0</v>
      </c>
      <c r="F20" s="24">
        <f t="shared" si="1"/>
        <v>0</v>
      </c>
    </row>
    <row r="21" spans="1:6" s="13" customFormat="1" ht="26.25">
      <c r="A21" s="29" t="s">
        <v>29</v>
      </c>
      <c r="B21" s="23">
        <f>'UL System'!B21-'UL BOS'!B21+LSUBR!B21+LSUA!B21+LSUS!B21+UNO!B21+SUBR!B21+SUNO!B21</f>
        <v>0</v>
      </c>
      <c r="C21" s="23">
        <f>'UL System'!C21-'UL BOS'!C21+LSUBR!C21+LSUA!C21+LSUS!C21+UNO!C21+SUBR!C21+SUNO!C21</f>
        <v>0</v>
      </c>
      <c r="D21" s="23">
        <f>'UL System'!D21-'UL BOS'!D21+LSUBR!D21+LSUA!D21+LSUS!D21+UNO!D21+SUBR!D21+SUNO!D21</f>
        <v>0</v>
      </c>
      <c r="E21" s="26">
        <f t="shared" si="0"/>
        <v>0</v>
      </c>
      <c r="F21" s="24">
        <f t="shared" si="1"/>
        <v>0</v>
      </c>
    </row>
    <row r="22" spans="1:6" s="13" customFormat="1" ht="26.25">
      <c r="A22" s="29" t="s">
        <v>30</v>
      </c>
      <c r="B22" s="23">
        <f>'UL System'!B22-'UL BOS'!B22+LSUBR!B22+LSUA!B22+LSUS!B22+UNO!B22+SUBR!B22+SUNO!B22</f>
        <v>0</v>
      </c>
      <c r="C22" s="23">
        <f>'UL System'!C22-'UL BOS'!C22+LSUBR!C22+LSUA!C22+LSUS!C22+UNO!C22+SUBR!C22+SUNO!C22</f>
        <v>0</v>
      </c>
      <c r="D22" s="23">
        <f>'UL System'!D22-'UL BOS'!D22+LSUBR!D22+LSUA!D22+LSUS!D22+UNO!D22+SUBR!D22+SUNO!D22</f>
        <v>0</v>
      </c>
      <c r="E22" s="26">
        <f t="shared" si="0"/>
        <v>0</v>
      </c>
      <c r="F22" s="24">
        <f t="shared" si="1"/>
        <v>0</v>
      </c>
    </row>
    <row r="23" spans="1:6" s="13" customFormat="1" ht="26.25">
      <c r="A23" s="30" t="s">
        <v>31</v>
      </c>
      <c r="B23" s="23">
        <f>'UL System'!B23-'UL BOS'!B23+LSUBR!B23+LSUA!B23+LSUS!B23+UNO!B23+SUBR!B23+SUNO!B23</f>
        <v>0</v>
      </c>
      <c r="C23" s="23">
        <f>'UL System'!C23-'UL BOS'!C23+LSUBR!C23+LSUA!C23+LSUS!C23+UNO!C23+SUBR!C23+SUNO!C23</f>
        <v>0</v>
      </c>
      <c r="D23" s="23">
        <f>'UL System'!D23-'UL BOS'!D23+LSUBR!D23+LSUA!D23+LSUS!D23+UNO!D23+SUBR!D23+SUNO!D23</f>
        <v>0</v>
      </c>
      <c r="E23" s="26">
        <f t="shared" si="0"/>
        <v>0</v>
      </c>
      <c r="F23" s="24">
        <f t="shared" si="1"/>
        <v>0</v>
      </c>
    </row>
    <row r="24" spans="1:6" s="13" customFormat="1" ht="26.25">
      <c r="A24" s="30" t="s">
        <v>32</v>
      </c>
      <c r="B24" s="23">
        <f>'UL System'!B24-'UL BOS'!B24+LSUBR!B24+LSUA!B24+LSUS!B24+UNO!B24+SUBR!B24+SUNO!B24</f>
        <v>0</v>
      </c>
      <c r="C24" s="23">
        <f>'UL System'!C24-'UL BOS'!C24+LSUBR!C24+LSUA!C24+LSUS!C24+UNO!C24+SUBR!C24+SUNO!C24</f>
        <v>0</v>
      </c>
      <c r="D24" s="23">
        <f>'UL System'!D24-'UL BOS'!D24+LSUBR!D24+LSUA!D24+LSUS!D24+UNO!D24+SUBR!D24+SUNO!D24</f>
        <v>0</v>
      </c>
      <c r="E24" s="26">
        <f t="shared" si="0"/>
        <v>0</v>
      </c>
      <c r="F24" s="24">
        <f t="shared" si="1"/>
        <v>0</v>
      </c>
    </row>
    <row r="25" spans="1:6" s="13" customFormat="1" ht="26.25">
      <c r="A25" s="30" t="s">
        <v>33</v>
      </c>
      <c r="B25" s="23">
        <f>'UL System'!B25-'UL BOS'!B25+LSUBR!B25+LSUA!B25+LSUS!B25+UNO!B25+SUBR!B25+SUNO!B25</f>
        <v>0</v>
      </c>
      <c r="C25" s="23">
        <f>'UL System'!C25-'UL BOS'!C25+LSUBR!C25+LSUA!C25+LSUS!C25+UNO!C25+SUBR!C25+SUNO!C25</f>
        <v>0</v>
      </c>
      <c r="D25" s="23">
        <f>'UL System'!D25-'UL BOS'!D25+LSUBR!D25+LSUA!D25+LSUS!D25+UNO!D25+SUBR!D25+SUNO!D25</f>
        <v>0</v>
      </c>
      <c r="E25" s="26">
        <f t="shared" si="0"/>
        <v>0</v>
      </c>
      <c r="F25" s="24">
        <f t="shared" si="1"/>
        <v>0</v>
      </c>
    </row>
    <row r="26" spans="1:6" s="13" customFormat="1" ht="26.25">
      <c r="A26" s="30" t="s">
        <v>34</v>
      </c>
      <c r="B26" s="23">
        <f>'UL System'!B26-'UL BOS'!B26+LSUBR!B26+LSUA!B26+LSUS!B26+UNO!B26+SUBR!B26+SUNO!B26</f>
        <v>0</v>
      </c>
      <c r="C26" s="23">
        <f>'UL System'!C26-'UL BOS'!C26+LSUBR!C26+LSUA!C26+LSUS!C26+UNO!C26+SUBR!C26+SUNO!C26</f>
        <v>0</v>
      </c>
      <c r="D26" s="23">
        <f>'UL System'!D26-'UL BOS'!D26+LSUBR!D26+LSUA!D26+LSUS!D26+UNO!D26+SUBR!D26+SUNO!D26</f>
        <v>0</v>
      </c>
      <c r="E26" s="26">
        <f t="shared" si="0"/>
        <v>0</v>
      </c>
      <c r="F26" s="24">
        <f t="shared" si="1"/>
        <v>0</v>
      </c>
    </row>
    <row r="27" spans="1:6" s="13" customFormat="1" ht="26.25">
      <c r="A27" s="30" t="s">
        <v>35</v>
      </c>
      <c r="B27" s="23">
        <f>'UL System'!B27-'UL BOS'!B27+LSUBR!B27+LSUA!B27+LSUS!B27+UNO!B27+SUBR!B27+SUNO!B27</f>
        <v>0</v>
      </c>
      <c r="C27" s="23">
        <f>'UL System'!C27-'UL BOS'!C27+LSUBR!C27+LSUA!C27+LSUS!C27+UNO!C27+SUBR!C27+SUNO!C27</f>
        <v>0</v>
      </c>
      <c r="D27" s="23">
        <f>'UL System'!D27-'UL BOS'!D27+LSUBR!D27+LSUA!D27+LSUS!D27+UNO!D27+SUBR!D27+SUNO!D27</f>
        <v>0</v>
      </c>
      <c r="E27" s="26">
        <f t="shared" si="0"/>
        <v>0</v>
      </c>
      <c r="F27" s="24">
        <f t="shared" si="1"/>
        <v>0</v>
      </c>
    </row>
    <row r="28" spans="1:6" s="13" customFormat="1" ht="26.25">
      <c r="A28" s="30" t="s">
        <v>36</v>
      </c>
      <c r="B28" s="23">
        <f>'UL System'!B28-'UL BOS'!B28+LSUBR!B28+LSUA!B28+LSUS!B28+UNO!B28+SUBR!B28+SUNO!B28</f>
        <v>2483000</v>
      </c>
      <c r="C28" s="23">
        <f>'UL System'!C28-'UL BOS'!C28+LSUBR!C28+LSUA!C28+LSUS!C28+UNO!C28+SUBR!C28+SUNO!C28</f>
        <v>2483000</v>
      </c>
      <c r="D28" s="23">
        <f>'UL System'!D28-'UL BOS'!D28+LSUBR!D28+LSUA!D28+LSUS!D28+UNO!D28+SUBR!D28+SUNO!D28</f>
        <v>0</v>
      </c>
      <c r="E28" s="26">
        <f t="shared" si="0"/>
        <v>-2483000</v>
      </c>
      <c r="F28" s="24">
        <f t="shared" si="1"/>
        <v>-1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f>'UL System'!B30-'UL BOS'!B30+LSUBR!B30+LSUA!B30+LSUS!B30+UNO!B30+SUBR!B30+SUNO!B30</f>
        <v>0</v>
      </c>
      <c r="C30" s="23">
        <f>'UL System'!C30-'UL BOS'!C30+LSUBR!C30+LSUA!C30+LSUS!C30+UNO!C30+SUBR!C30+SUNO!C30</f>
        <v>0</v>
      </c>
      <c r="D30" s="23">
        <f>'UL System'!D30-'UL BOS'!D30+LSUBR!D30+LSUA!D30+LSUS!D30+UNO!D30+SUBR!D30+SUNO!D30</f>
        <v>0</v>
      </c>
      <c r="E30" s="23">
        <f>D30-C30</f>
        <v>0</v>
      </c>
      <c r="F30" s="24">
        <f>IF(ISBLANK(E30),"  ",IF(C30&gt;0,E30/C30,IF(E30&gt;0,1,0)))</f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23">
        <f>'UL System'!B32-'UL BOS'!B32+LSUBR!B32+LSUA!B32+LSUS!B32+UNO!B32+SUBR!B32+SUNO!B32</f>
        <v>0</v>
      </c>
      <c r="C32" s="23">
        <f>'UL System'!C32-'UL BOS'!C32+LSUBR!C32+LSUA!C32+LSUS!C32+UNO!C32+SUBR!C32+SUNO!C32</f>
        <v>0</v>
      </c>
      <c r="D32" s="23">
        <f>'UL System'!D32-'UL BOS'!D32+LSUBR!D32+LSUA!D32+LSUS!D32+UNO!D32+SUBR!D32+SUNO!D32</f>
        <v>0</v>
      </c>
      <c r="E32" s="23">
        <f>D32-C32</f>
        <v>0</v>
      </c>
      <c r="F32" s="24">
        <f>IF(ISBLANK(E32),"  ",IF(C32&gt;0,E32/C32,IF(E32&gt;0,1,0)))</f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tr">
        <f>IF(ISBLANK(E33),"  ",IF(C33&gt;0,E33/C33,IF(E33&gt;0,1,0)))</f>
        <v xml:space="preserve">  </v>
      </c>
    </row>
    <row r="34" spans="1:10" s="36" customFormat="1" ht="26.25">
      <c r="A34" s="33" t="s">
        <v>42</v>
      </c>
      <c r="B34" s="34">
        <f>B33+B32+B30+B10+B9+B8</f>
        <v>595318522.82999992</v>
      </c>
      <c r="C34" s="34">
        <f>C33+C32+C30+C10+C9+C8</f>
        <v>595940891</v>
      </c>
      <c r="D34" s="34">
        <f>D33+D32+D30+D10+D9+D8</f>
        <v>580063770</v>
      </c>
      <c r="E34" s="34">
        <f>D34-C34</f>
        <v>-15877121</v>
      </c>
      <c r="F34" s="35">
        <f>IF(ISBLANK(E34),"  ",IF(C34&gt;0,E34/C34,IF(E34&gt;0,1,0)))</f>
        <v>-2.6642107027356175E-2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f>'UL System'!B36-'UL BOS'!B36+LSUBR!B36+LSUA!B36+LSUS!B36+UNO!B36+SUBR!B36+SUNO!B36</f>
        <v>0</v>
      </c>
      <c r="C36" s="23">
        <f>'UL System'!C36-'UL BOS'!C36+LSUBR!C36+LSUA!C36+LSUS!C36+UNO!C36+SUBR!C36+SUNO!C36</f>
        <v>0</v>
      </c>
      <c r="D36" s="23">
        <f>'UL System'!D36-'UL BOS'!D36+LSUBR!D36+LSUA!D36+LSUS!D36+UNO!D36+SUBR!D36+SUNO!D36</f>
        <v>0</v>
      </c>
      <c r="E36" s="23">
        <f t="shared" ref="E36:E41" si="2">D36-C36</f>
        <v>0</v>
      </c>
      <c r="F36" s="24">
        <f t="shared" ref="F36:F41" si="3">IF(ISBLANK(E36),"  ",IF(C36&gt;0,E36/C36,IF(E36&gt;0,1,0)))</f>
        <v>0</v>
      </c>
    </row>
    <row r="37" spans="1:10" s="13" customFormat="1" ht="26.25">
      <c r="A37" s="38" t="s">
        <v>45</v>
      </c>
      <c r="B37" s="23">
        <f>'UL System'!B37-'UL BOS'!B37+LSUBR!B37+LSUA!B37+LSUS!B37+UNO!B37+SUBR!B37+SUNO!B37</f>
        <v>0</v>
      </c>
      <c r="C37" s="23">
        <f>'UL System'!C37-'UL BOS'!C37+LSUBR!C37+LSUA!C37+LSUS!C37+UNO!C37+SUBR!C37+SUNO!C37</f>
        <v>0</v>
      </c>
      <c r="D37" s="23">
        <f>'UL System'!D37-'UL BOS'!D37+LSUBR!D37+LSUA!D37+LSUS!D37+UNO!D37+SUBR!D37+SUNO!D37</f>
        <v>0</v>
      </c>
      <c r="E37" s="26">
        <f t="shared" si="2"/>
        <v>0</v>
      </c>
      <c r="F37" s="24">
        <f t="shared" si="3"/>
        <v>0</v>
      </c>
    </row>
    <row r="38" spans="1:10" s="13" customFormat="1" ht="26.25">
      <c r="A38" s="38" t="s">
        <v>46</v>
      </c>
      <c r="B38" s="23">
        <f>'UL System'!B38-'UL BOS'!B38+LSUBR!B38+LSUA!B38+LSUS!B38+UNO!B38+SUBR!B38+SUNO!B38</f>
        <v>41819933</v>
      </c>
      <c r="C38" s="23">
        <f>'UL System'!C38-'UL BOS'!C38+LSUBR!C38+LSUA!C38+LSUS!C38+UNO!C38+SUBR!C38+SUNO!C38</f>
        <v>0</v>
      </c>
      <c r="D38" s="23">
        <f>'UL System'!D38-'UL BOS'!D38+LSUBR!D38+LSUA!D38+LSUS!D38+UNO!D38+SUBR!D38+SUNO!D38</f>
        <v>0</v>
      </c>
      <c r="E38" s="26">
        <f t="shared" si="2"/>
        <v>0</v>
      </c>
      <c r="F38" s="24">
        <f t="shared" si="3"/>
        <v>0</v>
      </c>
    </row>
    <row r="39" spans="1:10" s="13" customFormat="1" ht="26.25">
      <c r="A39" s="38" t="s">
        <v>47</v>
      </c>
      <c r="B39" s="23">
        <f>'UL System'!B39-'UL BOS'!B39+LSUBR!B39+LSUA!B39+LSUS!B39+UNO!B39+SUBR!B39+SUNO!B39</f>
        <v>0</v>
      </c>
      <c r="C39" s="23">
        <f>'UL System'!C39-'UL BOS'!C39+LSUBR!C39+LSUA!C39+LSUS!C39+UNO!C39+SUBR!C39+SUNO!C39</f>
        <v>0</v>
      </c>
      <c r="D39" s="23">
        <f>'UL System'!D39-'UL BOS'!D39+LSUBR!D39+LSUA!D39+LSUS!D39+UNO!D39+SUBR!D39+SUNO!D39</f>
        <v>0</v>
      </c>
      <c r="E39" s="26">
        <f t="shared" si="2"/>
        <v>0</v>
      </c>
      <c r="F39" s="24">
        <f t="shared" si="3"/>
        <v>0</v>
      </c>
    </row>
    <row r="40" spans="1:10" s="13" customFormat="1" ht="26.25">
      <c r="A40" s="39" t="s">
        <v>48</v>
      </c>
      <c r="B40" s="23">
        <f>'UL System'!B40-'UL BOS'!B40+LSUBR!B40+LSUA!B40+LSUS!B40+UNO!B40+SUBR!B40+SUNO!B40</f>
        <v>0</v>
      </c>
      <c r="C40" s="23">
        <f>'UL System'!C40-'UL BOS'!C40+LSUBR!C40+LSUA!C40+LSUS!C40+UNO!C40+SUBR!C40+SUNO!C40</f>
        <v>0</v>
      </c>
      <c r="D40" s="23">
        <f>'UL System'!D40-'UL BOS'!D40+LSUBR!D40+LSUA!D40+LSUS!D40+UNO!D40+SUBR!D40+SUNO!D40</f>
        <v>0</v>
      </c>
      <c r="E40" s="26">
        <f t="shared" si="2"/>
        <v>0</v>
      </c>
      <c r="F40" s="24">
        <f t="shared" si="3"/>
        <v>0</v>
      </c>
    </row>
    <row r="41" spans="1:10" s="36" customFormat="1" ht="26.25">
      <c r="A41" s="31" t="s">
        <v>49</v>
      </c>
      <c r="B41" s="40">
        <f>SUM(B36:B40)</f>
        <v>41819933</v>
      </c>
      <c r="C41" s="40">
        <f>SUM(C36:C40)</f>
        <v>0</v>
      </c>
      <c r="D41" s="40">
        <f>SUM(D36:D40)</f>
        <v>0</v>
      </c>
      <c r="E41" s="40">
        <f t="shared" si="2"/>
        <v>0</v>
      </c>
      <c r="F41" s="35">
        <f t="shared" si="3"/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42">
        <f>'UL System'!B43-'UL BOS'!B43+LSUBR!B43+LSUA!B43+LSUS!B43+UNO!B43+SUBR!B43+SUNO!B43</f>
        <v>8054234</v>
      </c>
      <c r="C43" s="42">
        <f>'UL System'!C43-'UL BOS'!C43+LSUBR!C43+LSUA!C43+LSUS!C43+UNO!C43+SUBR!C43+SUNO!C43</f>
        <v>8906097</v>
      </c>
      <c r="D43" s="42">
        <f>'UL System'!D43-'UL BOS'!D43+LSUBR!D43+LSUA!D43+LSUS!D43+UNO!D43+SUBR!D43+SUNO!D43</f>
        <v>8516917</v>
      </c>
      <c r="E43" s="42">
        <f>D43-C43</f>
        <v>-389180</v>
      </c>
      <c r="F43" s="35">
        <f>IF(ISBLANK(E43),"  ",IF(C43&gt;0,E43/C43,IF(E43&gt;0,1,0)))</f>
        <v>-4.369815419706298E-2</v>
      </c>
    </row>
    <row r="44" spans="1:10" s="13" customFormat="1" ht="26.25">
      <c r="A44" s="29" t="s">
        <v>50</v>
      </c>
      <c r="B44" s="34"/>
      <c r="C44" s="34"/>
      <c r="D44" s="34"/>
      <c r="E44" s="28"/>
      <c r="F44" s="20"/>
    </row>
    <row r="45" spans="1:10" s="36" customFormat="1" ht="26.25">
      <c r="A45" s="41" t="s">
        <v>52</v>
      </c>
      <c r="B45" s="42">
        <f>'UL System'!B45-'UL BOS'!B45+LSUBR!B45+LSUA!B45+LSUS!B45+UNO!B45+SUBR!B45+SUNO!B45</f>
        <v>191762859</v>
      </c>
      <c r="C45" s="42">
        <f>'UL System'!C45-'UL BOS'!C45+LSUBR!C45+LSUA!C45+LSUS!C45+UNO!C45+SUBR!C45+SUNO!C45</f>
        <v>191762859</v>
      </c>
      <c r="D45" s="42">
        <f>'UL System'!D45-'UL BOS'!D45+LSUBR!D45+LSUA!D45+LSUS!D45+UNO!D45+SUBR!D45+SUNO!D45</f>
        <v>0</v>
      </c>
      <c r="E45" s="42">
        <f>D45-C45</f>
        <v>-191762859</v>
      </c>
      <c r="F45" s="35">
        <f>IF(ISBLANK(E45),"  ",IF(C45&gt;0,E45/C45,IF(E45&gt;0,1,0)))</f>
        <v>-1</v>
      </c>
    </row>
    <row r="46" spans="1:10" s="13" customFormat="1" ht="26.25">
      <c r="A46" s="29" t="s">
        <v>50</v>
      </c>
      <c r="B46" s="34"/>
      <c r="C46" s="34"/>
      <c r="D46" s="34"/>
      <c r="E46" s="28"/>
      <c r="F46" s="20"/>
    </row>
    <row r="47" spans="1:10" s="36" customFormat="1" ht="26.25">
      <c r="A47" s="31" t="s">
        <v>53</v>
      </c>
      <c r="B47" s="42">
        <f>'UL System'!B47-'UL BOS'!B47+LSUBR!B47+LSUA!B47+LSUS!B47+UNO!B47+SUBR!B47+SUNO!B47</f>
        <v>671928198.98000002</v>
      </c>
      <c r="C47" s="42">
        <f>'UL System'!C47-'UL BOS'!C47+LSUBR!C47+LSUA!C47+LSUS!C47+UNO!C47+SUBR!C47+SUNO!C47</f>
        <v>622156713</v>
      </c>
      <c r="D47" s="42">
        <f>'UL System'!D47-'UL BOS'!D47+LSUBR!D47+LSUA!D47+LSUS!D47+UNO!D47+SUBR!D47+SUNO!D47</f>
        <v>820390543</v>
      </c>
      <c r="E47" s="40">
        <f>D47-C47</f>
        <v>198233830</v>
      </c>
      <c r="F47" s="35">
        <f>IF(ISBLANK(E47),"  ",IF(C47&gt;0,E47/C47,IF(E47&gt;0,1,0)))</f>
        <v>0.31862362947773898</v>
      </c>
    </row>
    <row r="48" spans="1:10" s="13" customFormat="1" ht="26.25">
      <c r="A48" s="29" t="s">
        <v>50</v>
      </c>
      <c r="B48" s="34"/>
      <c r="C48" s="34"/>
      <c r="D48" s="34"/>
      <c r="E48" s="28"/>
      <c r="F48" s="20"/>
    </row>
    <row r="49" spans="1:13" s="36" customFormat="1" ht="26.25">
      <c r="A49" s="43" t="s">
        <v>54</v>
      </c>
      <c r="B49" s="42">
        <f>'UL System'!B49-'UL BOS'!B49+LSUBR!B49+LSUA!B49+LSUS!B49+UNO!B49+SUBR!B49+SUNO!B49</f>
        <v>0</v>
      </c>
      <c r="C49" s="42">
        <f>'UL System'!C49-'UL BOS'!C49+LSUBR!C49+LSUA!C49+LSUS!C49+UNO!C49+SUBR!C49+SUNO!C49</f>
        <v>0</v>
      </c>
      <c r="D49" s="42">
        <f>'UL System'!D49-'UL BOS'!D49+LSUBR!D49+LSUA!D49+LSUS!D49+UNO!D49+SUBR!D49+SUNO!D49</f>
        <v>0</v>
      </c>
      <c r="E49" s="44">
        <f>D49-C49</f>
        <v>0</v>
      </c>
      <c r="F49" s="35">
        <f>IF(ISBLANK(E49),"  ",IF(C49&gt;0,E49/C49,IF(E49&gt;0,1,0)))</f>
        <v>0</v>
      </c>
      <c r="M49" s="36" t="s">
        <v>50</v>
      </c>
    </row>
    <row r="50" spans="1:13" s="13" customFormat="1" ht="26.25">
      <c r="A50" s="31"/>
      <c r="B50" s="40"/>
      <c r="C50" s="40"/>
      <c r="D50" s="40"/>
      <c r="E50" s="19"/>
      <c r="F50" s="45"/>
    </row>
    <row r="51" spans="1:13" s="36" customFormat="1" ht="26.25">
      <c r="A51" s="31" t="s">
        <v>55</v>
      </c>
      <c r="B51" s="42">
        <f>'UL System'!B51-'UL BOS'!B51+LSUBR!B51+LSUA!B51+LSUS!B51+UNO!B51+SUBR!B51+SUNO!B51</f>
        <v>0</v>
      </c>
      <c r="C51" s="42">
        <f>'UL System'!C51-'UL BOS'!C51+LSUBR!C51+LSUA!C51+LSUS!C51+UNO!C51+SUBR!C51+SUNO!C51</f>
        <v>0</v>
      </c>
      <c r="D51" s="42">
        <f>'UL System'!D51-'UL BOS'!D51+LSUBR!D51+LSUA!D51+LSUS!D51+UNO!D51+SUBR!D51+SUNO!D51</f>
        <v>0</v>
      </c>
      <c r="E51" s="44">
        <f>D51-C51</f>
        <v>0</v>
      </c>
      <c r="F51" s="35">
        <f>IF(ISBLANK(E51),"  ",IF(C51&gt;0,E51/C51,IF(E51&gt;0,1,0)))</f>
        <v>0</v>
      </c>
    </row>
    <row r="52" spans="1:13" s="13" customFormat="1" ht="26.25">
      <c r="A52" s="29"/>
      <c r="B52" s="28"/>
      <c r="C52" s="34"/>
      <c r="D52" s="34"/>
      <c r="E52" s="28"/>
      <c r="F52" s="20"/>
    </row>
    <row r="53" spans="1:13" s="36" customFormat="1" ht="26.25">
      <c r="A53" s="46" t="s">
        <v>56</v>
      </c>
      <c r="B53" s="40">
        <f>B49+B47+B45+B43+B34-B41</f>
        <v>1425243881.8099999</v>
      </c>
      <c r="C53" s="40">
        <f>C49+C47+C45+C43+C34-C41</f>
        <v>1418766560</v>
      </c>
      <c r="D53" s="42">
        <f>D49+D47+D45+D43+D34-D41</f>
        <v>1408971230</v>
      </c>
      <c r="E53" s="40">
        <f>D53-C53</f>
        <v>-9795330</v>
      </c>
      <c r="F53" s="35">
        <f>IF(ISBLANK(E53),"  ",IF(C53&gt;0,E53/C53,IF(E53&gt;0,1,0)))</f>
        <v>-6.904116770274033E-3</v>
      </c>
    </row>
    <row r="54" spans="1:13" s="13" customFormat="1" ht="26.25">
      <c r="A54" s="47"/>
      <c r="B54" s="28"/>
      <c r="C54" s="34"/>
      <c r="D54" s="34"/>
      <c r="E54" s="28"/>
      <c r="F54" s="20" t="s">
        <v>50</v>
      </c>
    </row>
    <row r="55" spans="1:13" s="13" customFormat="1" ht="26.25">
      <c r="A55" s="48"/>
      <c r="B55" s="19"/>
      <c r="C55" s="40"/>
      <c r="D55" s="40"/>
      <c r="E55" s="19"/>
      <c r="F55" s="21" t="s">
        <v>50</v>
      </c>
    </row>
    <row r="56" spans="1:13" s="13" customFormat="1" ht="26.25">
      <c r="A56" s="46" t="s">
        <v>57</v>
      </c>
      <c r="B56" s="19"/>
      <c r="C56" s="40"/>
      <c r="D56" s="40"/>
      <c r="E56" s="19"/>
      <c r="F56" s="21"/>
    </row>
    <row r="57" spans="1:13" s="13" customFormat="1" ht="26.25">
      <c r="A57" s="27" t="s">
        <v>58</v>
      </c>
      <c r="B57" s="23">
        <f>'UL System'!B57-'UL BOS'!B57+LSUBR!B57+LSUA!B57+LSUS!B57+UNO!B57+SUBR!B57+SUNO!B57</f>
        <v>583661215.1500001</v>
      </c>
      <c r="C57" s="23">
        <f>'UL System'!C57-'UL BOS'!C57+LSUBR!C57+LSUA!C57+LSUS!C57+UNO!C57+SUBR!C57+SUNO!C57</f>
        <v>609676766.68000007</v>
      </c>
      <c r="D57" s="23">
        <f>'UL System'!D57-'UL BOS'!D57+LSUBR!D57+LSUA!D57+LSUS!D57+UNO!D57+SUBR!D57+SUNO!D57</f>
        <v>603695615.39999998</v>
      </c>
      <c r="E57" s="19">
        <f t="shared" ref="E57:E70" si="4">D57-C57</f>
        <v>-5981151.2800000906</v>
      </c>
      <c r="F57" s="24">
        <f t="shared" ref="F57:F70" si="5">IF(ISBLANK(E57),"  ",IF(C57&gt;0,E57/C57,IF(E57&gt;0,1,0)))</f>
        <v>-9.8103644535620076E-3</v>
      </c>
    </row>
    <row r="58" spans="1:13" s="13" customFormat="1" ht="26.25">
      <c r="A58" s="29" t="s">
        <v>59</v>
      </c>
      <c r="B58" s="23">
        <f>'UL System'!B58-'UL BOS'!B58+LSUBR!B58+LSUA!B58+LSUS!B58+UNO!B58+SUBR!B58+SUNO!B58</f>
        <v>98738444.300000012</v>
      </c>
      <c r="C58" s="23">
        <f>'UL System'!C58-'UL BOS'!C58+LSUBR!C58+LSUA!C58+LSUS!C58+UNO!C58+SUBR!C58+SUNO!C58</f>
        <v>100060361</v>
      </c>
      <c r="D58" s="23">
        <f>'UL System'!D58-'UL BOS'!D58+LSUBR!D58+LSUA!D58+LSUS!D58+UNO!D58+SUBR!D58+SUNO!D58</f>
        <v>99202290.599999994</v>
      </c>
      <c r="E58" s="28">
        <f t="shared" si="4"/>
        <v>-858070.40000000596</v>
      </c>
      <c r="F58" s="24">
        <f t="shared" si="5"/>
        <v>-8.575527725709544E-3</v>
      </c>
    </row>
    <row r="59" spans="1:13" s="13" customFormat="1" ht="26.25">
      <c r="A59" s="29" t="s">
        <v>60</v>
      </c>
      <c r="B59" s="23">
        <f>'UL System'!B59-'UL BOS'!B59+LSUBR!B59+LSUA!B59+LSUS!B59+UNO!B59+SUBR!B59+SUNO!B59</f>
        <v>13337468.609999999</v>
      </c>
      <c r="C59" s="23">
        <f>'UL System'!C59-'UL BOS'!C59+LSUBR!C59+LSUA!C59+LSUS!C59+UNO!C59+SUBR!C59+SUNO!C59</f>
        <v>11909090</v>
      </c>
      <c r="D59" s="23">
        <f>'UL System'!D59-'UL BOS'!D59+LSUBR!D59+LSUA!D59+LSUS!D59+UNO!D59+SUBR!D59+SUNO!D59</f>
        <v>11630495</v>
      </c>
      <c r="E59" s="28">
        <f t="shared" si="4"/>
        <v>-278595</v>
      </c>
      <c r="F59" s="24">
        <f t="shared" si="5"/>
        <v>-2.3393475068204203E-2</v>
      </c>
    </row>
    <row r="60" spans="1:13" s="13" customFormat="1" ht="26.25">
      <c r="A60" s="29" t="s">
        <v>61</v>
      </c>
      <c r="B60" s="23">
        <f>'UL System'!B60-'UL BOS'!B60+LSUBR!B60+LSUA!B60+LSUS!B60+UNO!B60+SUBR!B60+SUNO!B60</f>
        <v>147341222.47</v>
      </c>
      <c r="C60" s="23">
        <f>'UL System'!C60-'UL BOS'!C60+LSUBR!C60+LSUA!C60+LSUS!C60+UNO!C60+SUBR!C60+SUNO!C60</f>
        <v>148921832</v>
      </c>
      <c r="D60" s="23">
        <f>'UL System'!D60-'UL BOS'!D60+LSUBR!D60+LSUA!D60+LSUS!D60+UNO!D60+SUBR!D60+SUNO!D60</f>
        <v>144979104</v>
      </c>
      <c r="E60" s="28">
        <f t="shared" si="4"/>
        <v>-3942728</v>
      </c>
      <c r="F60" s="24">
        <f t="shared" si="5"/>
        <v>-2.6475151071200898E-2</v>
      </c>
    </row>
    <row r="61" spans="1:13" s="13" customFormat="1" ht="26.25">
      <c r="A61" s="29" t="s">
        <v>62</v>
      </c>
      <c r="B61" s="23">
        <f>'UL System'!B61-'UL BOS'!B61+LSUBR!B61+LSUA!B61+LSUS!B61+UNO!B61+SUBR!B61+SUNO!B61</f>
        <v>62967463.289999999</v>
      </c>
      <c r="C61" s="23">
        <f>'UL System'!C61-'UL BOS'!C61+LSUBR!C61+LSUA!C61+LSUS!C61+UNO!C61+SUBR!C61+SUNO!C61</f>
        <v>61447510</v>
      </c>
      <c r="D61" s="23">
        <f>'UL System'!D61-'UL BOS'!D61+LSUBR!D61+LSUA!D61+LSUS!D61+UNO!D61+SUBR!D61+SUNO!D61</f>
        <v>61244176</v>
      </c>
      <c r="E61" s="28">
        <f t="shared" si="4"/>
        <v>-203334</v>
      </c>
      <c r="F61" s="24">
        <f t="shared" si="5"/>
        <v>-3.3090681786780295E-3</v>
      </c>
    </row>
    <row r="62" spans="1:13" s="13" customFormat="1" ht="26.25">
      <c r="A62" s="29" t="s">
        <v>63</v>
      </c>
      <c r="B62" s="23">
        <f>'UL System'!B62-'UL BOS'!B62+LSUBR!B62+LSUA!B62+LSUS!B62+UNO!B62+SUBR!B62+SUNO!B62</f>
        <v>154717462.04999998</v>
      </c>
      <c r="C62" s="23">
        <f>'UL System'!C62-'UL BOS'!C62+LSUBR!C62+LSUA!C62+LSUS!C62+UNO!C62+SUBR!C62+SUNO!C62</f>
        <v>149337334.44</v>
      </c>
      <c r="D62" s="23">
        <f>'UL System'!D62-'UL BOS'!D62+LSUBR!D62+LSUA!D62+LSUS!D62+UNO!D62+SUBR!D62+SUNO!D62</f>
        <v>152721538</v>
      </c>
      <c r="E62" s="28">
        <f t="shared" si="4"/>
        <v>3384203.5600000024</v>
      </c>
      <c r="F62" s="24">
        <f t="shared" si="5"/>
        <v>2.2661470239109503E-2</v>
      </c>
    </row>
    <row r="63" spans="1:13" s="13" customFormat="1" ht="26.25">
      <c r="A63" s="29" t="s">
        <v>64</v>
      </c>
      <c r="B63" s="23">
        <f>'UL System'!B63-'UL BOS'!B63+LSUBR!B63+LSUA!B63+LSUS!B63+UNO!B63+SUBR!B63+SUNO!B63</f>
        <v>123275609.83999999</v>
      </c>
      <c r="C63" s="23">
        <f>'UL System'!C63-'UL BOS'!C63+LSUBR!C63+LSUA!C63+LSUS!C63+UNO!C63+SUBR!C63+SUNO!C63</f>
        <v>125517039</v>
      </c>
      <c r="D63" s="23">
        <f>'UL System'!D63-'UL BOS'!D63+LSUBR!D63+LSUA!D63+LSUS!D63+UNO!D63+SUBR!D63+SUNO!D63</f>
        <v>136414122</v>
      </c>
      <c r="E63" s="28">
        <f t="shared" si="4"/>
        <v>10897083</v>
      </c>
      <c r="F63" s="24">
        <f t="shared" si="5"/>
        <v>8.6817559486883689E-2</v>
      </c>
    </row>
    <row r="64" spans="1:13" s="13" customFormat="1" ht="26.25">
      <c r="A64" s="29" t="s">
        <v>65</v>
      </c>
      <c r="B64" s="23">
        <f>'UL System'!B64-'UL BOS'!B64+LSUBR!B64+LSUA!B64+LSUS!B64+UNO!B64+SUBR!B64+SUNO!B64</f>
        <v>175757893.35999998</v>
      </c>
      <c r="C64" s="23">
        <f>'UL System'!C64-'UL BOS'!C64+LSUBR!C64+LSUA!C64+LSUS!C64+UNO!C64+SUBR!C64+SUNO!C64</f>
        <v>168476417.74000001</v>
      </c>
      <c r="D64" s="23">
        <f>'UL System'!D64-'UL BOS'!D64+LSUBR!D64+LSUA!D64+LSUS!D64+UNO!D64+SUBR!D64+SUNO!D64</f>
        <v>163865224</v>
      </c>
      <c r="E64" s="28">
        <f t="shared" si="4"/>
        <v>-4611193.7400000095</v>
      </c>
      <c r="F64" s="24">
        <f t="shared" si="5"/>
        <v>-2.7369965493427101E-2</v>
      </c>
    </row>
    <row r="65" spans="1:6" s="36" customFormat="1" ht="26.25">
      <c r="A65" s="49" t="s">
        <v>66</v>
      </c>
      <c r="B65" s="264">
        <f>SUM(B57:B64)</f>
        <v>1359796779.0699999</v>
      </c>
      <c r="C65" s="51">
        <f>SUM(C57:C64)</f>
        <v>1375346350.8600001</v>
      </c>
      <c r="D65" s="51">
        <f>SUM(D57:D64)</f>
        <v>1373752565</v>
      </c>
      <c r="E65" s="34">
        <f t="shared" si="4"/>
        <v>-1593785.8600001335</v>
      </c>
      <c r="F65" s="35">
        <f t="shared" si="5"/>
        <v>-1.1588250908605995E-3</v>
      </c>
    </row>
    <row r="66" spans="1:6" s="13" customFormat="1" ht="26.25">
      <c r="A66" s="29" t="s">
        <v>67</v>
      </c>
      <c r="B66" s="23">
        <f>'UL System'!B66-'UL BOS'!B66+LSUBR!B66+LSUA!B66+LSUS!B66+UNO!B66+SUBR!B66+SUNO!B66</f>
        <v>0</v>
      </c>
      <c r="C66" s="23">
        <f>'UL System'!C66-'UL BOS'!C66+LSUBR!C66+LSUA!C66+LSUS!C66+UNO!C66+SUBR!C66+SUNO!C66</f>
        <v>0</v>
      </c>
      <c r="D66" s="23">
        <f>'UL System'!D66-'UL BOS'!D66+LSUBR!D66+LSUA!D66+LSUS!D66+UNO!D66+SUBR!D66+SUNO!D66</f>
        <v>0</v>
      </c>
      <c r="E66" s="28">
        <f t="shared" si="4"/>
        <v>0</v>
      </c>
      <c r="F66" s="24">
        <f t="shared" si="5"/>
        <v>0</v>
      </c>
    </row>
    <row r="67" spans="1:6" s="13" customFormat="1" ht="26.25">
      <c r="A67" s="29" t="s">
        <v>68</v>
      </c>
      <c r="B67" s="23">
        <f>'UL System'!B67-'UL BOS'!B67+LSUBR!B67+LSUA!B67+LSUS!B67+UNO!B67+SUBR!B67+SUNO!B67</f>
        <v>5410977.7799999993</v>
      </c>
      <c r="C67" s="23">
        <f>'UL System'!C67-'UL BOS'!C67+LSUBR!C67+LSUA!C67+LSUS!C67+UNO!C67+SUBR!C67+SUNO!C67</f>
        <v>4793488</v>
      </c>
      <c r="D67" s="23">
        <f>'UL System'!D67-'UL BOS'!D67+LSUBR!D67+LSUA!D67+LSUS!D67+UNO!D67+SUBR!D67+SUNO!D67</f>
        <v>5132547.84</v>
      </c>
      <c r="E67" s="28">
        <f t="shared" si="4"/>
        <v>339059.83999999985</v>
      </c>
      <c r="F67" s="24">
        <f t="shared" si="5"/>
        <v>7.0733428351129668E-2</v>
      </c>
    </row>
    <row r="68" spans="1:6" s="13" customFormat="1" ht="26.25">
      <c r="A68" s="29" t="s">
        <v>69</v>
      </c>
      <c r="B68" s="23">
        <f>'UL System'!B68-'UL BOS'!B68+LSUBR!B68+LSUA!B68+LSUS!B68+UNO!B68+SUBR!B68+SUNO!B68</f>
        <v>36800938.899999999</v>
      </c>
      <c r="C68" s="23">
        <f>'UL System'!C68-'UL BOS'!C68+LSUBR!C68+LSUA!C68+LSUS!C68+UNO!C68+SUBR!C68+SUNO!C68</f>
        <v>33635866</v>
      </c>
      <c r="D68" s="23">
        <f>'UL System'!D68-'UL BOS'!D68+LSUBR!D68+LSUA!D68+LSUS!D68+UNO!D68+SUBR!D68+SUNO!D68</f>
        <v>29279515</v>
      </c>
      <c r="E68" s="28">
        <f t="shared" si="4"/>
        <v>-4356351</v>
      </c>
      <c r="F68" s="24">
        <f t="shared" si="5"/>
        <v>-0.12951505396055507</v>
      </c>
    </row>
    <row r="69" spans="1:6" s="13" customFormat="1" ht="26.25">
      <c r="A69" s="29" t="s">
        <v>70</v>
      </c>
      <c r="B69" s="23">
        <f>'UL System'!B69-'UL BOS'!B69+LSUBR!B69+LSUA!B69+LSUS!B69+UNO!B69+SUBR!B69+SUNO!B69</f>
        <v>850737.5</v>
      </c>
      <c r="C69" s="23">
        <f>'UL System'!C69-'UL BOS'!C69+LSUBR!C69+LSUA!C69+LSUS!C69+UNO!C69+SUBR!C69+SUNO!C69</f>
        <v>881604</v>
      </c>
      <c r="D69" s="23">
        <f>'UL System'!D69-'UL BOS'!D69+LSUBR!D69+LSUA!D69+LSUS!D69+UNO!D69+SUBR!D69+SUNO!D69</f>
        <v>806604</v>
      </c>
      <c r="E69" s="28">
        <f t="shared" si="4"/>
        <v>-75000</v>
      </c>
      <c r="F69" s="24">
        <f t="shared" si="5"/>
        <v>-8.5072209291246412E-2</v>
      </c>
    </row>
    <row r="70" spans="1:6" s="36" customFormat="1" ht="26.25">
      <c r="A70" s="50" t="s">
        <v>71</v>
      </c>
      <c r="B70" s="51">
        <f>B69+B68+B67+B66+B65</f>
        <v>1402859433.25</v>
      </c>
      <c r="C70" s="51">
        <f>C69+C68+C67+C66+C65</f>
        <v>1414657308.8600001</v>
      </c>
      <c r="D70" s="51">
        <f>D69+D68+D67+D66+D65</f>
        <v>1408971231.8399999</v>
      </c>
      <c r="E70" s="51">
        <f t="shared" si="4"/>
        <v>-5686077.0200002193</v>
      </c>
      <c r="F70" s="35">
        <f t="shared" si="5"/>
        <v>-4.0194024265723669E-3</v>
      </c>
    </row>
    <row r="71" spans="1:6" s="13" customFormat="1" ht="26.25">
      <c r="A71" s="48"/>
      <c r="B71" s="19"/>
      <c r="C71" s="40"/>
      <c r="D71" s="40"/>
      <c r="E71" s="19"/>
      <c r="F71" s="21"/>
    </row>
    <row r="72" spans="1:6" s="13" customFormat="1" ht="26.25">
      <c r="A72" s="46" t="s">
        <v>72</v>
      </c>
      <c r="B72" s="19"/>
      <c r="C72" s="40"/>
      <c r="D72" s="40"/>
      <c r="E72" s="19"/>
      <c r="F72" s="21"/>
    </row>
    <row r="73" spans="1:6" s="13" customFormat="1" ht="26.25">
      <c r="A73" s="27" t="s">
        <v>73</v>
      </c>
      <c r="B73" s="23">
        <f>'UL System'!B73-'UL BOS'!B73+LSUBR!B73+LSUA!B73+LSUS!B73+UNO!B73+SUBR!B73+SUNO!B73</f>
        <v>715240657.59000003</v>
      </c>
      <c r="C73" s="23">
        <f>'UL System'!C73-'UL BOS'!C73+LSUBR!C73+LSUA!C73+LSUS!C73+UNO!C73+SUBR!C73+SUNO!C73</f>
        <v>730181276</v>
      </c>
      <c r="D73" s="23">
        <f>'UL System'!D73-'UL BOS'!D73+LSUBR!D73+LSUA!D73+LSUS!D73+UNO!D73+SUBR!D73+SUNO!D73</f>
        <v>713440251</v>
      </c>
      <c r="E73" s="19">
        <f t="shared" ref="E73:E91" si="6">D73-C73</f>
        <v>-16741025</v>
      </c>
      <c r="F73" s="24">
        <f t="shared" ref="F73:F91" si="7">IF(ISBLANK(E73),"  ",IF(C73&gt;0,E73/C73,IF(E73&gt;0,1,0)))</f>
        <v>-2.2927217596853306E-2</v>
      </c>
    </row>
    <row r="74" spans="1:6" s="13" customFormat="1" ht="26.25">
      <c r="A74" s="29" t="s">
        <v>74</v>
      </c>
      <c r="B74" s="23">
        <f>'UL System'!B74-'UL BOS'!B74+LSUBR!B74+LSUA!B74+LSUS!B74+UNO!B74+SUBR!B74+SUNO!B74</f>
        <v>41225068.430000007</v>
      </c>
      <c r="C74" s="23">
        <f>'UL System'!C74-'UL BOS'!C74+LSUBR!C74+LSUA!C74+LSUS!C74+UNO!C74+SUBR!C74+SUNO!C74</f>
        <v>38415495</v>
      </c>
      <c r="D74" s="23">
        <f>'UL System'!D74-'UL BOS'!D74+LSUBR!D74+LSUA!D74+LSUS!D74+UNO!D74+SUBR!D74+SUNO!D74</f>
        <v>38542985</v>
      </c>
      <c r="E74" s="28">
        <f t="shared" si="6"/>
        <v>127490</v>
      </c>
      <c r="F74" s="24">
        <f t="shared" si="7"/>
        <v>3.3187129308108617E-3</v>
      </c>
    </row>
    <row r="75" spans="1:6" s="13" customFormat="1" ht="26.25">
      <c r="A75" s="29" t="s">
        <v>75</v>
      </c>
      <c r="B75" s="23">
        <f>'UL System'!B75-'UL BOS'!B75+LSUBR!B75+LSUA!B75+LSUS!B75+UNO!B75+SUBR!B75+SUNO!B75</f>
        <v>247564329</v>
      </c>
      <c r="C75" s="23">
        <f>'UL System'!C75-'UL BOS'!C75+LSUBR!C75+LSUA!C75+LSUS!C75+UNO!C75+SUBR!C75+SUNO!C75</f>
        <v>253867192.86000001</v>
      </c>
      <c r="D75" s="23">
        <f>'UL System'!D75-'UL BOS'!D75+LSUBR!D75+LSUA!D75+LSUS!D75+UNO!D75+SUBR!D75+SUNO!D75</f>
        <v>276582051</v>
      </c>
      <c r="E75" s="28">
        <f t="shared" si="6"/>
        <v>22714858.139999986</v>
      </c>
      <c r="F75" s="24">
        <f t="shared" si="7"/>
        <v>8.9475358686959341E-2</v>
      </c>
    </row>
    <row r="76" spans="1:6" s="36" customFormat="1" ht="26.25">
      <c r="A76" s="49" t="s">
        <v>76</v>
      </c>
      <c r="B76" s="51">
        <f>SUM(B73:B75)</f>
        <v>1004030055.02</v>
      </c>
      <c r="C76" s="51">
        <f>SUM(C73:C75)</f>
        <v>1022463963.86</v>
      </c>
      <c r="D76" s="51">
        <f>SUM(D73:D75)</f>
        <v>1028565287</v>
      </c>
      <c r="E76" s="34">
        <f t="shared" si="6"/>
        <v>6101323.1399999857</v>
      </c>
      <c r="F76" s="35">
        <f t="shared" si="7"/>
        <v>5.9672745012609597E-3</v>
      </c>
    </row>
    <row r="77" spans="1:6" s="13" customFormat="1" ht="26.25">
      <c r="A77" s="29" t="s">
        <v>77</v>
      </c>
      <c r="B77" s="23">
        <f>'UL System'!B77-'UL BOS'!B77+LSUBR!B77+LSUA!B77+LSUS!B77+UNO!B77+SUBR!B77+SUNO!B77</f>
        <v>6096280.6799999988</v>
      </c>
      <c r="C77" s="23">
        <f>'UL System'!C77-'UL BOS'!C77+LSUBR!C77+LSUA!C77+LSUS!C77+UNO!C77+SUBR!C77+SUNO!C77</f>
        <v>6200622</v>
      </c>
      <c r="D77" s="23">
        <f>'UL System'!D77-'UL BOS'!D77+LSUBR!D77+LSUA!D77+LSUS!D77+UNO!D77+SUBR!D77+SUNO!D77</f>
        <v>6702140</v>
      </c>
      <c r="E77" s="28">
        <f t="shared" si="6"/>
        <v>501518</v>
      </c>
      <c r="F77" s="24">
        <f t="shared" si="7"/>
        <v>8.0881885720497079E-2</v>
      </c>
    </row>
    <row r="78" spans="1:6" s="13" customFormat="1" ht="26.25">
      <c r="A78" s="29" t="s">
        <v>78</v>
      </c>
      <c r="B78" s="23">
        <f>'UL System'!B78-'UL BOS'!B78+LSUBR!B78+LSUA!B78+LSUS!B78+UNO!B78+SUBR!B78+SUNO!B78</f>
        <v>100302903.62</v>
      </c>
      <c r="C78" s="23">
        <f>'UL System'!C78-'UL BOS'!C78+LSUBR!C78+LSUA!C78+LSUS!C78+UNO!C78+SUBR!C78+SUNO!C78</f>
        <v>103532585</v>
      </c>
      <c r="D78" s="23">
        <f>'UL System'!D78-'UL BOS'!D78+LSUBR!D78+LSUA!D78+LSUS!D78+UNO!D78+SUBR!D78+SUNO!D78</f>
        <v>101969707</v>
      </c>
      <c r="E78" s="28">
        <f t="shared" si="6"/>
        <v>-1562878</v>
      </c>
      <c r="F78" s="24">
        <f t="shared" si="7"/>
        <v>-1.5095517995614618E-2</v>
      </c>
    </row>
    <row r="79" spans="1:6" s="13" customFormat="1" ht="26.25">
      <c r="A79" s="29" t="s">
        <v>79</v>
      </c>
      <c r="B79" s="23">
        <f>'UL System'!B79-'UL BOS'!B79+LSUBR!B79+LSUA!B79+LSUS!B79+UNO!B79+SUBR!B79+SUNO!B79</f>
        <v>32860989.190000001</v>
      </c>
      <c r="C79" s="23">
        <f>'UL System'!C79-'UL BOS'!C79+LSUBR!C79+LSUA!C79+LSUS!C79+UNO!C79+SUBR!C79+SUNO!C79</f>
        <v>29888803</v>
      </c>
      <c r="D79" s="23">
        <f>'UL System'!D79-'UL BOS'!D79+LSUBR!D79+LSUA!D79+LSUS!D79+UNO!D79+SUBR!D79+SUNO!D79</f>
        <v>27571595</v>
      </c>
      <c r="E79" s="28">
        <f t="shared" si="6"/>
        <v>-2317208</v>
      </c>
      <c r="F79" s="24">
        <f t="shared" si="7"/>
        <v>-7.7527627988313891E-2</v>
      </c>
    </row>
    <row r="80" spans="1:6" s="36" customFormat="1" ht="26.25">
      <c r="A80" s="32" t="s">
        <v>80</v>
      </c>
      <c r="B80" s="51">
        <f>SUM(B77:B79)</f>
        <v>139260173.49000001</v>
      </c>
      <c r="C80" s="51">
        <f>SUM(C77:C79)</f>
        <v>139622010</v>
      </c>
      <c r="D80" s="51">
        <f>SUM(D77:D79)</f>
        <v>136243442</v>
      </c>
      <c r="E80" s="34">
        <f t="shared" si="6"/>
        <v>-3378568</v>
      </c>
      <c r="F80" s="35">
        <f t="shared" si="7"/>
        <v>-2.4197961338617027E-2</v>
      </c>
    </row>
    <row r="81" spans="1:6" s="13" customFormat="1" ht="26.25">
      <c r="A81" s="29" t="s">
        <v>81</v>
      </c>
      <c r="B81" s="23">
        <f>'UL System'!B81-'UL BOS'!B81+LSUBR!B81+LSUA!B81+LSUS!B81+UNO!B81+SUBR!B81+SUNO!B81</f>
        <v>10502402.700000001</v>
      </c>
      <c r="C81" s="23">
        <f>'UL System'!C81-'UL BOS'!C81+LSUBR!C81+LSUA!C81+LSUS!C81+UNO!C81+SUBR!C81+SUNO!C81</f>
        <v>8241575</v>
      </c>
      <c r="D81" s="23">
        <f>'UL System'!D81-'UL BOS'!D81+LSUBR!D81+LSUA!D81+LSUS!D81+UNO!D81+SUBR!D81+SUNO!D81</f>
        <v>8146441</v>
      </c>
      <c r="E81" s="28">
        <f t="shared" si="6"/>
        <v>-95134</v>
      </c>
      <c r="F81" s="24">
        <f t="shared" si="7"/>
        <v>-1.1543181976745949E-2</v>
      </c>
    </row>
    <row r="82" spans="1:6" s="13" customFormat="1" ht="26.25">
      <c r="A82" s="29" t="s">
        <v>82</v>
      </c>
      <c r="B82" s="23">
        <f>'UL System'!B82-'UL BOS'!B82+LSUBR!B82+LSUA!B82+LSUS!B82+UNO!B82+SUBR!B82+SUNO!B82</f>
        <v>193134593.49000001</v>
      </c>
      <c r="C82" s="23">
        <f>'UL System'!C82-'UL BOS'!C82+LSUBR!C82+LSUA!C82+LSUS!C82+UNO!C82+SUBR!C82+SUNO!C82</f>
        <v>185961417</v>
      </c>
      <c r="D82" s="23">
        <f>'UL System'!D82-'UL BOS'!D82+LSUBR!D82+LSUA!D82+LSUS!D82+UNO!D82+SUBR!D82+SUNO!D82</f>
        <v>189873799</v>
      </c>
      <c r="E82" s="28">
        <f t="shared" si="6"/>
        <v>3912382</v>
      </c>
      <c r="F82" s="24">
        <f t="shared" si="7"/>
        <v>2.1038675995892202E-2</v>
      </c>
    </row>
    <row r="83" spans="1:6" s="13" customFormat="1" ht="26.25">
      <c r="A83" s="29" t="s">
        <v>83</v>
      </c>
      <c r="B83" s="23">
        <f>'UL System'!B83-'UL BOS'!B83+LSUBR!B83+LSUA!B83+LSUS!B83+UNO!B83+SUBR!B83+SUNO!B83</f>
        <v>0</v>
      </c>
      <c r="C83" s="23">
        <f>'UL System'!C83-'UL BOS'!C83+LSUBR!C83+LSUA!C83+LSUS!C83+UNO!C83+SUBR!C83+SUNO!C83</f>
        <v>0</v>
      </c>
      <c r="D83" s="23">
        <f>'UL System'!D83-'UL BOS'!D83+LSUBR!D83+LSUA!D83+LSUS!D83+UNO!D83+SUBR!D83+SUNO!D83</f>
        <v>0</v>
      </c>
      <c r="E83" s="28">
        <f t="shared" si="6"/>
        <v>0</v>
      </c>
      <c r="F83" s="24">
        <f t="shared" si="7"/>
        <v>0</v>
      </c>
    </row>
    <row r="84" spans="1:6" s="13" customFormat="1" ht="26.25">
      <c r="A84" s="29" t="s">
        <v>84</v>
      </c>
      <c r="B84" s="23">
        <f>'UL System'!B84-'UL BOS'!B84+LSUBR!B84+LSUA!B84+LSUS!B84+UNO!B84+SUBR!B84+SUNO!B84</f>
        <v>22503658.780000001</v>
      </c>
      <c r="C84" s="23">
        <f>'UL System'!C84-'UL BOS'!C84+LSUBR!C84+LSUA!C84+LSUS!C84+UNO!C84+SUBR!C84+SUNO!C84</f>
        <v>22342241</v>
      </c>
      <c r="D84" s="23">
        <f>'UL System'!D84-'UL BOS'!D84+LSUBR!D84+LSUA!D84+LSUS!D84+UNO!D84+SUBR!D84+SUNO!D84</f>
        <v>21186702.84</v>
      </c>
      <c r="E84" s="28">
        <f t="shared" si="6"/>
        <v>-1155538.1600000001</v>
      </c>
      <c r="F84" s="24">
        <f t="shared" si="7"/>
        <v>-5.1719886111693099E-2</v>
      </c>
    </row>
    <row r="85" spans="1:6" s="36" customFormat="1" ht="26.25">
      <c r="A85" s="32" t="s">
        <v>85</v>
      </c>
      <c r="B85" s="264">
        <f>SUM(B81:B84)</f>
        <v>226140654.97</v>
      </c>
      <c r="C85" s="51">
        <f>SUM(C81:C84)</f>
        <v>216545233</v>
      </c>
      <c r="D85" s="51">
        <f>SUM(D81:D84)</f>
        <v>219206942.84</v>
      </c>
      <c r="E85" s="34">
        <f t="shared" si="6"/>
        <v>2661709.8400000036</v>
      </c>
      <c r="F85" s="35">
        <f t="shared" si="7"/>
        <v>1.2291703692225835E-2</v>
      </c>
    </row>
    <row r="86" spans="1:6" s="13" customFormat="1" ht="26.25">
      <c r="A86" s="29" t="s">
        <v>86</v>
      </c>
      <c r="B86" s="23">
        <f>'UL System'!B86-'UL BOS'!B86+LSUBR!B86+LSUA!B86+LSUS!B86+UNO!B86+SUBR!B86+SUNO!B86</f>
        <v>16390528.629999999</v>
      </c>
      <c r="C86" s="23">
        <f>'UL System'!C86-'UL BOS'!C86+LSUBR!C86+LSUA!C86+LSUS!C86+UNO!C86+SUBR!C86+SUNO!C86</f>
        <v>18730924</v>
      </c>
      <c r="D86" s="23">
        <f>'UL System'!D86-'UL BOS'!D86+LSUBR!D86+LSUA!D86+LSUS!D86+UNO!D86+SUBR!D86+SUNO!D86</f>
        <v>12793204</v>
      </c>
      <c r="E86" s="28">
        <f t="shared" si="6"/>
        <v>-5937720</v>
      </c>
      <c r="F86" s="24">
        <f t="shared" si="7"/>
        <v>-0.31700091250170037</v>
      </c>
    </row>
    <row r="87" spans="1:6" s="13" customFormat="1" ht="26.25">
      <c r="A87" s="29" t="s">
        <v>87</v>
      </c>
      <c r="B87" s="23">
        <f>'UL System'!B87-'UL BOS'!B87+LSUBR!B87+LSUA!B87+LSUS!B87+UNO!B87+SUBR!B87+SUNO!B87</f>
        <v>13186936.360000001</v>
      </c>
      <c r="C87" s="23">
        <f>'UL System'!C87-'UL BOS'!C87+LSUBR!C87+LSUA!C87+LSUS!C87+UNO!C87+SUBR!C87+SUNO!C87</f>
        <v>12453209</v>
      </c>
      <c r="D87" s="23">
        <f>'UL System'!D87-'UL BOS'!D87+LSUBR!D87+LSUA!D87+LSUS!D87+UNO!D87+SUBR!D87+SUNO!D87</f>
        <v>10346985</v>
      </c>
      <c r="E87" s="28">
        <f t="shared" si="6"/>
        <v>-2106224</v>
      </c>
      <c r="F87" s="24">
        <f t="shared" si="7"/>
        <v>-0.16913102478244765</v>
      </c>
    </row>
    <row r="88" spans="1:6" s="13" customFormat="1" ht="26.25">
      <c r="A88" s="38" t="s">
        <v>88</v>
      </c>
      <c r="B88" s="23">
        <f>'UL System'!B88-'UL BOS'!B88+LSUBR!B88+LSUA!B88+LSUS!B88+UNO!B88+SUBR!B88+SUNO!B88</f>
        <v>3851075.7800000003</v>
      </c>
      <c r="C88" s="23">
        <f>'UL System'!C88-'UL BOS'!C88+LSUBR!C88+LSUA!C88+LSUS!C88+UNO!C88+SUBR!C88+SUNO!C88</f>
        <v>4841969</v>
      </c>
      <c r="D88" s="23">
        <f>'UL System'!D88-'UL BOS'!D88+LSUBR!D88+LSUA!D88+LSUS!D88+UNO!D88+SUBR!D88+SUNO!D88</f>
        <v>1815370</v>
      </c>
      <c r="E88" s="28">
        <f t="shared" si="6"/>
        <v>-3026599</v>
      </c>
      <c r="F88" s="24">
        <f t="shared" si="7"/>
        <v>-0.62507607958663103</v>
      </c>
    </row>
    <row r="89" spans="1:6" s="36" customFormat="1" ht="26.25">
      <c r="A89" s="52" t="s">
        <v>89</v>
      </c>
      <c r="B89" s="51">
        <f>SUM(B86:B88)</f>
        <v>33428540.770000003</v>
      </c>
      <c r="C89" s="51">
        <f>SUM(C86:C88)</f>
        <v>36026102</v>
      </c>
      <c r="D89" s="51">
        <f>SUM(D86:D88)</f>
        <v>24955559</v>
      </c>
      <c r="E89" s="51">
        <f t="shared" si="6"/>
        <v>-11070543</v>
      </c>
      <c r="F89" s="35">
        <f t="shared" si="7"/>
        <v>-0.30729227935900477</v>
      </c>
    </row>
    <row r="90" spans="1:6" s="13" customFormat="1" ht="26.25">
      <c r="A90" s="38" t="s">
        <v>90</v>
      </c>
      <c r="B90" s="23">
        <f>'UL System'!B90-'UL BOS'!B90+LSUBR!B90+LSUA!B90+LSUS!B90+UNO!B90+SUBR!B90+SUNO!B90</f>
        <v>0</v>
      </c>
      <c r="C90" s="23">
        <f>'UL System'!C90-'UL BOS'!C90+LSUBR!C90+LSUA!C90+LSUS!C90+UNO!C90+SUBR!C90+SUNO!C90</f>
        <v>0</v>
      </c>
      <c r="D90" s="23">
        <f>'UL System'!D90-'UL BOS'!D90+LSUBR!D90+LSUA!D90+LSUS!D90+UNO!D90+SUBR!D90+SUNO!D90</f>
        <v>0</v>
      </c>
      <c r="E90" s="28">
        <f t="shared" si="6"/>
        <v>0</v>
      </c>
      <c r="F90" s="24">
        <f t="shared" si="7"/>
        <v>0</v>
      </c>
    </row>
    <row r="91" spans="1:6" s="36" customFormat="1" ht="27" thickBot="1">
      <c r="A91" s="53" t="s">
        <v>71</v>
      </c>
      <c r="B91" s="54">
        <f>B89+B85+B80+B76+B90</f>
        <v>1402859424.25</v>
      </c>
      <c r="C91" s="54">
        <f>C89+C85+C80+C76+C90</f>
        <v>1414657308.8600001</v>
      </c>
      <c r="D91" s="55">
        <f>D89+D85+D80+D76+D90</f>
        <v>1408971230.8400002</v>
      </c>
      <c r="E91" s="54">
        <f t="shared" si="6"/>
        <v>-5686078.0199999809</v>
      </c>
      <c r="F91" s="56">
        <f t="shared" si="7"/>
        <v>-4.0194031334571763E-3</v>
      </c>
    </row>
    <row r="92" spans="1:6" s="60" customFormat="1" ht="32.25" thickBot="1">
      <c r="A92" s="57"/>
      <c r="B92" s="58"/>
      <c r="C92" s="58"/>
      <c r="D92" s="58"/>
      <c r="E92" s="59"/>
      <c r="F92" s="59"/>
    </row>
    <row r="93" spans="1:6" s="13" customFormat="1" ht="26.25">
      <c r="A93" s="160" t="s">
        <v>143</v>
      </c>
      <c r="B93" s="252"/>
      <c r="C93" s="252"/>
      <c r="D93" s="252"/>
      <c r="E93" s="161"/>
      <c r="F93" s="163"/>
    </row>
    <row r="94" spans="1:6" s="13" customFormat="1" ht="26.25">
      <c r="A94" s="164" t="s">
        <v>121</v>
      </c>
      <c r="B94" s="253">
        <v>0</v>
      </c>
      <c r="C94" s="253">
        <v>0</v>
      </c>
      <c r="D94" s="253">
        <f>'LSU BOS'!D94+LSUBR!D94+LSUA!D94+LSUS!D94+UNO!D94+LSUE!D94+LSULAW!D94+LSUAG!D94+Penn!D94+EAConway!D94+HPLong!D94+HSCNO!D94+HSCS!D94</f>
        <v>0</v>
      </c>
      <c r="E94" s="19">
        <f>D94-C94</f>
        <v>0</v>
      </c>
      <c r="F94" s="24">
        <f>IF(ISBLANK(E94),"  ",IF(C94&gt;0,E94/C94,IF(E94&gt;0,1,0)))</f>
        <v>0</v>
      </c>
    </row>
    <row r="95" spans="1:6" s="13" customFormat="1" ht="26.25">
      <c r="A95" s="168" t="s">
        <v>45</v>
      </c>
      <c r="B95" s="253">
        <f>'LSU BOS'!B95+LSUBR!B95+LSUA!B95+LSUS!B95+UNO!B95+LSUE!B95+LSULAW!B95+LSUAG!B95+Penn!B95+EAConway!B95+HPLong!B95+HSCNO!B95+HSCS!B95</f>
        <v>0</v>
      </c>
      <c r="C95" s="253">
        <f>'LSU BOS'!C95+LSUBR!C95+LSUA!C95+LSUS!C95+UNO!C95+LSUE!C95+LSULAW!C95+LSUAG!C95+Penn!C95+EAConway!C95+HPLong!C95+HSCNO!C95+HSCS!C95</f>
        <v>0</v>
      </c>
      <c r="D95" s="253">
        <f>'LSU BOS'!D95+LSUBR!D95+LSUA!D95+LSUS!D95+UNO!D95+LSUE!D95+LSULAW!D95+LSUAG!D95+Penn!D95+EAConway!D95+HPLong!D95+HSCNO!D95+HSCS!D95</f>
        <v>0</v>
      </c>
      <c r="E95" s="28">
        <f>D95-C95</f>
        <v>0</v>
      </c>
      <c r="F95" s="24">
        <f>IF(ISBLANK(E95),"  ",IF(C95&gt;0,E95/C95,IF(E95&gt;0,1,0)))</f>
        <v>0</v>
      </c>
    </row>
    <row r="96" spans="1:6" s="13" customFormat="1" ht="26.25">
      <c r="A96" s="168" t="s">
        <v>122</v>
      </c>
      <c r="B96" s="253">
        <f>LSUBR!B96+LSUA!B96+LSUS!B96+UNO!B96</f>
        <v>22384454</v>
      </c>
      <c r="C96" s="253">
        <f>LSUBR!C96+LSUA!C96+LSUS!C96+UNO!C96</f>
        <v>4109252</v>
      </c>
      <c r="D96" s="253">
        <f>LSUBR!D96+LSUA!D96+LSUS!D96+UNO!D96</f>
        <v>0</v>
      </c>
      <c r="E96" s="28">
        <f>D96-C96</f>
        <v>-4109252</v>
      </c>
      <c r="F96" s="24">
        <f>IF(ISBLANK(E96),"  ",IF(C96&gt;0,E96/C96,IF(E96&gt;0,1,0)))</f>
        <v>-1</v>
      </c>
    </row>
    <row r="97" spans="1:10" s="13" customFormat="1" ht="26.25" hidden="1">
      <c r="A97" s="168" t="s">
        <v>47</v>
      </c>
      <c r="B97" s="253">
        <v>0</v>
      </c>
      <c r="C97" s="253">
        <v>0</v>
      </c>
      <c r="D97" s="253"/>
      <c r="E97" s="169">
        <v>0</v>
      </c>
      <c r="F97" s="167">
        <v>0</v>
      </c>
    </row>
    <row r="98" spans="1:10" s="13" customFormat="1" ht="26.25" hidden="1">
      <c r="A98" s="170" t="s">
        <v>48</v>
      </c>
      <c r="B98" s="253">
        <v>0</v>
      </c>
      <c r="C98" s="253">
        <v>0</v>
      </c>
      <c r="D98" s="253"/>
      <c r="E98" s="169">
        <v>0</v>
      </c>
      <c r="F98" s="167">
        <v>0</v>
      </c>
    </row>
    <row r="99" spans="1:10" s="36" customFormat="1" ht="27" thickBot="1">
      <c r="A99" s="171" t="s">
        <v>49</v>
      </c>
      <c r="B99" s="254">
        <f>SUM(B94:B96)</f>
        <v>22384454</v>
      </c>
      <c r="C99" s="254">
        <f>SUM(C94:C96)</f>
        <v>4109252</v>
      </c>
      <c r="D99" s="254">
        <f>SUM(D94:D96)</f>
        <v>0</v>
      </c>
      <c r="E99" s="266">
        <f>D99-C99</f>
        <v>-4109252</v>
      </c>
      <c r="F99" s="265">
        <f>IF(ISBLANK(E99),"  ",IF(C99&gt;0,E99/C99,IF(E99&gt;0,1,0)))</f>
        <v>-1</v>
      </c>
      <c r="J99" s="36" t="s">
        <v>50</v>
      </c>
    </row>
    <row r="100" spans="1:10" s="36" customFormat="1" ht="26.25">
      <c r="A100" s="175"/>
      <c r="B100" s="176"/>
      <c r="C100" s="176"/>
      <c r="D100" s="176"/>
      <c r="E100" s="176"/>
      <c r="F100" s="177"/>
    </row>
    <row r="101" spans="1:10" s="60" customFormat="1" ht="31.5">
      <c r="A101" s="61" t="s">
        <v>91</v>
      </c>
      <c r="B101" s="62"/>
      <c r="C101" s="62"/>
      <c r="D101" s="62"/>
      <c r="E101" s="59"/>
      <c r="F101" s="59"/>
    </row>
    <row r="102" spans="1:10" s="60" customFormat="1" ht="31.5">
      <c r="A102" s="61" t="s">
        <v>92</v>
      </c>
      <c r="B102" s="62"/>
      <c r="C102" s="62"/>
      <c r="D102" s="62"/>
      <c r="E102" s="59"/>
      <c r="F102" s="59"/>
    </row>
    <row r="103" spans="1:10">
      <c r="A103" s="63" t="s">
        <v>50</v>
      </c>
      <c r="B103" s="64"/>
      <c r="C103" s="64"/>
      <c r="D103" s="64"/>
    </row>
  </sheetData>
  <pageMargins left="0.7" right="0.7" top="0.32" bottom="0.3" header="0.3" footer="0.3"/>
  <pageSetup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3"/>
  <sheetViews>
    <sheetView topLeftCell="A67" zoomScale="60" zoomScaleNormal="60" workbookViewId="0">
      <selection activeCell="B8" sqref="B8:B99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7.85546875" style="65" customWidth="1"/>
    <col min="6" max="6" width="27" style="65" customWidth="1"/>
    <col min="7" max="254" width="9.140625" style="65"/>
    <col min="255" max="255" width="121.140625" style="65" customWidth="1"/>
    <col min="256" max="256" width="32.7109375" style="65" customWidth="1"/>
    <col min="257" max="258" width="32.85546875" style="65" customWidth="1"/>
    <col min="259" max="259" width="29.7109375" style="65" customWidth="1"/>
    <col min="260" max="260" width="25.5703125" style="65" customWidth="1"/>
    <col min="261" max="261" width="35.42578125" style="65" customWidth="1"/>
    <col min="262" max="262" width="25.140625" style="65" customWidth="1"/>
    <col min="263" max="510" width="9.140625" style="65"/>
    <col min="511" max="511" width="121.140625" style="65" customWidth="1"/>
    <col min="512" max="512" width="32.7109375" style="65" customWidth="1"/>
    <col min="513" max="514" width="32.85546875" style="65" customWidth="1"/>
    <col min="515" max="515" width="29.7109375" style="65" customWidth="1"/>
    <col min="516" max="516" width="25.5703125" style="65" customWidth="1"/>
    <col min="517" max="517" width="35.42578125" style="65" customWidth="1"/>
    <col min="518" max="518" width="25.140625" style="65" customWidth="1"/>
    <col min="519" max="766" width="9.140625" style="65"/>
    <col min="767" max="767" width="121.140625" style="65" customWidth="1"/>
    <col min="768" max="768" width="32.7109375" style="65" customWidth="1"/>
    <col min="769" max="770" width="32.85546875" style="65" customWidth="1"/>
    <col min="771" max="771" width="29.7109375" style="65" customWidth="1"/>
    <col min="772" max="772" width="25.5703125" style="65" customWidth="1"/>
    <col min="773" max="773" width="35.42578125" style="65" customWidth="1"/>
    <col min="774" max="774" width="25.140625" style="65" customWidth="1"/>
    <col min="775" max="1022" width="9.140625" style="65"/>
    <col min="1023" max="1023" width="121.140625" style="65" customWidth="1"/>
    <col min="1024" max="1024" width="32.7109375" style="65" customWidth="1"/>
    <col min="1025" max="1026" width="32.85546875" style="65" customWidth="1"/>
    <col min="1027" max="1027" width="29.7109375" style="65" customWidth="1"/>
    <col min="1028" max="1028" width="25.5703125" style="65" customWidth="1"/>
    <col min="1029" max="1029" width="35.42578125" style="65" customWidth="1"/>
    <col min="1030" max="1030" width="25.140625" style="65" customWidth="1"/>
    <col min="1031" max="1278" width="9.140625" style="65"/>
    <col min="1279" max="1279" width="121.140625" style="65" customWidth="1"/>
    <col min="1280" max="1280" width="32.7109375" style="65" customWidth="1"/>
    <col min="1281" max="1282" width="32.85546875" style="65" customWidth="1"/>
    <col min="1283" max="1283" width="29.7109375" style="65" customWidth="1"/>
    <col min="1284" max="1284" width="25.5703125" style="65" customWidth="1"/>
    <col min="1285" max="1285" width="35.42578125" style="65" customWidth="1"/>
    <col min="1286" max="1286" width="25.140625" style="65" customWidth="1"/>
    <col min="1287" max="1534" width="9.140625" style="65"/>
    <col min="1535" max="1535" width="121.140625" style="65" customWidth="1"/>
    <col min="1536" max="1536" width="32.7109375" style="65" customWidth="1"/>
    <col min="1537" max="1538" width="32.85546875" style="65" customWidth="1"/>
    <col min="1539" max="1539" width="29.7109375" style="65" customWidth="1"/>
    <col min="1540" max="1540" width="25.5703125" style="65" customWidth="1"/>
    <col min="1541" max="1541" width="35.42578125" style="65" customWidth="1"/>
    <col min="1542" max="1542" width="25.140625" style="65" customWidth="1"/>
    <col min="1543" max="1790" width="9.140625" style="65"/>
    <col min="1791" max="1791" width="121.140625" style="65" customWidth="1"/>
    <col min="1792" max="1792" width="32.7109375" style="65" customWidth="1"/>
    <col min="1793" max="1794" width="32.85546875" style="65" customWidth="1"/>
    <col min="1795" max="1795" width="29.7109375" style="65" customWidth="1"/>
    <col min="1796" max="1796" width="25.5703125" style="65" customWidth="1"/>
    <col min="1797" max="1797" width="35.42578125" style="65" customWidth="1"/>
    <col min="1798" max="1798" width="25.140625" style="65" customWidth="1"/>
    <col min="1799" max="2046" width="9.140625" style="65"/>
    <col min="2047" max="2047" width="121.140625" style="65" customWidth="1"/>
    <col min="2048" max="2048" width="32.7109375" style="65" customWidth="1"/>
    <col min="2049" max="2050" width="32.85546875" style="65" customWidth="1"/>
    <col min="2051" max="2051" width="29.7109375" style="65" customWidth="1"/>
    <col min="2052" max="2052" width="25.5703125" style="65" customWidth="1"/>
    <col min="2053" max="2053" width="35.42578125" style="65" customWidth="1"/>
    <col min="2054" max="2054" width="25.140625" style="65" customWidth="1"/>
    <col min="2055" max="2302" width="9.140625" style="65"/>
    <col min="2303" max="2303" width="121.140625" style="65" customWidth="1"/>
    <col min="2304" max="2304" width="32.7109375" style="65" customWidth="1"/>
    <col min="2305" max="2306" width="32.85546875" style="65" customWidth="1"/>
    <col min="2307" max="2307" width="29.7109375" style="65" customWidth="1"/>
    <col min="2308" max="2308" width="25.5703125" style="65" customWidth="1"/>
    <col min="2309" max="2309" width="35.42578125" style="65" customWidth="1"/>
    <col min="2310" max="2310" width="25.140625" style="65" customWidth="1"/>
    <col min="2311" max="2558" width="9.140625" style="65"/>
    <col min="2559" max="2559" width="121.140625" style="65" customWidth="1"/>
    <col min="2560" max="2560" width="32.7109375" style="65" customWidth="1"/>
    <col min="2561" max="2562" width="32.85546875" style="65" customWidth="1"/>
    <col min="2563" max="2563" width="29.7109375" style="65" customWidth="1"/>
    <col min="2564" max="2564" width="25.5703125" style="65" customWidth="1"/>
    <col min="2565" max="2565" width="35.42578125" style="65" customWidth="1"/>
    <col min="2566" max="2566" width="25.140625" style="65" customWidth="1"/>
    <col min="2567" max="2814" width="9.140625" style="65"/>
    <col min="2815" max="2815" width="121.140625" style="65" customWidth="1"/>
    <col min="2816" max="2816" width="32.7109375" style="65" customWidth="1"/>
    <col min="2817" max="2818" width="32.85546875" style="65" customWidth="1"/>
    <col min="2819" max="2819" width="29.7109375" style="65" customWidth="1"/>
    <col min="2820" max="2820" width="25.5703125" style="65" customWidth="1"/>
    <col min="2821" max="2821" width="35.42578125" style="65" customWidth="1"/>
    <col min="2822" max="2822" width="25.140625" style="65" customWidth="1"/>
    <col min="2823" max="3070" width="9.140625" style="65"/>
    <col min="3071" max="3071" width="121.140625" style="65" customWidth="1"/>
    <col min="3072" max="3072" width="32.7109375" style="65" customWidth="1"/>
    <col min="3073" max="3074" width="32.85546875" style="65" customWidth="1"/>
    <col min="3075" max="3075" width="29.7109375" style="65" customWidth="1"/>
    <col min="3076" max="3076" width="25.5703125" style="65" customWidth="1"/>
    <col min="3077" max="3077" width="35.42578125" style="65" customWidth="1"/>
    <col min="3078" max="3078" width="25.140625" style="65" customWidth="1"/>
    <col min="3079" max="3326" width="9.140625" style="65"/>
    <col min="3327" max="3327" width="121.140625" style="65" customWidth="1"/>
    <col min="3328" max="3328" width="32.7109375" style="65" customWidth="1"/>
    <col min="3329" max="3330" width="32.85546875" style="65" customWidth="1"/>
    <col min="3331" max="3331" width="29.7109375" style="65" customWidth="1"/>
    <col min="3332" max="3332" width="25.5703125" style="65" customWidth="1"/>
    <col min="3333" max="3333" width="35.42578125" style="65" customWidth="1"/>
    <col min="3334" max="3334" width="25.140625" style="65" customWidth="1"/>
    <col min="3335" max="3582" width="9.140625" style="65"/>
    <col min="3583" max="3583" width="121.140625" style="65" customWidth="1"/>
    <col min="3584" max="3584" width="32.7109375" style="65" customWidth="1"/>
    <col min="3585" max="3586" width="32.85546875" style="65" customWidth="1"/>
    <col min="3587" max="3587" width="29.7109375" style="65" customWidth="1"/>
    <col min="3588" max="3588" width="25.5703125" style="65" customWidth="1"/>
    <col min="3589" max="3589" width="35.42578125" style="65" customWidth="1"/>
    <col min="3590" max="3590" width="25.140625" style="65" customWidth="1"/>
    <col min="3591" max="3838" width="9.140625" style="65"/>
    <col min="3839" max="3839" width="121.140625" style="65" customWidth="1"/>
    <col min="3840" max="3840" width="32.7109375" style="65" customWidth="1"/>
    <col min="3841" max="3842" width="32.85546875" style="65" customWidth="1"/>
    <col min="3843" max="3843" width="29.7109375" style="65" customWidth="1"/>
    <col min="3844" max="3844" width="25.5703125" style="65" customWidth="1"/>
    <col min="3845" max="3845" width="35.42578125" style="65" customWidth="1"/>
    <col min="3846" max="3846" width="25.140625" style="65" customWidth="1"/>
    <col min="3847" max="4094" width="9.140625" style="65"/>
    <col min="4095" max="4095" width="121.140625" style="65" customWidth="1"/>
    <col min="4096" max="4096" width="32.7109375" style="65" customWidth="1"/>
    <col min="4097" max="4098" width="32.85546875" style="65" customWidth="1"/>
    <col min="4099" max="4099" width="29.7109375" style="65" customWidth="1"/>
    <col min="4100" max="4100" width="25.5703125" style="65" customWidth="1"/>
    <col min="4101" max="4101" width="35.42578125" style="65" customWidth="1"/>
    <col min="4102" max="4102" width="25.140625" style="65" customWidth="1"/>
    <col min="4103" max="4350" width="9.140625" style="65"/>
    <col min="4351" max="4351" width="121.140625" style="65" customWidth="1"/>
    <col min="4352" max="4352" width="32.7109375" style="65" customWidth="1"/>
    <col min="4353" max="4354" width="32.85546875" style="65" customWidth="1"/>
    <col min="4355" max="4355" width="29.7109375" style="65" customWidth="1"/>
    <col min="4356" max="4356" width="25.5703125" style="65" customWidth="1"/>
    <col min="4357" max="4357" width="35.42578125" style="65" customWidth="1"/>
    <col min="4358" max="4358" width="25.140625" style="65" customWidth="1"/>
    <col min="4359" max="4606" width="9.140625" style="65"/>
    <col min="4607" max="4607" width="121.140625" style="65" customWidth="1"/>
    <col min="4608" max="4608" width="32.7109375" style="65" customWidth="1"/>
    <col min="4609" max="4610" width="32.85546875" style="65" customWidth="1"/>
    <col min="4611" max="4611" width="29.7109375" style="65" customWidth="1"/>
    <col min="4612" max="4612" width="25.5703125" style="65" customWidth="1"/>
    <col min="4613" max="4613" width="35.42578125" style="65" customWidth="1"/>
    <col min="4614" max="4614" width="25.140625" style="65" customWidth="1"/>
    <col min="4615" max="4862" width="9.140625" style="65"/>
    <col min="4863" max="4863" width="121.140625" style="65" customWidth="1"/>
    <col min="4864" max="4864" width="32.7109375" style="65" customWidth="1"/>
    <col min="4865" max="4866" width="32.85546875" style="65" customWidth="1"/>
    <col min="4867" max="4867" width="29.7109375" style="65" customWidth="1"/>
    <col min="4868" max="4868" width="25.5703125" style="65" customWidth="1"/>
    <col min="4869" max="4869" width="35.42578125" style="65" customWidth="1"/>
    <col min="4870" max="4870" width="25.140625" style="65" customWidth="1"/>
    <col min="4871" max="5118" width="9.140625" style="65"/>
    <col min="5119" max="5119" width="121.140625" style="65" customWidth="1"/>
    <col min="5120" max="5120" width="32.7109375" style="65" customWidth="1"/>
    <col min="5121" max="5122" width="32.85546875" style="65" customWidth="1"/>
    <col min="5123" max="5123" width="29.7109375" style="65" customWidth="1"/>
    <col min="5124" max="5124" width="25.5703125" style="65" customWidth="1"/>
    <col min="5125" max="5125" width="35.42578125" style="65" customWidth="1"/>
    <col min="5126" max="5126" width="25.140625" style="65" customWidth="1"/>
    <col min="5127" max="5374" width="9.140625" style="65"/>
    <col min="5375" max="5375" width="121.140625" style="65" customWidth="1"/>
    <col min="5376" max="5376" width="32.7109375" style="65" customWidth="1"/>
    <col min="5377" max="5378" width="32.85546875" style="65" customWidth="1"/>
    <col min="5379" max="5379" width="29.7109375" style="65" customWidth="1"/>
    <col min="5380" max="5380" width="25.5703125" style="65" customWidth="1"/>
    <col min="5381" max="5381" width="35.42578125" style="65" customWidth="1"/>
    <col min="5382" max="5382" width="25.140625" style="65" customWidth="1"/>
    <col min="5383" max="5630" width="9.140625" style="65"/>
    <col min="5631" max="5631" width="121.140625" style="65" customWidth="1"/>
    <col min="5632" max="5632" width="32.7109375" style="65" customWidth="1"/>
    <col min="5633" max="5634" width="32.85546875" style="65" customWidth="1"/>
    <col min="5635" max="5635" width="29.7109375" style="65" customWidth="1"/>
    <col min="5636" max="5636" width="25.5703125" style="65" customWidth="1"/>
    <col min="5637" max="5637" width="35.42578125" style="65" customWidth="1"/>
    <col min="5638" max="5638" width="25.140625" style="65" customWidth="1"/>
    <col min="5639" max="5886" width="9.140625" style="65"/>
    <col min="5887" max="5887" width="121.140625" style="65" customWidth="1"/>
    <col min="5888" max="5888" width="32.7109375" style="65" customWidth="1"/>
    <col min="5889" max="5890" width="32.85546875" style="65" customWidth="1"/>
    <col min="5891" max="5891" width="29.7109375" style="65" customWidth="1"/>
    <col min="5892" max="5892" width="25.5703125" style="65" customWidth="1"/>
    <col min="5893" max="5893" width="35.42578125" style="65" customWidth="1"/>
    <col min="5894" max="5894" width="25.140625" style="65" customWidth="1"/>
    <col min="5895" max="6142" width="9.140625" style="65"/>
    <col min="6143" max="6143" width="121.140625" style="65" customWidth="1"/>
    <col min="6144" max="6144" width="32.7109375" style="65" customWidth="1"/>
    <col min="6145" max="6146" width="32.85546875" style="65" customWidth="1"/>
    <col min="6147" max="6147" width="29.7109375" style="65" customWidth="1"/>
    <col min="6148" max="6148" width="25.5703125" style="65" customWidth="1"/>
    <col min="6149" max="6149" width="35.42578125" style="65" customWidth="1"/>
    <col min="6150" max="6150" width="25.140625" style="65" customWidth="1"/>
    <col min="6151" max="6398" width="9.140625" style="65"/>
    <col min="6399" max="6399" width="121.140625" style="65" customWidth="1"/>
    <col min="6400" max="6400" width="32.7109375" style="65" customWidth="1"/>
    <col min="6401" max="6402" width="32.85546875" style="65" customWidth="1"/>
    <col min="6403" max="6403" width="29.7109375" style="65" customWidth="1"/>
    <col min="6404" max="6404" width="25.5703125" style="65" customWidth="1"/>
    <col min="6405" max="6405" width="35.42578125" style="65" customWidth="1"/>
    <col min="6406" max="6406" width="25.140625" style="65" customWidth="1"/>
    <col min="6407" max="6654" width="9.140625" style="65"/>
    <col min="6655" max="6655" width="121.140625" style="65" customWidth="1"/>
    <col min="6656" max="6656" width="32.7109375" style="65" customWidth="1"/>
    <col min="6657" max="6658" width="32.85546875" style="65" customWidth="1"/>
    <col min="6659" max="6659" width="29.7109375" style="65" customWidth="1"/>
    <col min="6660" max="6660" width="25.5703125" style="65" customWidth="1"/>
    <col min="6661" max="6661" width="35.42578125" style="65" customWidth="1"/>
    <col min="6662" max="6662" width="25.140625" style="65" customWidth="1"/>
    <col min="6663" max="6910" width="9.140625" style="65"/>
    <col min="6911" max="6911" width="121.140625" style="65" customWidth="1"/>
    <col min="6912" max="6912" width="32.7109375" style="65" customWidth="1"/>
    <col min="6913" max="6914" width="32.85546875" style="65" customWidth="1"/>
    <col min="6915" max="6915" width="29.7109375" style="65" customWidth="1"/>
    <col min="6916" max="6916" width="25.5703125" style="65" customWidth="1"/>
    <col min="6917" max="6917" width="35.42578125" style="65" customWidth="1"/>
    <col min="6918" max="6918" width="25.140625" style="65" customWidth="1"/>
    <col min="6919" max="7166" width="9.140625" style="65"/>
    <col min="7167" max="7167" width="121.140625" style="65" customWidth="1"/>
    <col min="7168" max="7168" width="32.7109375" style="65" customWidth="1"/>
    <col min="7169" max="7170" width="32.85546875" style="65" customWidth="1"/>
    <col min="7171" max="7171" width="29.7109375" style="65" customWidth="1"/>
    <col min="7172" max="7172" width="25.5703125" style="65" customWidth="1"/>
    <col min="7173" max="7173" width="35.42578125" style="65" customWidth="1"/>
    <col min="7174" max="7174" width="25.140625" style="65" customWidth="1"/>
    <col min="7175" max="7422" width="9.140625" style="65"/>
    <col min="7423" max="7423" width="121.140625" style="65" customWidth="1"/>
    <col min="7424" max="7424" width="32.7109375" style="65" customWidth="1"/>
    <col min="7425" max="7426" width="32.85546875" style="65" customWidth="1"/>
    <col min="7427" max="7427" width="29.7109375" style="65" customWidth="1"/>
    <col min="7428" max="7428" width="25.5703125" style="65" customWidth="1"/>
    <col min="7429" max="7429" width="35.42578125" style="65" customWidth="1"/>
    <col min="7430" max="7430" width="25.140625" style="65" customWidth="1"/>
    <col min="7431" max="7678" width="9.140625" style="65"/>
    <col min="7679" max="7679" width="121.140625" style="65" customWidth="1"/>
    <col min="7680" max="7680" width="32.7109375" style="65" customWidth="1"/>
    <col min="7681" max="7682" width="32.85546875" style="65" customWidth="1"/>
    <col min="7683" max="7683" width="29.7109375" style="65" customWidth="1"/>
    <col min="7684" max="7684" width="25.5703125" style="65" customWidth="1"/>
    <col min="7685" max="7685" width="35.42578125" style="65" customWidth="1"/>
    <col min="7686" max="7686" width="25.140625" style="65" customWidth="1"/>
    <col min="7687" max="7934" width="9.140625" style="65"/>
    <col min="7935" max="7935" width="121.140625" style="65" customWidth="1"/>
    <col min="7936" max="7936" width="32.7109375" style="65" customWidth="1"/>
    <col min="7937" max="7938" width="32.85546875" style="65" customWidth="1"/>
    <col min="7939" max="7939" width="29.7109375" style="65" customWidth="1"/>
    <col min="7940" max="7940" width="25.5703125" style="65" customWidth="1"/>
    <col min="7941" max="7941" width="35.42578125" style="65" customWidth="1"/>
    <col min="7942" max="7942" width="25.140625" style="65" customWidth="1"/>
    <col min="7943" max="8190" width="9.140625" style="65"/>
    <col min="8191" max="8191" width="121.140625" style="65" customWidth="1"/>
    <col min="8192" max="8192" width="32.7109375" style="65" customWidth="1"/>
    <col min="8193" max="8194" width="32.85546875" style="65" customWidth="1"/>
    <col min="8195" max="8195" width="29.7109375" style="65" customWidth="1"/>
    <col min="8196" max="8196" width="25.5703125" style="65" customWidth="1"/>
    <col min="8197" max="8197" width="35.42578125" style="65" customWidth="1"/>
    <col min="8198" max="8198" width="25.140625" style="65" customWidth="1"/>
    <col min="8199" max="8446" width="9.140625" style="65"/>
    <col min="8447" max="8447" width="121.140625" style="65" customWidth="1"/>
    <col min="8448" max="8448" width="32.7109375" style="65" customWidth="1"/>
    <col min="8449" max="8450" width="32.85546875" style="65" customWidth="1"/>
    <col min="8451" max="8451" width="29.7109375" style="65" customWidth="1"/>
    <col min="8452" max="8452" width="25.5703125" style="65" customWidth="1"/>
    <col min="8453" max="8453" width="35.42578125" style="65" customWidth="1"/>
    <col min="8454" max="8454" width="25.140625" style="65" customWidth="1"/>
    <col min="8455" max="8702" width="9.140625" style="65"/>
    <col min="8703" max="8703" width="121.140625" style="65" customWidth="1"/>
    <col min="8704" max="8704" width="32.7109375" style="65" customWidth="1"/>
    <col min="8705" max="8706" width="32.85546875" style="65" customWidth="1"/>
    <col min="8707" max="8707" width="29.7109375" style="65" customWidth="1"/>
    <col min="8708" max="8708" width="25.5703125" style="65" customWidth="1"/>
    <col min="8709" max="8709" width="35.42578125" style="65" customWidth="1"/>
    <col min="8710" max="8710" width="25.140625" style="65" customWidth="1"/>
    <col min="8711" max="8958" width="9.140625" style="65"/>
    <col min="8959" max="8959" width="121.140625" style="65" customWidth="1"/>
    <col min="8960" max="8960" width="32.7109375" style="65" customWidth="1"/>
    <col min="8961" max="8962" width="32.85546875" style="65" customWidth="1"/>
    <col min="8963" max="8963" width="29.7109375" style="65" customWidth="1"/>
    <col min="8964" max="8964" width="25.5703125" style="65" customWidth="1"/>
    <col min="8965" max="8965" width="35.42578125" style="65" customWidth="1"/>
    <col min="8966" max="8966" width="25.140625" style="65" customWidth="1"/>
    <col min="8967" max="9214" width="9.140625" style="65"/>
    <col min="9215" max="9215" width="121.140625" style="65" customWidth="1"/>
    <col min="9216" max="9216" width="32.7109375" style="65" customWidth="1"/>
    <col min="9217" max="9218" width="32.85546875" style="65" customWidth="1"/>
    <col min="9219" max="9219" width="29.7109375" style="65" customWidth="1"/>
    <col min="9220" max="9220" width="25.5703125" style="65" customWidth="1"/>
    <col min="9221" max="9221" width="35.42578125" style="65" customWidth="1"/>
    <col min="9222" max="9222" width="25.140625" style="65" customWidth="1"/>
    <col min="9223" max="9470" width="9.140625" style="65"/>
    <col min="9471" max="9471" width="121.140625" style="65" customWidth="1"/>
    <col min="9472" max="9472" width="32.7109375" style="65" customWidth="1"/>
    <col min="9473" max="9474" width="32.85546875" style="65" customWidth="1"/>
    <col min="9475" max="9475" width="29.7109375" style="65" customWidth="1"/>
    <col min="9476" max="9476" width="25.5703125" style="65" customWidth="1"/>
    <col min="9477" max="9477" width="35.42578125" style="65" customWidth="1"/>
    <col min="9478" max="9478" width="25.140625" style="65" customWidth="1"/>
    <col min="9479" max="9726" width="9.140625" style="65"/>
    <col min="9727" max="9727" width="121.140625" style="65" customWidth="1"/>
    <col min="9728" max="9728" width="32.7109375" style="65" customWidth="1"/>
    <col min="9729" max="9730" width="32.85546875" style="65" customWidth="1"/>
    <col min="9731" max="9731" width="29.7109375" style="65" customWidth="1"/>
    <col min="9732" max="9732" width="25.5703125" style="65" customWidth="1"/>
    <col min="9733" max="9733" width="35.42578125" style="65" customWidth="1"/>
    <col min="9734" max="9734" width="25.140625" style="65" customWidth="1"/>
    <col min="9735" max="9982" width="9.140625" style="65"/>
    <col min="9983" max="9983" width="121.140625" style="65" customWidth="1"/>
    <col min="9984" max="9984" width="32.7109375" style="65" customWidth="1"/>
    <col min="9985" max="9986" width="32.85546875" style="65" customWidth="1"/>
    <col min="9987" max="9987" width="29.7109375" style="65" customWidth="1"/>
    <col min="9988" max="9988" width="25.5703125" style="65" customWidth="1"/>
    <col min="9989" max="9989" width="35.42578125" style="65" customWidth="1"/>
    <col min="9990" max="9990" width="25.140625" style="65" customWidth="1"/>
    <col min="9991" max="10238" width="9.140625" style="65"/>
    <col min="10239" max="10239" width="121.140625" style="65" customWidth="1"/>
    <col min="10240" max="10240" width="32.7109375" style="65" customWidth="1"/>
    <col min="10241" max="10242" width="32.85546875" style="65" customWidth="1"/>
    <col min="10243" max="10243" width="29.7109375" style="65" customWidth="1"/>
    <col min="10244" max="10244" width="25.5703125" style="65" customWidth="1"/>
    <col min="10245" max="10245" width="35.42578125" style="65" customWidth="1"/>
    <col min="10246" max="10246" width="25.140625" style="65" customWidth="1"/>
    <col min="10247" max="10494" width="9.140625" style="65"/>
    <col min="10495" max="10495" width="121.140625" style="65" customWidth="1"/>
    <col min="10496" max="10496" width="32.7109375" style="65" customWidth="1"/>
    <col min="10497" max="10498" width="32.85546875" style="65" customWidth="1"/>
    <col min="10499" max="10499" width="29.7109375" style="65" customWidth="1"/>
    <col min="10500" max="10500" width="25.5703125" style="65" customWidth="1"/>
    <col min="10501" max="10501" width="35.42578125" style="65" customWidth="1"/>
    <col min="10502" max="10502" width="25.140625" style="65" customWidth="1"/>
    <col min="10503" max="10750" width="9.140625" style="65"/>
    <col min="10751" max="10751" width="121.140625" style="65" customWidth="1"/>
    <col min="10752" max="10752" width="32.7109375" style="65" customWidth="1"/>
    <col min="10753" max="10754" width="32.85546875" style="65" customWidth="1"/>
    <col min="10755" max="10755" width="29.7109375" style="65" customWidth="1"/>
    <col min="10756" max="10756" width="25.5703125" style="65" customWidth="1"/>
    <col min="10757" max="10757" width="35.42578125" style="65" customWidth="1"/>
    <col min="10758" max="10758" width="25.140625" style="65" customWidth="1"/>
    <col min="10759" max="11006" width="9.140625" style="65"/>
    <col min="11007" max="11007" width="121.140625" style="65" customWidth="1"/>
    <col min="11008" max="11008" width="32.7109375" style="65" customWidth="1"/>
    <col min="11009" max="11010" width="32.85546875" style="65" customWidth="1"/>
    <col min="11011" max="11011" width="29.7109375" style="65" customWidth="1"/>
    <col min="11012" max="11012" width="25.5703125" style="65" customWidth="1"/>
    <col min="11013" max="11013" width="35.42578125" style="65" customWidth="1"/>
    <col min="11014" max="11014" width="25.140625" style="65" customWidth="1"/>
    <col min="11015" max="11262" width="9.140625" style="65"/>
    <col min="11263" max="11263" width="121.140625" style="65" customWidth="1"/>
    <col min="11264" max="11264" width="32.7109375" style="65" customWidth="1"/>
    <col min="11265" max="11266" width="32.85546875" style="65" customWidth="1"/>
    <col min="11267" max="11267" width="29.7109375" style="65" customWidth="1"/>
    <col min="11268" max="11268" width="25.5703125" style="65" customWidth="1"/>
    <col min="11269" max="11269" width="35.42578125" style="65" customWidth="1"/>
    <col min="11270" max="11270" width="25.140625" style="65" customWidth="1"/>
    <col min="11271" max="11518" width="9.140625" style="65"/>
    <col min="11519" max="11519" width="121.140625" style="65" customWidth="1"/>
    <col min="11520" max="11520" width="32.7109375" style="65" customWidth="1"/>
    <col min="11521" max="11522" width="32.85546875" style="65" customWidth="1"/>
    <col min="11523" max="11523" width="29.7109375" style="65" customWidth="1"/>
    <col min="11524" max="11524" width="25.5703125" style="65" customWidth="1"/>
    <col min="11525" max="11525" width="35.42578125" style="65" customWidth="1"/>
    <col min="11526" max="11526" width="25.140625" style="65" customWidth="1"/>
    <col min="11527" max="11774" width="9.140625" style="65"/>
    <col min="11775" max="11775" width="121.140625" style="65" customWidth="1"/>
    <col min="11776" max="11776" width="32.7109375" style="65" customWidth="1"/>
    <col min="11777" max="11778" width="32.85546875" style="65" customWidth="1"/>
    <col min="11779" max="11779" width="29.7109375" style="65" customWidth="1"/>
    <col min="11780" max="11780" width="25.5703125" style="65" customWidth="1"/>
    <col min="11781" max="11781" width="35.42578125" style="65" customWidth="1"/>
    <col min="11782" max="11782" width="25.140625" style="65" customWidth="1"/>
    <col min="11783" max="12030" width="9.140625" style="65"/>
    <col min="12031" max="12031" width="121.140625" style="65" customWidth="1"/>
    <col min="12032" max="12032" width="32.7109375" style="65" customWidth="1"/>
    <col min="12033" max="12034" width="32.85546875" style="65" customWidth="1"/>
    <col min="12035" max="12035" width="29.7109375" style="65" customWidth="1"/>
    <col min="12036" max="12036" width="25.5703125" style="65" customWidth="1"/>
    <col min="12037" max="12037" width="35.42578125" style="65" customWidth="1"/>
    <col min="12038" max="12038" width="25.140625" style="65" customWidth="1"/>
    <col min="12039" max="12286" width="9.140625" style="65"/>
    <col min="12287" max="12287" width="121.140625" style="65" customWidth="1"/>
    <col min="12288" max="12288" width="32.7109375" style="65" customWidth="1"/>
    <col min="12289" max="12290" width="32.85546875" style="65" customWidth="1"/>
    <col min="12291" max="12291" width="29.7109375" style="65" customWidth="1"/>
    <col min="12292" max="12292" width="25.5703125" style="65" customWidth="1"/>
    <col min="12293" max="12293" width="35.42578125" style="65" customWidth="1"/>
    <col min="12294" max="12294" width="25.140625" style="65" customWidth="1"/>
    <col min="12295" max="12542" width="9.140625" style="65"/>
    <col min="12543" max="12543" width="121.140625" style="65" customWidth="1"/>
    <col min="12544" max="12544" width="32.7109375" style="65" customWidth="1"/>
    <col min="12545" max="12546" width="32.85546875" style="65" customWidth="1"/>
    <col min="12547" max="12547" width="29.7109375" style="65" customWidth="1"/>
    <col min="12548" max="12548" width="25.5703125" style="65" customWidth="1"/>
    <col min="12549" max="12549" width="35.42578125" style="65" customWidth="1"/>
    <col min="12550" max="12550" width="25.140625" style="65" customWidth="1"/>
    <col min="12551" max="12798" width="9.140625" style="65"/>
    <col min="12799" max="12799" width="121.140625" style="65" customWidth="1"/>
    <col min="12800" max="12800" width="32.7109375" style="65" customWidth="1"/>
    <col min="12801" max="12802" width="32.85546875" style="65" customWidth="1"/>
    <col min="12803" max="12803" width="29.7109375" style="65" customWidth="1"/>
    <col min="12804" max="12804" width="25.5703125" style="65" customWidth="1"/>
    <col min="12805" max="12805" width="35.42578125" style="65" customWidth="1"/>
    <col min="12806" max="12806" width="25.140625" style="65" customWidth="1"/>
    <col min="12807" max="13054" width="9.140625" style="65"/>
    <col min="13055" max="13055" width="121.140625" style="65" customWidth="1"/>
    <col min="13056" max="13056" width="32.7109375" style="65" customWidth="1"/>
    <col min="13057" max="13058" width="32.85546875" style="65" customWidth="1"/>
    <col min="13059" max="13059" width="29.7109375" style="65" customWidth="1"/>
    <col min="13060" max="13060" width="25.5703125" style="65" customWidth="1"/>
    <col min="13061" max="13061" width="35.42578125" style="65" customWidth="1"/>
    <col min="13062" max="13062" width="25.140625" style="65" customWidth="1"/>
    <col min="13063" max="13310" width="9.140625" style="65"/>
    <col min="13311" max="13311" width="121.140625" style="65" customWidth="1"/>
    <col min="13312" max="13312" width="32.7109375" style="65" customWidth="1"/>
    <col min="13313" max="13314" width="32.85546875" style="65" customWidth="1"/>
    <col min="13315" max="13315" width="29.7109375" style="65" customWidth="1"/>
    <col min="13316" max="13316" width="25.5703125" style="65" customWidth="1"/>
    <col min="13317" max="13317" width="35.42578125" style="65" customWidth="1"/>
    <col min="13318" max="13318" width="25.140625" style="65" customWidth="1"/>
    <col min="13319" max="13566" width="9.140625" style="65"/>
    <col min="13567" max="13567" width="121.140625" style="65" customWidth="1"/>
    <col min="13568" max="13568" width="32.7109375" style="65" customWidth="1"/>
    <col min="13569" max="13570" width="32.85546875" style="65" customWidth="1"/>
    <col min="13571" max="13571" width="29.7109375" style="65" customWidth="1"/>
    <col min="13572" max="13572" width="25.5703125" style="65" customWidth="1"/>
    <col min="13573" max="13573" width="35.42578125" style="65" customWidth="1"/>
    <col min="13574" max="13574" width="25.140625" style="65" customWidth="1"/>
    <col min="13575" max="13822" width="9.140625" style="65"/>
    <col min="13823" max="13823" width="121.140625" style="65" customWidth="1"/>
    <col min="13824" max="13824" width="32.7109375" style="65" customWidth="1"/>
    <col min="13825" max="13826" width="32.85546875" style="65" customWidth="1"/>
    <col min="13827" max="13827" width="29.7109375" style="65" customWidth="1"/>
    <col min="13828" max="13828" width="25.5703125" style="65" customWidth="1"/>
    <col min="13829" max="13829" width="35.42578125" style="65" customWidth="1"/>
    <col min="13830" max="13830" width="25.140625" style="65" customWidth="1"/>
    <col min="13831" max="14078" width="9.140625" style="65"/>
    <col min="14079" max="14079" width="121.140625" style="65" customWidth="1"/>
    <col min="14080" max="14080" width="32.7109375" style="65" customWidth="1"/>
    <col min="14081" max="14082" width="32.85546875" style="65" customWidth="1"/>
    <col min="14083" max="14083" width="29.7109375" style="65" customWidth="1"/>
    <col min="14084" max="14084" width="25.5703125" style="65" customWidth="1"/>
    <col min="14085" max="14085" width="35.42578125" style="65" customWidth="1"/>
    <col min="14086" max="14086" width="25.140625" style="65" customWidth="1"/>
    <col min="14087" max="14334" width="9.140625" style="65"/>
    <col min="14335" max="14335" width="121.140625" style="65" customWidth="1"/>
    <col min="14336" max="14336" width="32.7109375" style="65" customWidth="1"/>
    <col min="14337" max="14338" width="32.85546875" style="65" customWidth="1"/>
    <col min="14339" max="14339" width="29.7109375" style="65" customWidth="1"/>
    <col min="14340" max="14340" width="25.5703125" style="65" customWidth="1"/>
    <col min="14341" max="14341" width="35.42578125" style="65" customWidth="1"/>
    <col min="14342" max="14342" width="25.140625" style="65" customWidth="1"/>
    <col min="14343" max="14590" width="9.140625" style="65"/>
    <col min="14591" max="14591" width="121.140625" style="65" customWidth="1"/>
    <col min="14592" max="14592" width="32.7109375" style="65" customWidth="1"/>
    <col min="14593" max="14594" width="32.85546875" style="65" customWidth="1"/>
    <col min="14595" max="14595" width="29.7109375" style="65" customWidth="1"/>
    <col min="14596" max="14596" width="25.5703125" style="65" customWidth="1"/>
    <col min="14597" max="14597" width="35.42578125" style="65" customWidth="1"/>
    <col min="14598" max="14598" width="25.140625" style="65" customWidth="1"/>
    <col min="14599" max="14846" width="9.140625" style="65"/>
    <col min="14847" max="14847" width="121.140625" style="65" customWidth="1"/>
    <col min="14848" max="14848" width="32.7109375" style="65" customWidth="1"/>
    <col min="14849" max="14850" width="32.85546875" style="65" customWidth="1"/>
    <col min="14851" max="14851" width="29.7109375" style="65" customWidth="1"/>
    <col min="14852" max="14852" width="25.5703125" style="65" customWidth="1"/>
    <col min="14853" max="14853" width="35.42578125" style="65" customWidth="1"/>
    <col min="14854" max="14854" width="25.140625" style="65" customWidth="1"/>
    <col min="14855" max="15102" width="9.140625" style="65"/>
    <col min="15103" max="15103" width="121.140625" style="65" customWidth="1"/>
    <col min="15104" max="15104" width="32.7109375" style="65" customWidth="1"/>
    <col min="15105" max="15106" width="32.85546875" style="65" customWidth="1"/>
    <col min="15107" max="15107" width="29.7109375" style="65" customWidth="1"/>
    <col min="15108" max="15108" width="25.5703125" style="65" customWidth="1"/>
    <col min="15109" max="15109" width="35.42578125" style="65" customWidth="1"/>
    <col min="15110" max="15110" width="25.140625" style="65" customWidth="1"/>
    <col min="15111" max="15358" width="9.140625" style="65"/>
    <col min="15359" max="15359" width="121.140625" style="65" customWidth="1"/>
    <col min="15360" max="15360" width="32.7109375" style="65" customWidth="1"/>
    <col min="15361" max="15362" width="32.85546875" style="65" customWidth="1"/>
    <col min="15363" max="15363" width="29.7109375" style="65" customWidth="1"/>
    <col min="15364" max="15364" width="25.5703125" style="65" customWidth="1"/>
    <col min="15365" max="15365" width="35.42578125" style="65" customWidth="1"/>
    <col min="15366" max="15366" width="25.140625" style="65" customWidth="1"/>
    <col min="15367" max="15614" width="9.140625" style="65"/>
    <col min="15615" max="15615" width="121.140625" style="65" customWidth="1"/>
    <col min="15616" max="15616" width="32.7109375" style="65" customWidth="1"/>
    <col min="15617" max="15618" width="32.85546875" style="65" customWidth="1"/>
    <col min="15619" max="15619" width="29.7109375" style="65" customWidth="1"/>
    <col min="15620" max="15620" width="25.5703125" style="65" customWidth="1"/>
    <col min="15621" max="15621" width="35.42578125" style="65" customWidth="1"/>
    <col min="15622" max="15622" width="25.140625" style="65" customWidth="1"/>
    <col min="15623" max="15870" width="9.140625" style="65"/>
    <col min="15871" max="15871" width="121.140625" style="65" customWidth="1"/>
    <col min="15872" max="15872" width="32.7109375" style="65" customWidth="1"/>
    <col min="15873" max="15874" width="32.85546875" style="65" customWidth="1"/>
    <col min="15875" max="15875" width="29.7109375" style="65" customWidth="1"/>
    <col min="15876" max="15876" width="25.5703125" style="65" customWidth="1"/>
    <col min="15877" max="15877" width="35.42578125" style="65" customWidth="1"/>
    <col min="15878" max="15878" width="25.140625" style="65" customWidth="1"/>
    <col min="15879" max="16126" width="9.140625" style="65"/>
    <col min="16127" max="16127" width="121.140625" style="65" customWidth="1"/>
    <col min="16128" max="16128" width="32.7109375" style="65" customWidth="1"/>
    <col min="16129" max="16130" width="32.85546875" style="65" customWidth="1"/>
    <col min="16131" max="16131" width="29.7109375" style="65" customWidth="1"/>
    <col min="16132" max="16132" width="25.5703125" style="65" customWidth="1"/>
    <col min="16133" max="16133" width="35.42578125" style="65" customWidth="1"/>
    <col min="16134" max="16134" width="25.140625" style="65" customWidth="1"/>
    <col min="16135" max="16384" width="9.140625" style="65"/>
  </cols>
  <sheetData>
    <row r="1" spans="1:7" s="6" customFormat="1" ht="46.5">
      <c r="A1" s="1" t="s">
        <v>0</v>
      </c>
      <c r="D1" s="277" t="s">
        <v>1</v>
      </c>
      <c r="E1" s="289" t="s">
        <v>162</v>
      </c>
      <c r="F1" s="279"/>
      <c r="G1" s="282"/>
    </row>
    <row r="2" spans="1:7" s="6" customFormat="1" ht="46.5">
      <c r="A2" s="1" t="s">
        <v>2</v>
      </c>
      <c r="B2" s="2"/>
      <c r="C2" s="2"/>
      <c r="D2" s="2"/>
      <c r="E2" s="3"/>
    </row>
    <row r="3" spans="1:7" s="6" customFormat="1" ht="47.25" thickBot="1">
      <c r="A3" s="7" t="s">
        <v>3</v>
      </c>
      <c r="B3" s="8"/>
      <c r="C3" s="8"/>
      <c r="D3" s="8"/>
      <c r="E3" s="3"/>
      <c r="F3" s="3"/>
    </row>
    <row r="4" spans="1:7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7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158</v>
      </c>
      <c r="F5" s="16" t="s">
        <v>12</v>
      </c>
    </row>
    <row r="6" spans="1:7" s="13" customFormat="1" ht="26.25">
      <c r="A6" s="18" t="s">
        <v>14</v>
      </c>
      <c r="B6" s="19"/>
      <c r="C6" s="19"/>
      <c r="D6" s="19"/>
      <c r="E6" s="19"/>
      <c r="F6" s="20"/>
    </row>
    <row r="7" spans="1:7" s="13" customFormat="1" ht="26.25">
      <c r="A7" s="18" t="s">
        <v>15</v>
      </c>
      <c r="B7" s="19"/>
      <c r="C7" s="19"/>
      <c r="D7" s="19"/>
      <c r="E7" s="19"/>
      <c r="F7" s="21"/>
    </row>
    <row r="8" spans="1:7" s="13" customFormat="1" ht="26.25">
      <c r="A8" s="22" t="s">
        <v>16</v>
      </c>
      <c r="B8" s="23">
        <v>82418870</v>
      </c>
      <c r="C8" s="23">
        <v>82418870</v>
      </c>
      <c r="D8" s="23">
        <v>76076985</v>
      </c>
      <c r="E8" s="23">
        <v>-6341885</v>
      </c>
      <c r="F8" s="24">
        <v>-7.6947002549294846E-2</v>
      </c>
    </row>
    <row r="9" spans="1:7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7" s="13" customFormat="1" ht="26.25">
      <c r="A10" s="25" t="s">
        <v>18</v>
      </c>
      <c r="B10" s="298">
        <v>20509421</v>
      </c>
      <c r="C10" s="26">
        <v>20525230</v>
      </c>
      <c r="D10" s="26">
        <v>20998185</v>
      </c>
      <c r="E10" s="26">
        <v>472955</v>
      </c>
      <c r="F10" s="24">
        <v>2.3042616331217725E-2</v>
      </c>
    </row>
    <row r="11" spans="1:7" s="13" customFormat="1" ht="26.25">
      <c r="A11" s="27" t="s">
        <v>19</v>
      </c>
      <c r="B11" s="299">
        <v>63111</v>
      </c>
      <c r="C11" s="28">
        <v>63111</v>
      </c>
      <c r="D11" s="28">
        <v>0</v>
      </c>
      <c r="E11" s="26">
        <v>-63111</v>
      </c>
      <c r="F11" s="24">
        <v>-1</v>
      </c>
    </row>
    <row r="12" spans="1:7" s="13" customFormat="1" ht="26.25">
      <c r="A12" s="29" t="s">
        <v>20</v>
      </c>
      <c r="B12" s="299">
        <v>4112953</v>
      </c>
      <c r="C12" s="28">
        <v>4128762</v>
      </c>
      <c r="D12" s="28">
        <v>4160542</v>
      </c>
      <c r="E12" s="26">
        <v>31780</v>
      </c>
      <c r="F12" s="24">
        <v>7.6972225572701936E-3</v>
      </c>
    </row>
    <row r="13" spans="1:7" s="13" customFormat="1" ht="26.25">
      <c r="A13" s="29" t="s">
        <v>21</v>
      </c>
      <c r="B13" s="299">
        <v>16258357</v>
      </c>
      <c r="C13" s="28">
        <v>16258357</v>
      </c>
      <c r="D13" s="28">
        <v>16837643</v>
      </c>
      <c r="E13" s="26">
        <v>579286</v>
      </c>
      <c r="F13" s="24">
        <v>3.5630045520589813E-2</v>
      </c>
    </row>
    <row r="14" spans="1:7" s="13" customFormat="1" ht="26.25">
      <c r="A14" s="29" t="s">
        <v>22</v>
      </c>
      <c r="B14" s="299">
        <v>0</v>
      </c>
      <c r="C14" s="28">
        <v>0</v>
      </c>
      <c r="D14" s="28">
        <v>0</v>
      </c>
      <c r="E14" s="26">
        <v>0</v>
      </c>
      <c r="F14" s="24">
        <v>0</v>
      </c>
    </row>
    <row r="15" spans="1:7" s="13" customFormat="1" ht="26.25">
      <c r="A15" s="29" t="s">
        <v>23</v>
      </c>
      <c r="B15" s="299">
        <v>0</v>
      </c>
      <c r="C15" s="28">
        <v>0</v>
      </c>
      <c r="D15" s="28">
        <v>0</v>
      </c>
      <c r="E15" s="26">
        <v>0</v>
      </c>
      <c r="F15" s="24">
        <v>0</v>
      </c>
    </row>
    <row r="16" spans="1:7" s="13" customFormat="1" ht="26.25">
      <c r="A16" s="29" t="s">
        <v>24</v>
      </c>
      <c r="B16" s="299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99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99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99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99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99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99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99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99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99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99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99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99">
        <v>75000</v>
      </c>
      <c r="C28" s="28">
        <v>75000</v>
      </c>
      <c r="D28" s="28">
        <v>0</v>
      </c>
      <c r="E28" s="26">
        <v>-75000</v>
      </c>
      <c r="F28" s="24">
        <v>-1</v>
      </c>
    </row>
    <row r="29" spans="1:6" s="13" customFormat="1" ht="26.25">
      <c r="A29" s="31" t="s">
        <v>37</v>
      </c>
      <c r="B29" s="299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99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99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00">
        <v>102928291</v>
      </c>
      <c r="C34" s="34">
        <v>102944100</v>
      </c>
      <c r="D34" s="34">
        <v>97075170</v>
      </c>
      <c r="E34" s="34">
        <v>-5868930</v>
      </c>
      <c r="F34" s="35">
        <v>-5.7010843749180383E-2</v>
      </c>
    </row>
    <row r="35" spans="1:10" s="13" customFormat="1" ht="26.25">
      <c r="A35" s="31" t="s">
        <v>43</v>
      </c>
      <c r="B35" s="299"/>
      <c r="C35" s="28"/>
      <c r="D35" s="28"/>
      <c r="E35" s="28"/>
      <c r="F35" s="20"/>
    </row>
    <row r="36" spans="1:10" s="13" customFormat="1" ht="26.25">
      <c r="A36" s="37" t="s">
        <v>44</v>
      </c>
      <c r="B36" s="23"/>
      <c r="C36" s="23"/>
      <c r="D36" s="23"/>
      <c r="E36" s="23">
        <v>0</v>
      </c>
      <c r="F36" s="24">
        <v>0</v>
      </c>
    </row>
    <row r="37" spans="1:10" s="13" customFormat="1" ht="26.25">
      <c r="A37" s="38" t="s">
        <v>45</v>
      </c>
      <c r="B37" s="23"/>
      <c r="C37" s="23"/>
      <c r="D37" s="23"/>
      <c r="E37" s="26">
        <v>0</v>
      </c>
      <c r="F37" s="24">
        <v>0</v>
      </c>
    </row>
    <row r="38" spans="1:10" s="13" customFormat="1" ht="26.25">
      <c r="A38" s="38" t="s">
        <v>46</v>
      </c>
      <c r="B38" s="23"/>
      <c r="C38" s="23"/>
      <c r="D38" s="23"/>
      <c r="E38" s="26">
        <v>0</v>
      </c>
      <c r="F38" s="24">
        <v>0</v>
      </c>
    </row>
    <row r="39" spans="1:10" s="13" customFormat="1" ht="26.25">
      <c r="A39" s="38" t="s">
        <v>47</v>
      </c>
      <c r="B39" s="23"/>
      <c r="C39" s="23"/>
      <c r="D39" s="23"/>
      <c r="E39" s="26">
        <v>0</v>
      </c>
      <c r="F39" s="24">
        <v>0</v>
      </c>
    </row>
    <row r="40" spans="1:10" s="13" customFormat="1" ht="26.25">
      <c r="A40" s="39" t="s">
        <v>48</v>
      </c>
      <c r="B40" s="23"/>
      <c r="C40" s="23"/>
      <c r="D40" s="23"/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0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99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36077016</v>
      </c>
      <c r="C43" s="42">
        <v>38169464</v>
      </c>
      <c r="D43" s="42">
        <v>38169464</v>
      </c>
      <c r="E43" s="42">
        <v>0</v>
      </c>
      <c r="F43" s="35">
        <v>0</v>
      </c>
    </row>
    <row r="44" spans="1:10" s="13" customFormat="1" ht="26.25">
      <c r="A44" s="29" t="s">
        <v>50</v>
      </c>
      <c r="B44" s="299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28742733</v>
      </c>
      <c r="C45" s="42">
        <v>28742733</v>
      </c>
      <c r="D45" s="42">
        <v>0</v>
      </c>
      <c r="E45" s="42">
        <v>-28742733</v>
      </c>
      <c r="F45" s="35">
        <v>-1</v>
      </c>
    </row>
    <row r="46" spans="1:10" s="13" customFormat="1" ht="26.25">
      <c r="A46" s="29" t="s">
        <v>50</v>
      </c>
      <c r="B46" s="299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25736800</v>
      </c>
      <c r="C47" s="40">
        <v>10030648</v>
      </c>
      <c r="D47" s="40">
        <v>46302298</v>
      </c>
      <c r="E47" s="40">
        <v>36271650</v>
      </c>
      <c r="F47" s="35">
        <v>3.6160824305667987</v>
      </c>
    </row>
    <row r="48" spans="1:10" s="13" customFormat="1" ht="26.25">
      <c r="A48" s="29" t="s">
        <v>50</v>
      </c>
      <c r="B48" s="299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99"/>
      <c r="C52" s="28"/>
      <c r="D52" s="28"/>
      <c r="E52" s="28"/>
      <c r="F52" s="20"/>
    </row>
    <row r="53" spans="1:6" s="36" customFormat="1" ht="26.25">
      <c r="A53" s="46" t="s">
        <v>56</v>
      </c>
      <c r="B53" s="40">
        <v>193484840</v>
      </c>
      <c r="C53" s="40">
        <v>179886945</v>
      </c>
      <c r="D53" s="40">
        <v>181546932</v>
      </c>
      <c r="E53" s="40">
        <v>1659987</v>
      </c>
      <c r="F53" s="35">
        <v>9.2279459190326464E-3</v>
      </c>
    </row>
    <row r="54" spans="1:6" s="13" customFormat="1" ht="26.25">
      <c r="A54" s="47"/>
      <c r="B54" s="299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308">
        <v>90520814</v>
      </c>
      <c r="C57" s="19">
        <v>98007481</v>
      </c>
      <c r="D57" s="19">
        <v>98351691</v>
      </c>
      <c r="E57" s="19">
        <v>344210</v>
      </c>
      <c r="F57" s="24">
        <v>3.5120788381450187E-3</v>
      </c>
    </row>
    <row r="58" spans="1:6" s="13" customFormat="1" ht="26.25">
      <c r="A58" s="29" t="s">
        <v>59</v>
      </c>
      <c r="B58" s="309">
        <v>16017033</v>
      </c>
      <c r="C58" s="28">
        <v>15120621</v>
      </c>
      <c r="D58" s="28">
        <v>15473253</v>
      </c>
      <c r="E58" s="28">
        <v>352632</v>
      </c>
      <c r="F58" s="24">
        <v>2.3321264384577857E-2</v>
      </c>
    </row>
    <row r="59" spans="1:6" s="13" customFormat="1" ht="26.25">
      <c r="A59" s="29" t="s">
        <v>60</v>
      </c>
      <c r="B59" s="309">
        <v>6594183</v>
      </c>
      <c r="C59" s="28">
        <v>6593667</v>
      </c>
      <c r="D59" s="28">
        <v>6828600</v>
      </c>
      <c r="E59" s="28">
        <v>234933</v>
      </c>
      <c r="F59" s="24">
        <v>3.5630097789287815E-2</v>
      </c>
    </row>
    <row r="60" spans="1:6" s="13" customFormat="1" ht="26.25">
      <c r="A60" s="29" t="s">
        <v>61</v>
      </c>
      <c r="B60" s="309">
        <v>14970350</v>
      </c>
      <c r="C60" s="28">
        <v>13297538</v>
      </c>
      <c r="D60" s="28">
        <v>13371173</v>
      </c>
      <c r="E60" s="28">
        <v>73635</v>
      </c>
      <c r="F60" s="24">
        <v>5.5374912258193965E-3</v>
      </c>
    </row>
    <row r="61" spans="1:6" s="13" customFormat="1" ht="26.25">
      <c r="A61" s="29" t="s">
        <v>62</v>
      </c>
      <c r="B61" s="309">
        <v>2406475</v>
      </c>
      <c r="C61" s="28">
        <v>2429081</v>
      </c>
      <c r="D61" s="28">
        <v>2558567</v>
      </c>
      <c r="E61" s="28">
        <v>129486</v>
      </c>
      <c r="F61" s="24">
        <v>5.3306579731182288E-2</v>
      </c>
    </row>
    <row r="62" spans="1:6" s="13" customFormat="1" ht="26.25">
      <c r="A62" s="29" t="s">
        <v>63</v>
      </c>
      <c r="B62" s="309">
        <v>19340705</v>
      </c>
      <c r="C62" s="28">
        <v>17104887</v>
      </c>
      <c r="D62" s="28">
        <v>17191584</v>
      </c>
      <c r="E62" s="28">
        <v>86697</v>
      </c>
      <c r="F62" s="24">
        <v>5.0685514613455209E-3</v>
      </c>
    </row>
    <row r="63" spans="1:6" s="13" customFormat="1" ht="26.25">
      <c r="A63" s="29" t="s">
        <v>64</v>
      </c>
      <c r="B63" s="309">
        <v>3124734</v>
      </c>
      <c r="C63" s="28">
        <v>3104160</v>
      </c>
      <c r="D63" s="28">
        <v>3705994</v>
      </c>
      <c r="E63" s="28">
        <v>601834</v>
      </c>
      <c r="F63" s="24">
        <v>0.19387982578217616</v>
      </c>
    </row>
    <row r="64" spans="1:6" s="13" customFormat="1" ht="26.25">
      <c r="A64" s="29" t="s">
        <v>65</v>
      </c>
      <c r="B64" s="309">
        <v>23598613</v>
      </c>
      <c r="C64" s="28">
        <v>22530802</v>
      </c>
      <c r="D64" s="28">
        <v>23804301</v>
      </c>
      <c r="E64" s="28">
        <v>1273499</v>
      </c>
      <c r="F64" s="24">
        <v>5.6522577403147922E-2</v>
      </c>
    </row>
    <row r="65" spans="1:6" s="36" customFormat="1" ht="26.25">
      <c r="A65" s="49" t="s">
        <v>66</v>
      </c>
      <c r="B65" s="310">
        <v>176572907</v>
      </c>
      <c r="C65" s="34">
        <v>178188237</v>
      </c>
      <c r="D65" s="34">
        <v>181285163</v>
      </c>
      <c r="E65" s="34">
        <v>3096926</v>
      </c>
      <c r="F65" s="35">
        <v>1.7380081043172339E-2</v>
      </c>
    </row>
    <row r="66" spans="1:6" s="13" customFormat="1" ht="26.25">
      <c r="A66" s="29" t="s">
        <v>67</v>
      </c>
      <c r="B66" s="309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309">
        <v>260552</v>
      </c>
      <c r="C67" s="28">
        <v>270583</v>
      </c>
      <c r="D67" s="28">
        <v>261769</v>
      </c>
      <c r="E67" s="28">
        <v>-8814</v>
      </c>
      <c r="F67" s="24">
        <v>-3.2574108499055746E-2</v>
      </c>
    </row>
    <row r="68" spans="1:6" s="13" customFormat="1" ht="26.25">
      <c r="A68" s="29" t="s">
        <v>69</v>
      </c>
      <c r="B68" s="309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13" customFormat="1" ht="26.25">
      <c r="A69" s="29" t="s">
        <v>70</v>
      </c>
      <c r="B69" s="309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50" t="s">
        <v>71</v>
      </c>
      <c r="B70" s="311">
        <v>176833459</v>
      </c>
      <c r="C70" s="51">
        <v>178458820</v>
      </c>
      <c r="D70" s="51">
        <v>181546932</v>
      </c>
      <c r="E70" s="51">
        <v>3088112</v>
      </c>
      <c r="F70" s="35">
        <v>1.7304339454894971E-2</v>
      </c>
    </row>
    <row r="71" spans="1:6" s="13" customFormat="1" ht="20.25" customHeight="1">
      <c r="A71" s="48"/>
      <c r="B71" s="308"/>
      <c r="C71" s="19"/>
      <c r="D71" s="19"/>
      <c r="E71" s="19"/>
      <c r="F71" s="21"/>
    </row>
    <row r="72" spans="1:6" s="13" customFormat="1" ht="26.25">
      <c r="A72" s="46" t="s">
        <v>72</v>
      </c>
      <c r="B72" s="308"/>
      <c r="C72" s="19"/>
      <c r="D72" s="19"/>
      <c r="E72" s="19"/>
      <c r="F72" s="21"/>
    </row>
    <row r="73" spans="1:6" s="13" customFormat="1" ht="26.25">
      <c r="A73" s="27" t="s">
        <v>73</v>
      </c>
      <c r="B73" s="123">
        <v>96296278</v>
      </c>
      <c r="C73" s="23">
        <v>101153467</v>
      </c>
      <c r="D73" s="23">
        <v>101624487</v>
      </c>
      <c r="E73" s="19">
        <v>471020</v>
      </c>
      <c r="F73" s="24">
        <v>4.6564889367558702E-3</v>
      </c>
    </row>
    <row r="74" spans="1:6" s="13" customFormat="1" ht="26.25">
      <c r="A74" s="29" t="s">
        <v>74</v>
      </c>
      <c r="B74" s="312">
        <v>1665220</v>
      </c>
      <c r="C74" s="23">
        <v>1701221</v>
      </c>
      <c r="D74" s="23">
        <v>1438598</v>
      </c>
      <c r="E74" s="28">
        <v>-262623</v>
      </c>
      <c r="F74" s="24">
        <v>-0.1543732413366635</v>
      </c>
    </row>
    <row r="75" spans="1:6" s="13" customFormat="1" ht="26.25">
      <c r="A75" s="29" t="s">
        <v>75</v>
      </c>
      <c r="B75" s="308">
        <v>24758762</v>
      </c>
      <c r="C75" s="23">
        <v>26247966</v>
      </c>
      <c r="D75" s="23">
        <v>26596224</v>
      </c>
      <c r="E75" s="28">
        <v>348258</v>
      </c>
      <c r="F75" s="24">
        <v>1.3267999508990526E-2</v>
      </c>
    </row>
    <row r="76" spans="1:6" s="36" customFormat="1" ht="26.25">
      <c r="A76" s="49" t="s">
        <v>76</v>
      </c>
      <c r="B76" s="311">
        <v>122720260</v>
      </c>
      <c r="C76" s="51">
        <v>129102654</v>
      </c>
      <c r="D76" s="51">
        <v>129659309</v>
      </c>
      <c r="E76" s="34">
        <v>556655</v>
      </c>
      <c r="F76" s="35">
        <v>4.3117239092544139E-3</v>
      </c>
    </row>
    <row r="77" spans="1:6" s="13" customFormat="1" ht="26.25">
      <c r="A77" s="29" t="s">
        <v>77</v>
      </c>
      <c r="B77" s="312">
        <v>266754</v>
      </c>
      <c r="C77" s="26">
        <v>227675</v>
      </c>
      <c r="D77" s="26">
        <v>224312</v>
      </c>
      <c r="E77" s="28">
        <v>-3363</v>
      </c>
      <c r="F77" s="24">
        <v>-1.4771055232238936E-2</v>
      </c>
    </row>
    <row r="78" spans="1:6" s="13" customFormat="1" ht="26.25">
      <c r="A78" s="29" t="s">
        <v>78</v>
      </c>
      <c r="B78" s="123">
        <v>15339966</v>
      </c>
      <c r="C78" s="23">
        <v>13829601</v>
      </c>
      <c r="D78" s="23">
        <v>14796232</v>
      </c>
      <c r="E78" s="28">
        <v>966631</v>
      </c>
      <c r="F78" s="24">
        <v>6.9895798150648017E-2</v>
      </c>
    </row>
    <row r="79" spans="1:6" s="13" customFormat="1" ht="26.25">
      <c r="A79" s="29" t="s">
        <v>79</v>
      </c>
      <c r="B79" s="308">
        <v>4224785</v>
      </c>
      <c r="C79" s="19">
        <v>3769916</v>
      </c>
      <c r="D79" s="19">
        <v>4250322</v>
      </c>
      <c r="E79" s="28">
        <v>480406</v>
      </c>
      <c r="F79" s="24">
        <v>0.12743148653710057</v>
      </c>
    </row>
    <row r="80" spans="1:6" s="36" customFormat="1" ht="26.25">
      <c r="A80" s="32" t="s">
        <v>80</v>
      </c>
      <c r="B80" s="311">
        <v>19831505</v>
      </c>
      <c r="C80" s="51">
        <v>17827192</v>
      </c>
      <c r="D80" s="51">
        <v>19270866</v>
      </c>
      <c r="E80" s="34">
        <v>1443674</v>
      </c>
      <c r="F80" s="35">
        <v>8.0981570176615586E-2</v>
      </c>
    </row>
    <row r="81" spans="1:7" s="13" customFormat="1" ht="26.25">
      <c r="A81" s="29" t="s">
        <v>81</v>
      </c>
      <c r="B81" s="308">
        <v>1545101</v>
      </c>
      <c r="C81" s="19">
        <v>1806075</v>
      </c>
      <c r="D81" s="19">
        <v>1250798</v>
      </c>
      <c r="E81" s="28">
        <v>-555277</v>
      </c>
      <c r="F81" s="24">
        <v>-0.30744957989009314</v>
      </c>
    </row>
    <row r="82" spans="1:7" s="13" customFormat="1" ht="26.25">
      <c r="A82" s="29" t="s">
        <v>82</v>
      </c>
      <c r="B82" s="309">
        <v>22190506</v>
      </c>
      <c r="C82" s="28">
        <v>20141128</v>
      </c>
      <c r="D82" s="28">
        <v>21918624</v>
      </c>
      <c r="E82" s="28">
        <v>1777496</v>
      </c>
      <c r="F82" s="24">
        <v>8.8252058176682066E-2</v>
      </c>
    </row>
    <row r="83" spans="1:7" s="13" customFormat="1" ht="26.25">
      <c r="A83" s="29" t="s">
        <v>83</v>
      </c>
      <c r="B83" s="309">
        <v>260552</v>
      </c>
      <c r="C83" s="28">
        <v>260553</v>
      </c>
      <c r="D83" s="28">
        <v>261769</v>
      </c>
      <c r="E83" s="28">
        <v>1216</v>
      </c>
      <c r="F83" s="24">
        <v>4.6669967338698846E-3</v>
      </c>
    </row>
    <row r="84" spans="1:7" s="13" customFormat="1" ht="26.25">
      <c r="A84" s="29" t="s">
        <v>84</v>
      </c>
      <c r="B84" s="309">
        <v>7012851</v>
      </c>
      <c r="C84" s="28">
        <v>7310049</v>
      </c>
      <c r="D84" s="28">
        <v>7177573</v>
      </c>
      <c r="E84" s="28">
        <v>-132476</v>
      </c>
      <c r="F84" s="24">
        <v>-1.8122450341988131E-2</v>
      </c>
    </row>
    <row r="85" spans="1:7" s="36" customFormat="1" ht="26.25">
      <c r="A85" s="32" t="s">
        <v>85</v>
      </c>
      <c r="B85" s="310">
        <v>31009010</v>
      </c>
      <c r="C85" s="34">
        <v>29517805</v>
      </c>
      <c r="D85" s="34">
        <v>30608764</v>
      </c>
      <c r="E85" s="34">
        <v>1090959</v>
      </c>
      <c r="F85" s="35">
        <v>3.6959353854393986E-2</v>
      </c>
    </row>
    <row r="86" spans="1:7" s="13" customFormat="1" ht="26.25">
      <c r="A86" s="29" t="s">
        <v>86</v>
      </c>
      <c r="B86" s="309">
        <v>1225311</v>
      </c>
      <c r="C86" s="28">
        <v>267677</v>
      </c>
      <c r="D86" s="28">
        <v>243711</v>
      </c>
      <c r="E86" s="28">
        <v>-23966</v>
      </c>
      <c r="F86" s="24">
        <v>-8.9533280782435554E-2</v>
      </c>
    </row>
    <row r="87" spans="1:7" s="13" customFormat="1" ht="26.25">
      <c r="A87" s="29" t="s">
        <v>87</v>
      </c>
      <c r="B87" s="309">
        <v>1805147</v>
      </c>
      <c r="C87" s="28">
        <v>1743492</v>
      </c>
      <c r="D87" s="28">
        <v>1764282</v>
      </c>
      <c r="E87" s="28">
        <v>20790</v>
      </c>
      <c r="F87" s="24">
        <v>1.1924344935336669E-2</v>
      </c>
    </row>
    <row r="88" spans="1:7" s="13" customFormat="1" ht="26.25">
      <c r="A88" s="38" t="s">
        <v>88</v>
      </c>
      <c r="B88" s="309">
        <v>242226</v>
      </c>
      <c r="C88" s="28">
        <v>0</v>
      </c>
      <c r="D88" s="28">
        <v>0</v>
      </c>
      <c r="E88" s="28">
        <v>0</v>
      </c>
      <c r="F88" s="24">
        <v>0</v>
      </c>
    </row>
    <row r="89" spans="1:7" s="36" customFormat="1" ht="26.25">
      <c r="A89" s="52" t="s">
        <v>89</v>
      </c>
      <c r="B89" s="311">
        <v>3272684</v>
      </c>
      <c r="C89" s="51">
        <v>2011169</v>
      </c>
      <c r="D89" s="51">
        <v>2007993</v>
      </c>
      <c r="E89" s="51">
        <v>-3176</v>
      </c>
      <c r="F89" s="35">
        <v>-1.5791810633517124E-3</v>
      </c>
    </row>
    <row r="90" spans="1:7" s="13" customFormat="1" ht="26.25">
      <c r="A90" s="38" t="s">
        <v>90</v>
      </c>
      <c r="B90" s="309">
        <v>0</v>
      </c>
      <c r="C90" s="28">
        <v>0</v>
      </c>
      <c r="D90" s="26">
        <v>0</v>
      </c>
      <c r="E90" s="28">
        <v>0</v>
      </c>
      <c r="F90" s="24">
        <v>0</v>
      </c>
    </row>
    <row r="91" spans="1:7" s="36" customFormat="1" ht="27" thickBot="1">
      <c r="A91" s="53" t="s">
        <v>71</v>
      </c>
      <c r="B91" s="313">
        <v>176833459</v>
      </c>
      <c r="C91" s="54">
        <v>178458820</v>
      </c>
      <c r="D91" s="55">
        <v>181546932</v>
      </c>
      <c r="E91" s="54">
        <v>3088112</v>
      </c>
      <c r="F91" s="56">
        <v>1.7304339454894971E-2</v>
      </c>
    </row>
    <row r="92" spans="1:7" s="60" customFormat="1" ht="23.25" customHeight="1" thickBot="1">
      <c r="A92" s="57"/>
      <c r="B92" s="58"/>
      <c r="C92" s="58"/>
      <c r="D92" s="58"/>
      <c r="E92" s="59"/>
      <c r="F92" s="59"/>
    </row>
    <row r="93" spans="1:7" s="60" customFormat="1" ht="31.5">
      <c r="A93" s="160" t="s">
        <v>43</v>
      </c>
      <c r="B93" s="161"/>
      <c r="C93" s="161"/>
      <c r="D93" s="162"/>
      <c r="E93" s="161"/>
      <c r="F93" s="163"/>
      <c r="G93" s="13"/>
    </row>
    <row r="94" spans="1:7" s="60" customFormat="1" ht="31.5" hidden="1">
      <c r="A94" s="164" t="s">
        <v>121</v>
      </c>
      <c r="B94" s="165">
        <v>0</v>
      </c>
      <c r="C94" s="165">
        <v>0</v>
      </c>
      <c r="D94" s="166"/>
      <c r="E94" s="165">
        <v>0</v>
      </c>
      <c r="F94" s="167">
        <v>0</v>
      </c>
      <c r="G94" s="13"/>
    </row>
    <row r="95" spans="1:7" ht="26.25" hidden="1">
      <c r="A95" s="234" t="s">
        <v>45</v>
      </c>
      <c r="B95" s="189">
        <v>0</v>
      </c>
      <c r="C95" s="189">
        <v>0</v>
      </c>
      <c r="D95" s="190"/>
      <c r="E95" s="198">
        <v>0</v>
      </c>
      <c r="F95" s="235">
        <v>0</v>
      </c>
      <c r="G95" s="13"/>
    </row>
    <row r="96" spans="1:7" s="251" customFormat="1" ht="26.25">
      <c r="A96" s="247" t="s">
        <v>122</v>
      </c>
      <c r="B96" s="314">
        <v>16651381</v>
      </c>
      <c r="C96" s="248">
        <v>1428125</v>
      </c>
      <c r="D96" s="249"/>
      <c r="E96" s="248">
        <v>-1428125</v>
      </c>
      <c r="F96" s="240">
        <v>-1</v>
      </c>
      <c r="G96" s="250"/>
    </row>
    <row r="97" spans="1:7" ht="26.25" hidden="1">
      <c r="A97" s="168" t="s">
        <v>47</v>
      </c>
      <c r="B97" s="165">
        <v>0</v>
      </c>
      <c r="C97" s="165">
        <v>0</v>
      </c>
      <c r="D97" s="166"/>
      <c r="E97" s="169">
        <v>0</v>
      </c>
      <c r="F97" s="167">
        <v>0</v>
      </c>
      <c r="G97" s="13"/>
    </row>
    <row r="98" spans="1:7" ht="26.25" hidden="1">
      <c r="A98" s="170" t="s">
        <v>48</v>
      </c>
      <c r="B98" s="165">
        <v>0</v>
      </c>
      <c r="C98" s="165">
        <v>0</v>
      </c>
      <c r="D98" s="166"/>
      <c r="E98" s="169">
        <v>0</v>
      </c>
      <c r="F98" s="167">
        <v>0</v>
      </c>
      <c r="G98" s="13"/>
    </row>
    <row r="99" spans="1:7" ht="27" thickBot="1">
      <c r="A99" s="171" t="s">
        <v>49</v>
      </c>
      <c r="B99" s="172">
        <v>16651381</v>
      </c>
      <c r="C99" s="172">
        <v>1428125</v>
      </c>
      <c r="D99" s="173">
        <v>0</v>
      </c>
      <c r="E99" s="172">
        <v>-1428125</v>
      </c>
      <c r="F99" s="174">
        <v>-1</v>
      </c>
      <c r="G99" s="36"/>
    </row>
    <row r="100" spans="1:7" ht="23.25" customHeight="1">
      <c r="A100" s="175"/>
      <c r="B100" s="176"/>
      <c r="C100" s="176"/>
      <c r="D100" s="176"/>
      <c r="E100" s="176"/>
      <c r="F100" s="177"/>
      <c r="G100" s="36"/>
    </row>
    <row r="101" spans="1:7" ht="31.5">
      <c r="A101" s="61" t="s">
        <v>91</v>
      </c>
      <c r="B101" s="62"/>
      <c r="C101" s="62"/>
      <c r="D101" s="62"/>
      <c r="E101" s="59"/>
      <c r="F101" s="59"/>
      <c r="G101" s="60"/>
    </row>
    <row r="102" spans="1:7" ht="31.5">
      <c r="A102" s="61" t="s">
        <v>92</v>
      </c>
      <c r="B102" s="62"/>
      <c r="C102" s="62"/>
      <c r="D102" s="62"/>
      <c r="E102" s="59"/>
      <c r="F102" s="59"/>
      <c r="G102" s="60"/>
    </row>
    <row r="103" spans="1:7" ht="30">
      <c r="A103" s="178" t="s">
        <v>123</v>
      </c>
      <c r="B103" s="64"/>
      <c r="C103" s="64"/>
      <c r="D103" s="64"/>
    </row>
  </sheetData>
  <pageMargins left="0.7" right="0.7" top="0.3" bottom="0.3" header="0.3" footer="0.3"/>
  <pageSetup scale="2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3"/>
  <sheetViews>
    <sheetView topLeftCell="A58" zoomScale="50" zoomScaleNormal="50" workbookViewId="0">
      <selection activeCell="H86" sqref="H86"/>
    </sheetView>
  </sheetViews>
  <sheetFormatPr defaultRowHeight="15.75"/>
  <cols>
    <col min="1" max="1" width="121.140625" style="75" customWidth="1"/>
    <col min="2" max="2" width="32.7109375" style="76" customWidth="1"/>
    <col min="3" max="4" width="32.85546875" style="76" customWidth="1"/>
    <col min="5" max="5" width="35.42578125" style="75" customWidth="1"/>
    <col min="6" max="6" width="25.140625" style="75" customWidth="1"/>
    <col min="7" max="7" width="40.28515625" style="75" customWidth="1"/>
    <col min="8" max="8" width="46.5703125" style="75" customWidth="1"/>
    <col min="9" max="254" width="9.140625" style="75"/>
    <col min="255" max="255" width="121.140625" style="75" customWidth="1"/>
    <col min="256" max="256" width="32.7109375" style="75" customWidth="1"/>
    <col min="257" max="258" width="32.85546875" style="75" customWidth="1"/>
    <col min="259" max="259" width="29.7109375" style="75" customWidth="1"/>
    <col min="260" max="260" width="25.5703125" style="75" customWidth="1"/>
    <col min="261" max="261" width="35.42578125" style="75" customWidth="1"/>
    <col min="262" max="262" width="25.140625" style="75" customWidth="1"/>
    <col min="263" max="510" width="9.140625" style="75"/>
    <col min="511" max="511" width="121.140625" style="75" customWidth="1"/>
    <col min="512" max="512" width="32.7109375" style="75" customWidth="1"/>
    <col min="513" max="514" width="32.85546875" style="75" customWidth="1"/>
    <col min="515" max="515" width="29.7109375" style="75" customWidth="1"/>
    <col min="516" max="516" width="25.5703125" style="75" customWidth="1"/>
    <col min="517" max="517" width="35.42578125" style="75" customWidth="1"/>
    <col min="518" max="518" width="25.140625" style="75" customWidth="1"/>
    <col min="519" max="766" width="9.140625" style="75"/>
    <col min="767" max="767" width="121.140625" style="75" customWidth="1"/>
    <col min="768" max="768" width="32.7109375" style="75" customWidth="1"/>
    <col min="769" max="770" width="32.85546875" style="75" customWidth="1"/>
    <col min="771" max="771" width="29.7109375" style="75" customWidth="1"/>
    <col min="772" max="772" width="25.5703125" style="75" customWidth="1"/>
    <col min="773" max="773" width="35.42578125" style="75" customWidth="1"/>
    <col min="774" max="774" width="25.140625" style="75" customWidth="1"/>
    <col min="775" max="1022" width="9.140625" style="75"/>
    <col min="1023" max="1023" width="121.140625" style="75" customWidth="1"/>
    <col min="1024" max="1024" width="32.7109375" style="75" customWidth="1"/>
    <col min="1025" max="1026" width="32.85546875" style="75" customWidth="1"/>
    <col min="1027" max="1027" width="29.7109375" style="75" customWidth="1"/>
    <col min="1028" max="1028" width="25.5703125" style="75" customWidth="1"/>
    <col min="1029" max="1029" width="35.42578125" style="75" customWidth="1"/>
    <col min="1030" max="1030" width="25.140625" style="75" customWidth="1"/>
    <col min="1031" max="1278" width="9.140625" style="75"/>
    <col min="1279" max="1279" width="121.140625" style="75" customWidth="1"/>
    <col min="1280" max="1280" width="32.7109375" style="75" customWidth="1"/>
    <col min="1281" max="1282" width="32.85546875" style="75" customWidth="1"/>
    <col min="1283" max="1283" width="29.7109375" style="75" customWidth="1"/>
    <col min="1284" max="1284" width="25.5703125" style="75" customWidth="1"/>
    <col min="1285" max="1285" width="35.42578125" style="75" customWidth="1"/>
    <col min="1286" max="1286" width="25.140625" style="75" customWidth="1"/>
    <col min="1287" max="1534" width="9.140625" style="75"/>
    <col min="1535" max="1535" width="121.140625" style="75" customWidth="1"/>
    <col min="1536" max="1536" width="32.7109375" style="75" customWidth="1"/>
    <col min="1537" max="1538" width="32.85546875" style="75" customWidth="1"/>
    <col min="1539" max="1539" width="29.7109375" style="75" customWidth="1"/>
    <col min="1540" max="1540" width="25.5703125" style="75" customWidth="1"/>
    <col min="1541" max="1541" width="35.42578125" style="75" customWidth="1"/>
    <col min="1542" max="1542" width="25.140625" style="75" customWidth="1"/>
    <col min="1543" max="1790" width="9.140625" style="75"/>
    <col min="1791" max="1791" width="121.140625" style="75" customWidth="1"/>
    <col min="1792" max="1792" width="32.7109375" style="75" customWidth="1"/>
    <col min="1793" max="1794" width="32.85546875" style="75" customWidth="1"/>
    <col min="1795" max="1795" width="29.7109375" style="75" customWidth="1"/>
    <col min="1796" max="1796" width="25.5703125" style="75" customWidth="1"/>
    <col min="1797" max="1797" width="35.42578125" style="75" customWidth="1"/>
    <col min="1798" max="1798" width="25.140625" style="75" customWidth="1"/>
    <col min="1799" max="2046" width="9.140625" style="75"/>
    <col min="2047" max="2047" width="121.140625" style="75" customWidth="1"/>
    <col min="2048" max="2048" width="32.7109375" style="75" customWidth="1"/>
    <col min="2049" max="2050" width="32.85546875" style="75" customWidth="1"/>
    <col min="2051" max="2051" width="29.7109375" style="75" customWidth="1"/>
    <col min="2052" max="2052" width="25.5703125" style="75" customWidth="1"/>
    <col min="2053" max="2053" width="35.42578125" style="75" customWidth="1"/>
    <col min="2054" max="2054" width="25.140625" style="75" customWidth="1"/>
    <col min="2055" max="2302" width="9.140625" style="75"/>
    <col min="2303" max="2303" width="121.140625" style="75" customWidth="1"/>
    <col min="2304" max="2304" width="32.7109375" style="75" customWidth="1"/>
    <col min="2305" max="2306" width="32.85546875" style="75" customWidth="1"/>
    <col min="2307" max="2307" width="29.7109375" style="75" customWidth="1"/>
    <col min="2308" max="2308" width="25.5703125" style="75" customWidth="1"/>
    <col min="2309" max="2309" width="35.42578125" style="75" customWidth="1"/>
    <col min="2310" max="2310" width="25.140625" style="75" customWidth="1"/>
    <col min="2311" max="2558" width="9.140625" style="75"/>
    <col min="2559" max="2559" width="121.140625" style="75" customWidth="1"/>
    <col min="2560" max="2560" width="32.7109375" style="75" customWidth="1"/>
    <col min="2561" max="2562" width="32.85546875" style="75" customWidth="1"/>
    <col min="2563" max="2563" width="29.7109375" style="75" customWidth="1"/>
    <col min="2564" max="2564" width="25.5703125" style="75" customWidth="1"/>
    <col min="2565" max="2565" width="35.42578125" style="75" customWidth="1"/>
    <col min="2566" max="2566" width="25.140625" style="75" customWidth="1"/>
    <col min="2567" max="2814" width="9.140625" style="75"/>
    <col min="2815" max="2815" width="121.140625" style="75" customWidth="1"/>
    <col min="2816" max="2816" width="32.7109375" style="75" customWidth="1"/>
    <col min="2817" max="2818" width="32.85546875" style="75" customWidth="1"/>
    <col min="2819" max="2819" width="29.7109375" style="75" customWidth="1"/>
    <col min="2820" max="2820" width="25.5703125" style="75" customWidth="1"/>
    <col min="2821" max="2821" width="35.42578125" style="75" customWidth="1"/>
    <col min="2822" max="2822" width="25.140625" style="75" customWidth="1"/>
    <col min="2823" max="3070" width="9.140625" style="75"/>
    <col min="3071" max="3071" width="121.140625" style="75" customWidth="1"/>
    <col min="3072" max="3072" width="32.7109375" style="75" customWidth="1"/>
    <col min="3073" max="3074" width="32.85546875" style="75" customWidth="1"/>
    <col min="3075" max="3075" width="29.7109375" style="75" customWidth="1"/>
    <col min="3076" max="3076" width="25.5703125" style="75" customWidth="1"/>
    <col min="3077" max="3077" width="35.42578125" style="75" customWidth="1"/>
    <col min="3078" max="3078" width="25.140625" style="75" customWidth="1"/>
    <col min="3079" max="3326" width="9.140625" style="75"/>
    <col min="3327" max="3327" width="121.140625" style="75" customWidth="1"/>
    <col min="3328" max="3328" width="32.7109375" style="75" customWidth="1"/>
    <col min="3329" max="3330" width="32.85546875" style="75" customWidth="1"/>
    <col min="3331" max="3331" width="29.7109375" style="75" customWidth="1"/>
    <col min="3332" max="3332" width="25.5703125" style="75" customWidth="1"/>
    <col min="3333" max="3333" width="35.42578125" style="75" customWidth="1"/>
    <col min="3334" max="3334" width="25.140625" style="75" customWidth="1"/>
    <col min="3335" max="3582" width="9.140625" style="75"/>
    <col min="3583" max="3583" width="121.140625" style="75" customWidth="1"/>
    <col min="3584" max="3584" width="32.7109375" style="75" customWidth="1"/>
    <col min="3585" max="3586" width="32.85546875" style="75" customWidth="1"/>
    <col min="3587" max="3587" width="29.7109375" style="75" customWidth="1"/>
    <col min="3588" max="3588" width="25.5703125" style="75" customWidth="1"/>
    <col min="3589" max="3589" width="35.42578125" style="75" customWidth="1"/>
    <col min="3590" max="3590" width="25.140625" style="75" customWidth="1"/>
    <col min="3591" max="3838" width="9.140625" style="75"/>
    <col min="3839" max="3839" width="121.140625" style="75" customWidth="1"/>
    <col min="3840" max="3840" width="32.7109375" style="75" customWidth="1"/>
    <col min="3841" max="3842" width="32.85546875" style="75" customWidth="1"/>
    <col min="3843" max="3843" width="29.7109375" style="75" customWidth="1"/>
    <col min="3844" max="3844" width="25.5703125" style="75" customWidth="1"/>
    <col min="3845" max="3845" width="35.42578125" style="75" customWidth="1"/>
    <col min="3846" max="3846" width="25.140625" style="75" customWidth="1"/>
    <col min="3847" max="4094" width="9.140625" style="75"/>
    <col min="4095" max="4095" width="121.140625" style="75" customWidth="1"/>
    <col min="4096" max="4096" width="32.7109375" style="75" customWidth="1"/>
    <col min="4097" max="4098" width="32.85546875" style="75" customWidth="1"/>
    <col min="4099" max="4099" width="29.7109375" style="75" customWidth="1"/>
    <col min="4100" max="4100" width="25.5703125" style="75" customWidth="1"/>
    <col min="4101" max="4101" width="35.42578125" style="75" customWidth="1"/>
    <col min="4102" max="4102" width="25.140625" style="75" customWidth="1"/>
    <col min="4103" max="4350" width="9.140625" style="75"/>
    <col min="4351" max="4351" width="121.140625" style="75" customWidth="1"/>
    <col min="4352" max="4352" width="32.7109375" style="75" customWidth="1"/>
    <col min="4353" max="4354" width="32.85546875" style="75" customWidth="1"/>
    <col min="4355" max="4355" width="29.7109375" style="75" customWidth="1"/>
    <col min="4356" max="4356" width="25.5703125" style="75" customWidth="1"/>
    <col min="4357" max="4357" width="35.42578125" style="75" customWidth="1"/>
    <col min="4358" max="4358" width="25.140625" style="75" customWidth="1"/>
    <col min="4359" max="4606" width="9.140625" style="75"/>
    <col min="4607" max="4607" width="121.140625" style="75" customWidth="1"/>
    <col min="4608" max="4608" width="32.7109375" style="75" customWidth="1"/>
    <col min="4609" max="4610" width="32.85546875" style="75" customWidth="1"/>
    <col min="4611" max="4611" width="29.7109375" style="75" customWidth="1"/>
    <col min="4612" max="4612" width="25.5703125" style="75" customWidth="1"/>
    <col min="4613" max="4613" width="35.42578125" style="75" customWidth="1"/>
    <col min="4614" max="4614" width="25.140625" style="75" customWidth="1"/>
    <col min="4615" max="4862" width="9.140625" style="75"/>
    <col min="4863" max="4863" width="121.140625" style="75" customWidth="1"/>
    <col min="4864" max="4864" width="32.7109375" style="75" customWidth="1"/>
    <col min="4865" max="4866" width="32.85546875" style="75" customWidth="1"/>
    <col min="4867" max="4867" width="29.7109375" style="75" customWidth="1"/>
    <col min="4868" max="4868" width="25.5703125" style="75" customWidth="1"/>
    <col min="4869" max="4869" width="35.42578125" style="75" customWidth="1"/>
    <col min="4870" max="4870" width="25.140625" style="75" customWidth="1"/>
    <col min="4871" max="5118" width="9.140625" style="75"/>
    <col min="5119" max="5119" width="121.140625" style="75" customWidth="1"/>
    <col min="5120" max="5120" width="32.7109375" style="75" customWidth="1"/>
    <col min="5121" max="5122" width="32.85546875" style="75" customWidth="1"/>
    <col min="5123" max="5123" width="29.7109375" style="75" customWidth="1"/>
    <col min="5124" max="5124" width="25.5703125" style="75" customWidth="1"/>
    <col min="5125" max="5125" width="35.42578125" style="75" customWidth="1"/>
    <col min="5126" max="5126" width="25.140625" style="75" customWidth="1"/>
    <col min="5127" max="5374" width="9.140625" style="75"/>
    <col min="5375" max="5375" width="121.140625" style="75" customWidth="1"/>
    <col min="5376" max="5376" width="32.7109375" style="75" customWidth="1"/>
    <col min="5377" max="5378" width="32.85546875" style="75" customWidth="1"/>
    <col min="5379" max="5379" width="29.7109375" style="75" customWidth="1"/>
    <col min="5380" max="5380" width="25.5703125" style="75" customWidth="1"/>
    <col min="5381" max="5381" width="35.42578125" style="75" customWidth="1"/>
    <col min="5382" max="5382" width="25.140625" style="75" customWidth="1"/>
    <col min="5383" max="5630" width="9.140625" style="75"/>
    <col min="5631" max="5631" width="121.140625" style="75" customWidth="1"/>
    <col min="5632" max="5632" width="32.7109375" style="75" customWidth="1"/>
    <col min="5633" max="5634" width="32.85546875" style="75" customWidth="1"/>
    <col min="5635" max="5635" width="29.7109375" style="75" customWidth="1"/>
    <col min="5636" max="5636" width="25.5703125" style="75" customWidth="1"/>
    <col min="5637" max="5637" width="35.42578125" style="75" customWidth="1"/>
    <col min="5638" max="5638" width="25.140625" style="75" customWidth="1"/>
    <col min="5639" max="5886" width="9.140625" style="75"/>
    <col min="5887" max="5887" width="121.140625" style="75" customWidth="1"/>
    <col min="5888" max="5888" width="32.7109375" style="75" customWidth="1"/>
    <col min="5889" max="5890" width="32.85546875" style="75" customWidth="1"/>
    <col min="5891" max="5891" width="29.7109375" style="75" customWidth="1"/>
    <col min="5892" max="5892" width="25.5703125" style="75" customWidth="1"/>
    <col min="5893" max="5893" width="35.42578125" style="75" customWidth="1"/>
    <col min="5894" max="5894" width="25.140625" style="75" customWidth="1"/>
    <col min="5895" max="6142" width="9.140625" style="75"/>
    <col min="6143" max="6143" width="121.140625" style="75" customWidth="1"/>
    <col min="6144" max="6144" width="32.7109375" style="75" customWidth="1"/>
    <col min="6145" max="6146" width="32.85546875" style="75" customWidth="1"/>
    <col min="6147" max="6147" width="29.7109375" style="75" customWidth="1"/>
    <col min="6148" max="6148" width="25.5703125" style="75" customWidth="1"/>
    <col min="6149" max="6149" width="35.42578125" style="75" customWidth="1"/>
    <col min="6150" max="6150" width="25.140625" style="75" customWidth="1"/>
    <col min="6151" max="6398" width="9.140625" style="75"/>
    <col min="6399" max="6399" width="121.140625" style="75" customWidth="1"/>
    <col min="6400" max="6400" width="32.7109375" style="75" customWidth="1"/>
    <col min="6401" max="6402" width="32.85546875" style="75" customWidth="1"/>
    <col min="6403" max="6403" width="29.7109375" style="75" customWidth="1"/>
    <col min="6404" max="6404" width="25.5703125" style="75" customWidth="1"/>
    <col min="6405" max="6405" width="35.42578125" style="75" customWidth="1"/>
    <col min="6406" max="6406" width="25.140625" style="75" customWidth="1"/>
    <col min="6407" max="6654" width="9.140625" style="75"/>
    <col min="6655" max="6655" width="121.140625" style="75" customWidth="1"/>
    <col min="6656" max="6656" width="32.7109375" style="75" customWidth="1"/>
    <col min="6657" max="6658" width="32.85546875" style="75" customWidth="1"/>
    <col min="6659" max="6659" width="29.7109375" style="75" customWidth="1"/>
    <col min="6660" max="6660" width="25.5703125" style="75" customWidth="1"/>
    <col min="6661" max="6661" width="35.42578125" style="75" customWidth="1"/>
    <col min="6662" max="6662" width="25.140625" style="75" customWidth="1"/>
    <col min="6663" max="6910" width="9.140625" style="75"/>
    <col min="6911" max="6911" width="121.140625" style="75" customWidth="1"/>
    <col min="6912" max="6912" width="32.7109375" style="75" customWidth="1"/>
    <col min="6913" max="6914" width="32.85546875" style="75" customWidth="1"/>
    <col min="6915" max="6915" width="29.7109375" style="75" customWidth="1"/>
    <col min="6916" max="6916" width="25.5703125" style="75" customWidth="1"/>
    <col min="6917" max="6917" width="35.42578125" style="75" customWidth="1"/>
    <col min="6918" max="6918" width="25.140625" style="75" customWidth="1"/>
    <col min="6919" max="7166" width="9.140625" style="75"/>
    <col min="7167" max="7167" width="121.140625" style="75" customWidth="1"/>
    <col min="7168" max="7168" width="32.7109375" style="75" customWidth="1"/>
    <col min="7169" max="7170" width="32.85546875" style="75" customWidth="1"/>
    <col min="7171" max="7171" width="29.7109375" style="75" customWidth="1"/>
    <col min="7172" max="7172" width="25.5703125" style="75" customWidth="1"/>
    <col min="7173" max="7173" width="35.42578125" style="75" customWidth="1"/>
    <col min="7174" max="7174" width="25.140625" style="75" customWidth="1"/>
    <col min="7175" max="7422" width="9.140625" style="75"/>
    <col min="7423" max="7423" width="121.140625" style="75" customWidth="1"/>
    <col min="7424" max="7424" width="32.7109375" style="75" customWidth="1"/>
    <col min="7425" max="7426" width="32.85546875" style="75" customWidth="1"/>
    <col min="7427" max="7427" width="29.7109375" style="75" customWidth="1"/>
    <col min="7428" max="7428" width="25.5703125" style="75" customWidth="1"/>
    <col min="7429" max="7429" width="35.42578125" style="75" customWidth="1"/>
    <col min="7430" max="7430" width="25.140625" style="75" customWidth="1"/>
    <col min="7431" max="7678" width="9.140625" style="75"/>
    <col min="7679" max="7679" width="121.140625" style="75" customWidth="1"/>
    <col min="7680" max="7680" width="32.7109375" style="75" customWidth="1"/>
    <col min="7681" max="7682" width="32.85546875" style="75" customWidth="1"/>
    <col min="7683" max="7683" width="29.7109375" style="75" customWidth="1"/>
    <col min="7684" max="7684" width="25.5703125" style="75" customWidth="1"/>
    <col min="7685" max="7685" width="35.42578125" style="75" customWidth="1"/>
    <col min="7686" max="7686" width="25.140625" style="75" customWidth="1"/>
    <col min="7687" max="7934" width="9.140625" style="75"/>
    <col min="7935" max="7935" width="121.140625" style="75" customWidth="1"/>
    <col min="7936" max="7936" width="32.7109375" style="75" customWidth="1"/>
    <col min="7937" max="7938" width="32.85546875" style="75" customWidth="1"/>
    <col min="7939" max="7939" width="29.7109375" style="75" customWidth="1"/>
    <col min="7940" max="7940" width="25.5703125" style="75" customWidth="1"/>
    <col min="7941" max="7941" width="35.42578125" style="75" customWidth="1"/>
    <col min="7942" max="7942" width="25.140625" style="75" customWidth="1"/>
    <col min="7943" max="8190" width="9.140625" style="75"/>
    <col min="8191" max="8191" width="121.140625" style="75" customWidth="1"/>
    <col min="8192" max="8192" width="32.7109375" style="75" customWidth="1"/>
    <col min="8193" max="8194" width="32.85546875" style="75" customWidth="1"/>
    <col min="8195" max="8195" width="29.7109375" style="75" customWidth="1"/>
    <col min="8196" max="8196" width="25.5703125" style="75" customWidth="1"/>
    <col min="8197" max="8197" width="35.42578125" style="75" customWidth="1"/>
    <col min="8198" max="8198" width="25.140625" style="75" customWidth="1"/>
    <col min="8199" max="8446" width="9.140625" style="75"/>
    <col min="8447" max="8447" width="121.140625" style="75" customWidth="1"/>
    <col min="8448" max="8448" width="32.7109375" style="75" customWidth="1"/>
    <col min="8449" max="8450" width="32.85546875" style="75" customWidth="1"/>
    <col min="8451" max="8451" width="29.7109375" style="75" customWidth="1"/>
    <col min="8452" max="8452" width="25.5703125" style="75" customWidth="1"/>
    <col min="8453" max="8453" width="35.42578125" style="75" customWidth="1"/>
    <col min="8454" max="8454" width="25.140625" style="75" customWidth="1"/>
    <col min="8455" max="8702" width="9.140625" style="75"/>
    <col min="8703" max="8703" width="121.140625" style="75" customWidth="1"/>
    <col min="8704" max="8704" width="32.7109375" style="75" customWidth="1"/>
    <col min="8705" max="8706" width="32.85546875" style="75" customWidth="1"/>
    <col min="8707" max="8707" width="29.7109375" style="75" customWidth="1"/>
    <col min="8708" max="8708" width="25.5703125" style="75" customWidth="1"/>
    <col min="8709" max="8709" width="35.42578125" style="75" customWidth="1"/>
    <col min="8710" max="8710" width="25.140625" style="75" customWidth="1"/>
    <col min="8711" max="8958" width="9.140625" style="75"/>
    <col min="8959" max="8959" width="121.140625" style="75" customWidth="1"/>
    <col min="8960" max="8960" width="32.7109375" style="75" customWidth="1"/>
    <col min="8961" max="8962" width="32.85546875" style="75" customWidth="1"/>
    <col min="8963" max="8963" width="29.7109375" style="75" customWidth="1"/>
    <col min="8964" max="8964" width="25.5703125" style="75" customWidth="1"/>
    <col min="8965" max="8965" width="35.42578125" style="75" customWidth="1"/>
    <col min="8966" max="8966" width="25.140625" style="75" customWidth="1"/>
    <col min="8967" max="9214" width="9.140625" style="75"/>
    <col min="9215" max="9215" width="121.140625" style="75" customWidth="1"/>
    <col min="9216" max="9216" width="32.7109375" style="75" customWidth="1"/>
    <col min="9217" max="9218" width="32.85546875" style="75" customWidth="1"/>
    <col min="9219" max="9219" width="29.7109375" style="75" customWidth="1"/>
    <col min="9220" max="9220" width="25.5703125" style="75" customWidth="1"/>
    <col min="9221" max="9221" width="35.42578125" style="75" customWidth="1"/>
    <col min="9222" max="9222" width="25.140625" style="75" customWidth="1"/>
    <col min="9223" max="9470" width="9.140625" style="75"/>
    <col min="9471" max="9471" width="121.140625" style="75" customWidth="1"/>
    <col min="9472" max="9472" width="32.7109375" style="75" customWidth="1"/>
    <col min="9473" max="9474" width="32.85546875" style="75" customWidth="1"/>
    <col min="9475" max="9475" width="29.7109375" style="75" customWidth="1"/>
    <col min="9476" max="9476" width="25.5703125" style="75" customWidth="1"/>
    <col min="9477" max="9477" width="35.42578125" style="75" customWidth="1"/>
    <col min="9478" max="9478" width="25.140625" style="75" customWidth="1"/>
    <col min="9479" max="9726" width="9.140625" style="75"/>
    <col min="9727" max="9727" width="121.140625" style="75" customWidth="1"/>
    <col min="9728" max="9728" width="32.7109375" style="75" customWidth="1"/>
    <col min="9729" max="9730" width="32.85546875" style="75" customWidth="1"/>
    <col min="9731" max="9731" width="29.7109375" style="75" customWidth="1"/>
    <col min="9732" max="9732" width="25.5703125" style="75" customWidth="1"/>
    <col min="9733" max="9733" width="35.42578125" style="75" customWidth="1"/>
    <col min="9734" max="9734" width="25.140625" style="75" customWidth="1"/>
    <col min="9735" max="9982" width="9.140625" style="75"/>
    <col min="9983" max="9983" width="121.140625" style="75" customWidth="1"/>
    <col min="9984" max="9984" width="32.7109375" style="75" customWidth="1"/>
    <col min="9985" max="9986" width="32.85546875" style="75" customWidth="1"/>
    <col min="9987" max="9987" width="29.7109375" style="75" customWidth="1"/>
    <col min="9988" max="9988" width="25.5703125" style="75" customWidth="1"/>
    <col min="9989" max="9989" width="35.42578125" style="75" customWidth="1"/>
    <col min="9990" max="9990" width="25.140625" style="75" customWidth="1"/>
    <col min="9991" max="10238" width="9.140625" style="75"/>
    <col min="10239" max="10239" width="121.140625" style="75" customWidth="1"/>
    <col min="10240" max="10240" width="32.7109375" style="75" customWidth="1"/>
    <col min="10241" max="10242" width="32.85546875" style="75" customWidth="1"/>
    <col min="10243" max="10243" width="29.7109375" style="75" customWidth="1"/>
    <col min="10244" max="10244" width="25.5703125" style="75" customWidth="1"/>
    <col min="10245" max="10245" width="35.42578125" style="75" customWidth="1"/>
    <col min="10246" max="10246" width="25.140625" style="75" customWidth="1"/>
    <col min="10247" max="10494" width="9.140625" style="75"/>
    <col min="10495" max="10495" width="121.140625" style="75" customWidth="1"/>
    <col min="10496" max="10496" width="32.7109375" style="75" customWidth="1"/>
    <col min="10497" max="10498" width="32.85546875" style="75" customWidth="1"/>
    <col min="10499" max="10499" width="29.7109375" style="75" customWidth="1"/>
    <col min="10500" max="10500" width="25.5703125" style="75" customWidth="1"/>
    <col min="10501" max="10501" width="35.42578125" style="75" customWidth="1"/>
    <col min="10502" max="10502" width="25.140625" style="75" customWidth="1"/>
    <col min="10503" max="10750" width="9.140625" style="75"/>
    <col min="10751" max="10751" width="121.140625" style="75" customWidth="1"/>
    <col min="10752" max="10752" width="32.7109375" style="75" customWidth="1"/>
    <col min="10753" max="10754" width="32.85546875" style="75" customWidth="1"/>
    <col min="10755" max="10755" width="29.7109375" style="75" customWidth="1"/>
    <col min="10756" max="10756" width="25.5703125" style="75" customWidth="1"/>
    <col min="10757" max="10757" width="35.42578125" style="75" customWidth="1"/>
    <col min="10758" max="10758" width="25.140625" style="75" customWidth="1"/>
    <col min="10759" max="11006" width="9.140625" style="75"/>
    <col min="11007" max="11007" width="121.140625" style="75" customWidth="1"/>
    <col min="11008" max="11008" width="32.7109375" style="75" customWidth="1"/>
    <col min="11009" max="11010" width="32.85546875" style="75" customWidth="1"/>
    <col min="11011" max="11011" width="29.7109375" style="75" customWidth="1"/>
    <col min="11012" max="11012" width="25.5703125" style="75" customWidth="1"/>
    <col min="11013" max="11013" width="35.42578125" style="75" customWidth="1"/>
    <col min="11014" max="11014" width="25.140625" style="75" customWidth="1"/>
    <col min="11015" max="11262" width="9.140625" style="75"/>
    <col min="11263" max="11263" width="121.140625" style="75" customWidth="1"/>
    <col min="11264" max="11264" width="32.7109375" style="75" customWidth="1"/>
    <col min="11265" max="11266" width="32.85546875" style="75" customWidth="1"/>
    <col min="11267" max="11267" width="29.7109375" style="75" customWidth="1"/>
    <col min="11268" max="11268" width="25.5703125" style="75" customWidth="1"/>
    <col min="11269" max="11269" width="35.42578125" style="75" customWidth="1"/>
    <col min="11270" max="11270" width="25.140625" style="75" customWidth="1"/>
    <col min="11271" max="11518" width="9.140625" style="75"/>
    <col min="11519" max="11519" width="121.140625" style="75" customWidth="1"/>
    <col min="11520" max="11520" width="32.7109375" style="75" customWidth="1"/>
    <col min="11521" max="11522" width="32.85546875" style="75" customWidth="1"/>
    <col min="11523" max="11523" width="29.7109375" style="75" customWidth="1"/>
    <col min="11524" max="11524" width="25.5703125" style="75" customWidth="1"/>
    <col min="11525" max="11525" width="35.42578125" style="75" customWidth="1"/>
    <col min="11526" max="11526" width="25.140625" style="75" customWidth="1"/>
    <col min="11527" max="11774" width="9.140625" style="75"/>
    <col min="11775" max="11775" width="121.140625" style="75" customWidth="1"/>
    <col min="11776" max="11776" width="32.7109375" style="75" customWidth="1"/>
    <col min="11777" max="11778" width="32.85546875" style="75" customWidth="1"/>
    <col min="11779" max="11779" width="29.7109375" style="75" customWidth="1"/>
    <col min="11780" max="11780" width="25.5703125" style="75" customWidth="1"/>
    <col min="11781" max="11781" width="35.42578125" style="75" customWidth="1"/>
    <col min="11782" max="11782" width="25.140625" style="75" customWidth="1"/>
    <col min="11783" max="12030" width="9.140625" style="75"/>
    <col min="12031" max="12031" width="121.140625" style="75" customWidth="1"/>
    <col min="12032" max="12032" width="32.7109375" style="75" customWidth="1"/>
    <col min="12033" max="12034" width="32.85546875" style="75" customWidth="1"/>
    <col min="12035" max="12035" width="29.7109375" style="75" customWidth="1"/>
    <col min="12036" max="12036" width="25.5703125" style="75" customWidth="1"/>
    <col min="12037" max="12037" width="35.42578125" style="75" customWidth="1"/>
    <col min="12038" max="12038" width="25.140625" style="75" customWidth="1"/>
    <col min="12039" max="12286" width="9.140625" style="75"/>
    <col min="12287" max="12287" width="121.140625" style="75" customWidth="1"/>
    <col min="12288" max="12288" width="32.7109375" style="75" customWidth="1"/>
    <col min="12289" max="12290" width="32.85546875" style="75" customWidth="1"/>
    <col min="12291" max="12291" width="29.7109375" style="75" customWidth="1"/>
    <col min="12292" max="12292" width="25.5703125" style="75" customWidth="1"/>
    <col min="12293" max="12293" width="35.42578125" style="75" customWidth="1"/>
    <col min="12294" max="12294" width="25.140625" style="75" customWidth="1"/>
    <col min="12295" max="12542" width="9.140625" style="75"/>
    <col min="12543" max="12543" width="121.140625" style="75" customWidth="1"/>
    <col min="12544" max="12544" width="32.7109375" style="75" customWidth="1"/>
    <col min="12545" max="12546" width="32.85546875" style="75" customWidth="1"/>
    <col min="12547" max="12547" width="29.7109375" style="75" customWidth="1"/>
    <col min="12548" max="12548" width="25.5703125" style="75" customWidth="1"/>
    <col min="12549" max="12549" width="35.42578125" style="75" customWidth="1"/>
    <col min="12550" max="12550" width="25.140625" style="75" customWidth="1"/>
    <col min="12551" max="12798" width="9.140625" style="75"/>
    <col min="12799" max="12799" width="121.140625" style="75" customWidth="1"/>
    <col min="12800" max="12800" width="32.7109375" style="75" customWidth="1"/>
    <col min="12801" max="12802" width="32.85546875" style="75" customWidth="1"/>
    <col min="12803" max="12803" width="29.7109375" style="75" customWidth="1"/>
    <col min="12804" max="12804" width="25.5703125" style="75" customWidth="1"/>
    <col min="12805" max="12805" width="35.42578125" style="75" customWidth="1"/>
    <col min="12806" max="12806" width="25.140625" style="75" customWidth="1"/>
    <col min="12807" max="13054" width="9.140625" style="75"/>
    <col min="13055" max="13055" width="121.140625" style="75" customWidth="1"/>
    <col min="13056" max="13056" width="32.7109375" style="75" customWidth="1"/>
    <col min="13057" max="13058" width="32.85546875" style="75" customWidth="1"/>
    <col min="13059" max="13059" width="29.7109375" style="75" customWidth="1"/>
    <col min="13060" max="13060" width="25.5703125" style="75" customWidth="1"/>
    <col min="13061" max="13061" width="35.42578125" style="75" customWidth="1"/>
    <col min="13062" max="13062" width="25.140625" style="75" customWidth="1"/>
    <col min="13063" max="13310" width="9.140625" style="75"/>
    <col min="13311" max="13311" width="121.140625" style="75" customWidth="1"/>
    <col min="13312" max="13312" width="32.7109375" style="75" customWidth="1"/>
    <col min="13313" max="13314" width="32.85546875" style="75" customWidth="1"/>
    <col min="13315" max="13315" width="29.7109375" style="75" customWidth="1"/>
    <col min="13316" max="13316" width="25.5703125" style="75" customWidth="1"/>
    <col min="13317" max="13317" width="35.42578125" style="75" customWidth="1"/>
    <col min="13318" max="13318" width="25.140625" style="75" customWidth="1"/>
    <col min="13319" max="13566" width="9.140625" style="75"/>
    <col min="13567" max="13567" width="121.140625" style="75" customWidth="1"/>
    <col min="13568" max="13568" width="32.7109375" style="75" customWidth="1"/>
    <col min="13569" max="13570" width="32.85546875" style="75" customWidth="1"/>
    <col min="13571" max="13571" width="29.7109375" style="75" customWidth="1"/>
    <col min="13572" max="13572" width="25.5703125" style="75" customWidth="1"/>
    <col min="13573" max="13573" width="35.42578125" style="75" customWidth="1"/>
    <col min="13574" max="13574" width="25.140625" style="75" customWidth="1"/>
    <col min="13575" max="13822" width="9.140625" style="75"/>
    <col min="13823" max="13823" width="121.140625" style="75" customWidth="1"/>
    <col min="13824" max="13824" width="32.7109375" style="75" customWidth="1"/>
    <col min="13825" max="13826" width="32.85546875" style="75" customWidth="1"/>
    <col min="13827" max="13827" width="29.7109375" style="75" customWidth="1"/>
    <col min="13828" max="13828" width="25.5703125" style="75" customWidth="1"/>
    <col min="13829" max="13829" width="35.42578125" style="75" customWidth="1"/>
    <col min="13830" max="13830" width="25.140625" style="75" customWidth="1"/>
    <col min="13831" max="14078" width="9.140625" style="75"/>
    <col min="14079" max="14079" width="121.140625" style="75" customWidth="1"/>
    <col min="14080" max="14080" width="32.7109375" style="75" customWidth="1"/>
    <col min="14081" max="14082" width="32.85546875" style="75" customWidth="1"/>
    <col min="14083" max="14083" width="29.7109375" style="75" customWidth="1"/>
    <col min="14084" max="14084" width="25.5703125" style="75" customWidth="1"/>
    <col min="14085" max="14085" width="35.42578125" style="75" customWidth="1"/>
    <col min="14086" max="14086" width="25.140625" style="75" customWidth="1"/>
    <col min="14087" max="14334" width="9.140625" style="75"/>
    <col min="14335" max="14335" width="121.140625" style="75" customWidth="1"/>
    <col min="14336" max="14336" width="32.7109375" style="75" customWidth="1"/>
    <col min="14337" max="14338" width="32.85546875" style="75" customWidth="1"/>
    <col min="14339" max="14339" width="29.7109375" style="75" customWidth="1"/>
    <col min="14340" max="14340" width="25.5703125" style="75" customWidth="1"/>
    <col min="14341" max="14341" width="35.42578125" style="75" customWidth="1"/>
    <col min="14342" max="14342" width="25.140625" style="75" customWidth="1"/>
    <col min="14343" max="14590" width="9.140625" style="75"/>
    <col min="14591" max="14591" width="121.140625" style="75" customWidth="1"/>
    <col min="14592" max="14592" width="32.7109375" style="75" customWidth="1"/>
    <col min="14593" max="14594" width="32.85546875" style="75" customWidth="1"/>
    <col min="14595" max="14595" width="29.7109375" style="75" customWidth="1"/>
    <col min="14596" max="14596" width="25.5703125" style="75" customWidth="1"/>
    <col min="14597" max="14597" width="35.42578125" style="75" customWidth="1"/>
    <col min="14598" max="14598" width="25.140625" style="75" customWidth="1"/>
    <col min="14599" max="14846" width="9.140625" style="75"/>
    <col min="14847" max="14847" width="121.140625" style="75" customWidth="1"/>
    <col min="14848" max="14848" width="32.7109375" style="75" customWidth="1"/>
    <col min="14849" max="14850" width="32.85546875" style="75" customWidth="1"/>
    <col min="14851" max="14851" width="29.7109375" style="75" customWidth="1"/>
    <col min="14852" max="14852" width="25.5703125" style="75" customWidth="1"/>
    <col min="14853" max="14853" width="35.42578125" style="75" customWidth="1"/>
    <col min="14854" max="14854" width="25.140625" style="75" customWidth="1"/>
    <col min="14855" max="15102" width="9.140625" style="75"/>
    <col min="15103" max="15103" width="121.140625" style="75" customWidth="1"/>
    <col min="15104" max="15104" width="32.7109375" style="75" customWidth="1"/>
    <col min="15105" max="15106" width="32.85546875" style="75" customWidth="1"/>
    <col min="15107" max="15107" width="29.7109375" style="75" customWidth="1"/>
    <col min="15108" max="15108" width="25.5703125" style="75" customWidth="1"/>
    <col min="15109" max="15109" width="35.42578125" style="75" customWidth="1"/>
    <col min="15110" max="15110" width="25.140625" style="75" customWidth="1"/>
    <col min="15111" max="15358" width="9.140625" style="75"/>
    <col min="15359" max="15359" width="121.140625" style="75" customWidth="1"/>
    <col min="15360" max="15360" width="32.7109375" style="75" customWidth="1"/>
    <col min="15361" max="15362" width="32.85546875" style="75" customWidth="1"/>
    <col min="15363" max="15363" width="29.7109375" style="75" customWidth="1"/>
    <col min="15364" max="15364" width="25.5703125" style="75" customWidth="1"/>
    <col min="15365" max="15365" width="35.42578125" style="75" customWidth="1"/>
    <col min="15366" max="15366" width="25.140625" style="75" customWidth="1"/>
    <col min="15367" max="15614" width="9.140625" style="75"/>
    <col min="15615" max="15615" width="121.140625" style="75" customWidth="1"/>
    <col min="15616" max="15616" width="32.7109375" style="75" customWidth="1"/>
    <col min="15617" max="15618" width="32.85546875" style="75" customWidth="1"/>
    <col min="15619" max="15619" width="29.7109375" style="75" customWidth="1"/>
    <col min="15620" max="15620" width="25.5703125" style="75" customWidth="1"/>
    <col min="15621" max="15621" width="35.42578125" style="75" customWidth="1"/>
    <col min="15622" max="15622" width="25.140625" style="75" customWidth="1"/>
    <col min="15623" max="15870" width="9.140625" style="75"/>
    <col min="15871" max="15871" width="121.140625" style="75" customWidth="1"/>
    <col min="15872" max="15872" width="32.7109375" style="75" customWidth="1"/>
    <col min="15873" max="15874" width="32.85546875" style="75" customWidth="1"/>
    <col min="15875" max="15875" width="29.7109375" style="75" customWidth="1"/>
    <col min="15876" max="15876" width="25.5703125" style="75" customWidth="1"/>
    <col min="15877" max="15877" width="35.42578125" style="75" customWidth="1"/>
    <col min="15878" max="15878" width="25.140625" style="75" customWidth="1"/>
    <col min="15879" max="16126" width="9.140625" style="75"/>
    <col min="16127" max="16127" width="121.140625" style="75" customWidth="1"/>
    <col min="16128" max="16128" width="32.7109375" style="75" customWidth="1"/>
    <col min="16129" max="16130" width="32.85546875" style="75" customWidth="1"/>
    <col min="16131" max="16131" width="29.7109375" style="75" customWidth="1"/>
    <col min="16132" max="16132" width="25.5703125" style="75" customWidth="1"/>
    <col min="16133" max="16133" width="35.42578125" style="75" customWidth="1"/>
    <col min="16134" max="16134" width="25.140625" style="75" customWidth="1"/>
    <col min="16135" max="16384" width="9.140625" style="75"/>
  </cols>
  <sheetData>
    <row r="1" spans="1:6" s="69" customFormat="1" ht="46.5">
      <c r="A1" s="1" t="s">
        <v>0</v>
      </c>
      <c r="D1" s="277" t="s">
        <v>1</v>
      </c>
      <c r="E1" s="4" t="s">
        <v>134</v>
      </c>
      <c r="F1" s="281"/>
    </row>
    <row r="2" spans="1:6" s="69" customFormat="1" ht="46.5">
      <c r="A2" s="1" t="s">
        <v>2</v>
      </c>
      <c r="B2" s="2"/>
      <c r="C2" s="2"/>
      <c r="D2" s="2"/>
      <c r="E2" s="67"/>
      <c r="F2" s="67"/>
    </row>
    <row r="3" spans="1:6" s="69" customFormat="1" ht="47.25" thickBot="1">
      <c r="A3" s="7" t="s">
        <v>3</v>
      </c>
      <c r="B3" s="8"/>
      <c r="C3" s="8"/>
      <c r="D3" s="8"/>
      <c r="E3" s="67"/>
      <c r="F3" s="67"/>
    </row>
    <row r="4" spans="1:6" s="70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71" customFormat="1" ht="52.5">
      <c r="A5" s="14"/>
      <c r="B5" s="15" t="s">
        <v>9</v>
      </c>
      <c r="C5" s="15" t="s">
        <v>10</v>
      </c>
      <c r="D5" s="15" t="s">
        <v>11</v>
      </c>
      <c r="E5" s="15" t="s">
        <v>163</v>
      </c>
      <c r="F5" s="16" t="s">
        <v>12</v>
      </c>
    </row>
    <row r="6" spans="1:6" s="70" customFormat="1" ht="26.25">
      <c r="A6" s="18" t="s">
        <v>14</v>
      </c>
      <c r="B6" s="19"/>
      <c r="C6" s="19"/>
      <c r="D6" s="19"/>
      <c r="E6" s="19"/>
      <c r="F6" s="20"/>
    </row>
    <row r="7" spans="1:6" s="70" customFormat="1" ht="26.25">
      <c r="A7" s="18" t="s">
        <v>15</v>
      </c>
      <c r="B7" s="19"/>
      <c r="C7" s="19"/>
      <c r="D7" s="19"/>
      <c r="E7" s="19"/>
      <c r="F7" s="21"/>
    </row>
    <row r="8" spans="1:6" s="70" customFormat="1" ht="26.25">
      <c r="A8" s="22" t="s">
        <v>16</v>
      </c>
      <c r="B8" s="23">
        <v>50006223</v>
      </c>
      <c r="C8" s="23">
        <v>50006223</v>
      </c>
      <c r="D8" s="23">
        <v>48984128</v>
      </c>
      <c r="E8" s="23">
        <v>-1022095</v>
      </c>
      <c r="F8" s="24">
        <v>-2.0439356117737586E-2</v>
      </c>
    </row>
    <row r="9" spans="1:6" s="70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70" customFormat="1" ht="26.25">
      <c r="A10" s="25" t="s">
        <v>18</v>
      </c>
      <c r="B10" s="255">
        <v>9337320.6099999994</v>
      </c>
      <c r="C10" s="26">
        <v>9347602</v>
      </c>
      <c r="D10" s="26">
        <v>9253721</v>
      </c>
      <c r="E10" s="26">
        <v>-93881</v>
      </c>
      <c r="F10" s="24">
        <v>-1.004332448043894E-2</v>
      </c>
    </row>
    <row r="11" spans="1:6" s="70" customFormat="1" ht="26.25">
      <c r="A11" s="27" t="s">
        <v>19</v>
      </c>
      <c r="B11" s="28">
        <v>39826</v>
      </c>
      <c r="C11" s="28">
        <v>39826</v>
      </c>
      <c r="D11" s="28">
        <v>0</v>
      </c>
      <c r="E11" s="26">
        <v>-39826</v>
      </c>
      <c r="F11" s="24">
        <v>-1</v>
      </c>
    </row>
    <row r="12" spans="1:6" s="70" customFormat="1" ht="26.25">
      <c r="A12" s="29" t="s">
        <v>20</v>
      </c>
      <c r="B12" s="28">
        <v>2674799.61</v>
      </c>
      <c r="C12" s="28">
        <v>2685081</v>
      </c>
      <c r="D12" s="28">
        <v>2705749</v>
      </c>
      <c r="E12" s="26">
        <v>20668</v>
      </c>
      <c r="F12" s="24">
        <v>7.6973469329230668E-3</v>
      </c>
    </row>
    <row r="13" spans="1:6" s="70" customFormat="1" ht="26.25">
      <c r="A13" s="29" t="s">
        <v>21</v>
      </c>
      <c r="B13" s="28">
        <v>6322695</v>
      </c>
      <c r="C13" s="28">
        <v>6322695</v>
      </c>
      <c r="D13" s="28">
        <v>6547972</v>
      </c>
      <c r="E13" s="26">
        <v>225277</v>
      </c>
      <c r="F13" s="24">
        <v>3.5629901489791935E-2</v>
      </c>
    </row>
    <row r="14" spans="1:6" s="70" customFormat="1" ht="26.25">
      <c r="A14" s="29" t="s">
        <v>22</v>
      </c>
      <c r="B14" s="28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70" customFormat="1" ht="26.25">
      <c r="A15" s="29" t="s">
        <v>23</v>
      </c>
      <c r="B15" s="28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70" customFormat="1" ht="26.25">
      <c r="A16" s="29" t="s">
        <v>24</v>
      </c>
      <c r="B16" s="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70" customFormat="1" ht="26.25">
      <c r="A17" s="29" t="s">
        <v>25</v>
      </c>
      <c r="B17" s="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70" customFormat="1" ht="26.25">
      <c r="A18" s="29" t="s">
        <v>26</v>
      </c>
      <c r="B18" s="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70" customFormat="1" ht="26.25">
      <c r="A19" s="29" t="s">
        <v>27</v>
      </c>
      <c r="B19" s="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70" customFormat="1" ht="26.25">
      <c r="A20" s="29" t="s">
        <v>28</v>
      </c>
      <c r="B20" s="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70" customFormat="1" ht="26.25">
      <c r="A21" s="29" t="s">
        <v>29</v>
      </c>
      <c r="B21" s="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70" customFormat="1" ht="26.25">
      <c r="A22" s="29" t="s">
        <v>30</v>
      </c>
      <c r="B22" s="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70" customFormat="1" ht="26.25">
      <c r="A23" s="30" t="s">
        <v>31</v>
      </c>
      <c r="B23" s="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70" customFormat="1" ht="26.25">
      <c r="A24" s="30" t="s">
        <v>32</v>
      </c>
      <c r="B24" s="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70" customFormat="1" ht="26.25">
      <c r="A25" s="30" t="s">
        <v>33</v>
      </c>
      <c r="B25" s="28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70" customFormat="1" ht="26.25">
      <c r="A26" s="30" t="s">
        <v>34</v>
      </c>
      <c r="B26" s="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70" customFormat="1" ht="26.25">
      <c r="A27" s="30" t="s">
        <v>35</v>
      </c>
      <c r="B27" s="28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70" customFormat="1" ht="26.25">
      <c r="A28" s="30" t="s">
        <v>36</v>
      </c>
      <c r="B28" s="28">
        <v>300000</v>
      </c>
      <c r="C28" s="28">
        <v>300000</v>
      </c>
      <c r="D28" s="28">
        <v>0</v>
      </c>
      <c r="E28" s="26">
        <v>-300000</v>
      </c>
      <c r="F28" s="24">
        <v>-1</v>
      </c>
    </row>
    <row r="29" spans="1:6" s="70" customFormat="1" ht="26.25">
      <c r="A29" s="31" t="s">
        <v>37</v>
      </c>
      <c r="B29" s="28"/>
      <c r="C29" s="28"/>
      <c r="D29" s="28"/>
      <c r="E29" s="28"/>
      <c r="F29" s="20"/>
    </row>
    <row r="30" spans="1:6" s="70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70" customFormat="1" ht="26.25">
      <c r="A31" s="32" t="s">
        <v>39</v>
      </c>
      <c r="B31" s="28"/>
      <c r="C31" s="28"/>
      <c r="D31" s="28"/>
      <c r="E31" s="28"/>
      <c r="F31" s="20"/>
    </row>
    <row r="32" spans="1:6" s="70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70" customFormat="1" ht="26.25">
      <c r="A33" s="29" t="s">
        <v>40</v>
      </c>
      <c r="B33" s="28"/>
      <c r="C33" s="28"/>
      <c r="D33" s="28"/>
      <c r="E33" s="26"/>
      <c r="F33" s="24" t="s">
        <v>41</v>
      </c>
    </row>
    <row r="34" spans="1:10" s="72" customFormat="1" ht="26.25">
      <c r="A34" s="33" t="s">
        <v>42</v>
      </c>
      <c r="B34" s="34">
        <v>59343543.609999999</v>
      </c>
      <c r="C34" s="34">
        <v>59353825</v>
      </c>
      <c r="D34" s="34">
        <v>58237849</v>
      </c>
      <c r="E34" s="34">
        <v>-1115976</v>
      </c>
      <c r="F34" s="35">
        <v>-1.8802090682445486E-2</v>
      </c>
    </row>
    <row r="35" spans="1:10" s="70" customFormat="1" ht="26.25">
      <c r="A35" s="31" t="s">
        <v>43</v>
      </c>
      <c r="B35" s="28"/>
      <c r="C35" s="28"/>
      <c r="D35" s="28"/>
      <c r="E35" s="28"/>
      <c r="F35" s="20"/>
    </row>
    <row r="36" spans="1:10" s="70" customFormat="1" ht="26.25">
      <c r="A36" s="37" t="s">
        <v>44</v>
      </c>
      <c r="B36" s="23"/>
      <c r="C36" s="23"/>
      <c r="D36" s="23"/>
      <c r="E36" s="23">
        <v>0</v>
      </c>
      <c r="F36" s="24">
        <v>0</v>
      </c>
    </row>
    <row r="37" spans="1:10" s="70" customFormat="1" ht="26.25">
      <c r="A37" s="38" t="s">
        <v>45</v>
      </c>
      <c r="B37" s="23"/>
      <c r="C37" s="23"/>
      <c r="D37" s="23"/>
      <c r="E37" s="26">
        <v>0</v>
      </c>
      <c r="F37" s="24">
        <v>0</v>
      </c>
    </row>
    <row r="38" spans="1:10" s="70" customFormat="1" ht="26.25">
      <c r="A38" s="38" t="s">
        <v>46</v>
      </c>
      <c r="B38" s="23"/>
      <c r="C38" s="23"/>
      <c r="D38" s="23"/>
      <c r="E38" s="26">
        <v>0</v>
      </c>
      <c r="F38" s="24">
        <v>0</v>
      </c>
    </row>
    <row r="39" spans="1:10" s="70" customFormat="1" ht="26.25">
      <c r="A39" s="38" t="s">
        <v>47</v>
      </c>
      <c r="B39" s="23"/>
      <c r="C39" s="23"/>
      <c r="D39" s="23"/>
      <c r="E39" s="26">
        <v>0</v>
      </c>
      <c r="F39" s="24">
        <v>0</v>
      </c>
    </row>
    <row r="40" spans="1:10" s="70" customFormat="1" ht="26.25">
      <c r="A40" s="39" t="s">
        <v>48</v>
      </c>
      <c r="B40" s="23"/>
      <c r="C40" s="23"/>
      <c r="D40" s="23"/>
      <c r="E40" s="26">
        <v>0</v>
      </c>
      <c r="F40" s="24">
        <v>0</v>
      </c>
    </row>
    <row r="41" spans="1:10" s="72" customFormat="1" ht="26.25">
      <c r="A41" s="31" t="s">
        <v>49</v>
      </c>
      <c r="B41" s="40">
        <v>0</v>
      </c>
      <c r="C41" s="40">
        <v>0</v>
      </c>
      <c r="D41" s="40">
        <v>0</v>
      </c>
      <c r="E41" s="40">
        <v>0</v>
      </c>
      <c r="F41" s="35">
        <v>0</v>
      </c>
      <c r="J41" s="72" t="s">
        <v>50</v>
      </c>
    </row>
    <row r="42" spans="1:10" s="70" customFormat="1" ht="26.25">
      <c r="A42" s="29" t="s">
        <v>50</v>
      </c>
      <c r="B42" s="28"/>
      <c r="C42" s="28"/>
      <c r="D42" s="28"/>
      <c r="E42" s="28"/>
      <c r="F42" s="20"/>
    </row>
    <row r="43" spans="1:10" s="72" customFormat="1" ht="26.25">
      <c r="A43" s="41" t="s">
        <v>51</v>
      </c>
      <c r="B43" s="42">
        <v>245572698</v>
      </c>
      <c r="C43" s="42">
        <v>245572698</v>
      </c>
      <c r="D43" s="42">
        <v>235338575</v>
      </c>
      <c r="E43" s="42">
        <v>-10234123</v>
      </c>
      <c r="F43" s="35">
        <v>-4.167451464820409E-2</v>
      </c>
    </row>
    <row r="44" spans="1:10" s="70" customFormat="1" ht="26.25">
      <c r="A44" s="29" t="s">
        <v>50</v>
      </c>
      <c r="B44" s="28"/>
      <c r="C44" s="28"/>
      <c r="D44" s="28"/>
      <c r="E44" s="28"/>
      <c r="F44" s="20"/>
    </row>
    <row r="45" spans="1:10" s="72" customFormat="1" ht="26.25">
      <c r="A45" s="41" t="s">
        <v>52</v>
      </c>
      <c r="B45" s="42">
        <v>18675205</v>
      </c>
      <c r="C45" s="42">
        <v>18675205</v>
      </c>
      <c r="D45" s="42">
        <v>0</v>
      </c>
      <c r="E45" s="42">
        <v>-18675205</v>
      </c>
      <c r="F45" s="35">
        <v>-1</v>
      </c>
    </row>
    <row r="46" spans="1:10" s="70" customFormat="1" ht="26.25">
      <c r="A46" s="29" t="s">
        <v>50</v>
      </c>
      <c r="B46" s="28"/>
      <c r="C46" s="28"/>
      <c r="D46" s="28"/>
      <c r="E46" s="28"/>
      <c r="F46" s="20"/>
    </row>
    <row r="47" spans="1:10" s="72" customFormat="1" ht="26.25">
      <c r="A47" s="31" t="s">
        <v>53</v>
      </c>
      <c r="B47" s="40">
        <v>55304568.640000008</v>
      </c>
      <c r="C47" s="40">
        <v>47591536</v>
      </c>
      <c r="D47" s="40">
        <v>63922751</v>
      </c>
      <c r="E47" s="40">
        <v>16331215</v>
      </c>
      <c r="F47" s="35">
        <v>0.34315377003171321</v>
      </c>
    </row>
    <row r="48" spans="1:10" s="70" customFormat="1" ht="26.25">
      <c r="A48" s="29" t="s">
        <v>50</v>
      </c>
      <c r="B48" s="28"/>
      <c r="C48" s="28"/>
      <c r="D48" s="28"/>
      <c r="E48" s="28"/>
      <c r="F48" s="20"/>
    </row>
    <row r="49" spans="1:6" s="72" customFormat="1" ht="26.25">
      <c r="A49" s="43" t="s">
        <v>54</v>
      </c>
      <c r="B49" s="44">
        <v>58724160</v>
      </c>
      <c r="C49" s="44">
        <v>58724160</v>
      </c>
      <c r="D49" s="44">
        <v>58724160</v>
      </c>
      <c r="E49" s="44">
        <v>0</v>
      </c>
      <c r="F49" s="35">
        <v>0</v>
      </c>
    </row>
    <row r="50" spans="1:6" s="70" customFormat="1" ht="26.25">
      <c r="A50" s="31"/>
      <c r="B50" s="19"/>
      <c r="C50" s="19"/>
      <c r="D50" s="19"/>
      <c r="E50" s="19"/>
      <c r="F50" s="45"/>
    </row>
    <row r="51" spans="1:6" s="72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70" customFormat="1" ht="26.25">
      <c r="A52" s="29"/>
      <c r="B52" s="28"/>
      <c r="C52" s="28"/>
      <c r="D52" s="28"/>
      <c r="E52" s="28"/>
      <c r="F52" s="20"/>
    </row>
    <row r="53" spans="1:6" s="72" customFormat="1" ht="26.25">
      <c r="A53" s="46" t="s">
        <v>131</v>
      </c>
      <c r="B53" s="40">
        <v>437620175.25</v>
      </c>
      <c r="C53" s="40">
        <v>429917424</v>
      </c>
      <c r="D53" s="40">
        <v>416223335</v>
      </c>
      <c r="E53" s="40">
        <v>-13694089</v>
      </c>
      <c r="F53" s="35">
        <v>-3.1852835534295534E-2</v>
      </c>
    </row>
    <row r="54" spans="1:6" s="70" customFormat="1" ht="7.5" customHeight="1">
      <c r="A54" s="47"/>
      <c r="B54" s="28"/>
      <c r="C54" s="28"/>
      <c r="D54" s="28"/>
      <c r="E54" s="28"/>
      <c r="F54" s="20" t="s">
        <v>50</v>
      </c>
    </row>
    <row r="55" spans="1:6" s="70" customFormat="1" ht="7.5" customHeight="1">
      <c r="A55" s="48"/>
      <c r="B55" s="19"/>
      <c r="C55" s="19"/>
      <c r="D55" s="19"/>
      <c r="E55" s="19"/>
      <c r="F55" s="21" t="s">
        <v>50</v>
      </c>
    </row>
    <row r="56" spans="1:6" s="70" customFormat="1" ht="26.25">
      <c r="A56" s="46" t="s">
        <v>57</v>
      </c>
      <c r="B56" s="19"/>
      <c r="C56" s="19"/>
      <c r="D56" s="19"/>
      <c r="E56" s="19"/>
      <c r="F56" s="21"/>
    </row>
    <row r="57" spans="1:6" s="70" customFormat="1" ht="26.25">
      <c r="A57" s="27" t="s">
        <v>58</v>
      </c>
      <c r="B57" s="19">
        <v>43648833.670000002</v>
      </c>
      <c r="C57" s="19">
        <v>40865866</v>
      </c>
      <c r="D57" s="19">
        <v>34307708</v>
      </c>
      <c r="E57" s="19">
        <v>-6558158</v>
      </c>
      <c r="F57" s="24">
        <v>-0.16048009358225762</v>
      </c>
    </row>
    <row r="58" spans="1:6" s="70" customFormat="1" ht="26.25">
      <c r="A58" s="29" t="s">
        <v>59</v>
      </c>
      <c r="B58" s="28">
        <v>19868022.649999999</v>
      </c>
      <c r="C58" s="28">
        <v>19173494</v>
      </c>
      <c r="D58" s="28">
        <v>19250430</v>
      </c>
      <c r="E58" s="28">
        <v>76936</v>
      </c>
      <c r="F58" s="24">
        <v>4.0126228427640786E-3</v>
      </c>
    </row>
    <row r="59" spans="1:6" s="70" customFormat="1" ht="26.25">
      <c r="A59" s="29" t="s">
        <v>60</v>
      </c>
      <c r="B59" s="28">
        <v>2161802.3200000003</v>
      </c>
      <c r="C59" s="28">
        <v>2244342</v>
      </c>
      <c r="D59" s="28">
        <v>2295756</v>
      </c>
      <c r="E59" s="28">
        <v>51414</v>
      </c>
      <c r="F59" s="24">
        <v>2.2908273338020677E-2</v>
      </c>
    </row>
    <row r="60" spans="1:6" s="70" customFormat="1" ht="26.25">
      <c r="A60" s="29" t="s">
        <v>61</v>
      </c>
      <c r="B60" s="28">
        <v>7746222.9000000004</v>
      </c>
      <c r="C60" s="28">
        <v>7144153</v>
      </c>
      <c r="D60" s="28">
        <v>6902851</v>
      </c>
      <c r="E60" s="28">
        <v>-241302</v>
      </c>
      <c r="F60" s="24">
        <v>-3.377615233044421E-2</v>
      </c>
    </row>
    <row r="61" spans="1:6" s="70" customFormat="1" ht="26.25">
      <c r="A61" s="29" t="s">
        <v>62</v>
      </c>
      <c r="B61" s="28">
        <v>1121355.6000000001</v>
      </c>
      <c r="C61" s="28">
        <v>1110508</v>
      </c>
      <c r="D61" s="28">
        <v>1108911</v>
      </c>
      <c r="E61" s="28">
        <v>-1597</v>
      </c>
      <c r="F61" s="24">
        <v>-1.4380805901443303E-3</v>
      </c>
    </row>
    <row r="62" spans="1:6" s="70" customFormat="1" ht="26.25">
      <c r="A62" s="29" t="s">
        <v>63</v>
      </c>
      <c r="B62" s="28">
        <v>22190893.779999994</v>
      </c>
      <c r="C62" s="28">
        <v>21421179</v>
      </c>
      <c r="D62" s="28">
        <v>22814768</v>
      </c>
      <c r="E62" s="28">
        <v>1393589</v>
      </c>
      <c r="F62" s="24">
        <v>6.5056596558013921E-2</v>
      </c>
    </row>
    <row r="63" spans="1:6" s="70" customFormat="1" ht="26.25">
      <c r="A63" s="29" t="s">
        <v>64</v>
      </c>
      <c r="B63" s="28">
        <v>510792.5</v>
      </c>
      <c r="C63" s="28">
        <v>820163</v>
      </c>
      <c r="D63" s="28">
        <v>922595</v>
      </c>
      <c r="E63" s="28">
        <v>102432</v>
      </c>
      <c r="F63" s="24">
        <v>0.12489224702894425</v>
      </c>
    </row>
    <row r="64" spans="1:6" s="70" customFormat="1" ht="26.25">
      <c r="A64" s="29" t="s">
        <v>65</v>
      </c>
      <c r="B64" s="28">
        <v>5553519.1900000004</v>
      </c>
      <c r="C64" s="28">
        <v>5240118</v>
      </c>
      <c r="D64" s="28">
        <v>5255683</v>
      </c>
      <c r="E64" s="28">
        <v>15565</v>
      </c>
      <c r="F64" s="24">
        <v>2.9703529577005711E-3</v>
      </c>
    </row>
    <row r="65" spans="1:6" s="72" customFormat="1" ht="26.25">
      <c r="A65" s="49" t="s">
        <v>66</v>
      </c>
      <c r="B65" s="34">
        <v>102801442.60999998</v>
      </c>
      <c r="C65" s="34">
        <v>98019823</v>
      </c>
      <c r="D65" s="34">
        <v>92858702</v>
      </c>
      <c r="E65" s="34">
        <v>-5161121</v>
      </c>
      <c r="F65" s="35">
        <v>-5.2653849415745219E-2</v>
      </c>
    </row>
    <row r="66" spans="1:6" s="70" customFormat="1" ht="26.25">
      <c r="A66" s="29" t="s">
        <v>67</v>
      </c>
      <c r="B66" s="28">
        <v>324357127.39999998</v>
      </c>
      <c r="C66" s="28">
        <v>330467935</v>
      </c>
      <c r="D66" s="28">
        <v>323349633</v>
      </c>
      <c r="E66" s="28">
        <v>-7118302</v>
      </c>
      <c r="F66" s="24">
        <v>-2.154006863025909E-2</v>
      </c>
    </row>
    <row r="67" spans="1:6" s="70" customFormat="1" ht="26.25">
      <c r="A67" s="29" t="s">
        <v>68</v>
      </c>
      <c r="B67" s="28">
        <v>0</v>
      </c>
      <c r="C67" s="28">
        <v>0</v>
      </c>
      <c r="D67" s="28">
        <v>0</v>
      </c>
      <c r="E67" s="28">
        <v>0</v>
      </c>
      <c r="F67" s="24">
        <v>0</v>
      </c>
    </row>
    <row r="68" spans="1:6" s="70" customFormat="1" ht="26.25">
      <c r="A68" s="29" t="s">
        <v>69</v>
      </c>
      <c r="B68" s="28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70" customFormat="1" ht="26.25">
      <c r="A69" s="29" t="s">
        <v>132</v>
      </c>
      <c r="B69" s="28">
        <v>1612952</v>
      </c>
      <c r="C69" s="28">
        <v>502928</v>
      </c>
      <c r="D69" s="28">
        <v>15000</v>
      </c>
      <c r="E69" s="28">
        <v>-487928</v>
      </c>
      <c r="F69" s="24">
        <v>-0.97017465720739349</v>
      </c>
    </row>
    <row r="70" spans="1:6" s="72" customFormat="1" ht="26.25">
      <c r="A70" s="50" t="s">
        <v>133</v>
      </c>
      <c r="B70" s="260">
        <v>428771522.00999999</v>
      </c>
      <c r="C70" s="51">
        <v>428990686</v>
      </c>
      <c r="D70" s="51">
        <v>416223335</v>
      </c>
      <c r="E70" s="51">
        <v>-12767351</v>
      </c>
      <c r="F70" s="35">
        <v>-2.9761371089534566E-2</v>
      </c>
    </row>
    <row r="71" spans="1:6" s="70" customFormat="1" ht="7.5" customHeight="1">
      <c r="A71" s="48"/>
      <c r="B71" s="19"/>
      <c r="C71" s="19"/>
      <c r="D71" s="19"/>
      <c r="E71" s="19"/>
      <c r="F71" s="21"/>
    </row>
    <row r="72" spans="1:6" s="70" customFormat="1" ht="26.25">
      <c r="A72" s="46" t="s">
        <v>72</v>
      </c>
      <c r="B72" s="19"/>
      <c r="C72" s="19"/>
      <c r="D72" s="19"/>
      <c r="E72" s="19"/>
      <c r="F72" s="21"/>
    </row>
    <row r="73" spans="1:6" s="70" customFormat="1" ht="26.25">
      <c r="A73" s="27" t="s">
        <v>73</v>
      </c>
      <c r="B73" s="23">
        <v>202002044.50999999</v>
      </c>
      <c r="C73" s="23">
        <v>198203156</v>
      </c>
      <c r="D73" s="23">
        <v>191011943</v>
      </c>
      <c r="E73" s="19">
        <v>-7191213</v>
      </c>
      <c r="F73" s="24">
        <v>-3.6282030746271267E-2</v>
      </c>
    </row>
    <row r="74" spans="1:6" s="70" customFormat="1" ht="26.25">
      <c r="A74" s="29" t="s">
        <v>74</v>
      </c>
      <c r="B74" s="255">
        <v>25300668.190000001</v>
      </c>
      <c r="C74" s="23">
        <v>28359616</v>
      </c>
      <c r="D74" s="23">
        <v>24446436</v>
      </c>
      <c r="E74" s="28">
        <v>-3913180</v>
      </c>
      <c r="F74" s="24">
        <v>-0.13798423786838299</v>
      </c>
    </row>
    <row r="75" spans="1:6" s="70" customFormat="1" ht="26.25">
      <c r="A75" s="29" t="s">
        <v>75</v>
      </c>
      <c r="B75" s="19">
        <v>59821328.93</v>
      </c>
      <c r="C75" s="23">
        <v>61134604</v>
      </c>
      <c r="D75" s="23">
        <v>61765430</v>
      </c>
      <c r="E75" s="28">
        <v>630826</v>
      </c>
      <c r="F75" s="24">
        <v>1.0318640487145382E-2</v>
      </c>
    </row>
    <row r="76" spans="1:6" s="72" customFormat="1" ht="26.25">
      <c r="A76" s="49" t="s">
        <v>76</v>
      </c>
      <c r="B76" s="260">
        <v>287124041.63</v>
      </c>
      <c r="C76" s="51">
        <v>287697376</v>
      </c>
      <c r="D76" s="51">
        <v>277223809</v>
      </c>
      <c r="E76" s="34">
        <v>-10473567</v>
      </c>
      <c r="F76" s="35">
        <v>-3.6404805443898104E-2</v>
      </c>
    </row>
    <row r="77" spans="1:6" s="70" customFormat="1" ht="26.25">
      <c r="A77" s="29" t="s">
        <v>77</v>
      </c>
      <c r="B77" s="255">
        <v>38101.350000000006</v>
      </c>
      <c r="C77" s="26">
        <v>363369</v>
      </c>
      <c r="D77" s="26">
        <v>507579</v>
      </c>
      <c r="E77" s="28">
        <v>144210</v>
      </c>
      <c r="F77" s="24">
        <v>0.39686929815146588</v>
      </c>
    </row>
    <row r="78" spans="1:6" s="70" customFormat="1" ht="26.25">
      <c r="A78" s="29" t="s">
        <v>78</v>
      </c>
      <c r="B78" s="23">
        <v>36641980.939999998</v>
      </c>
      <c r="C78" s="23">
        <v>38150430</v>
      </c>
      <c r="D78" s="23">
        <v>36172118</v>
      </c>
      <c r="E78" s="28">
        <v>-1978312</v>
      </c>
      <c r="F78" s="24">
        <v>-5.1855562309520493E-2</v>
      </c>
    </row>
    <row r="79" spans="1:6" s="70" customFormat="1" ht="26.25">
      <c r="A79" s="29" t="s">
        <v>79</v>
      </c>
      <c r="B79" s="19">
        <v>83508550.079999998</v>
      </c>
      <c r="C79" s="19">
        <v>82856744</v>
      </c>
      <c r="D79" s="19">
        <v>82899906</v>
      </c>
      <c r="E79" s="28">
        <v>43162</v>
      </c>
      <c r="F79" s="24">
        <v>5.2092319727166684E-4</v>
      </c>
    </row>
    <row r="80" spans="1:6" s="72" customFormat="1" ht="26.25">
      <c r="A80" s="32" t="s">
        <v>80</v>
      </c>
      <c r="B80" s="260">
        <v>120188632.37</v>
      </c>
      <c r="C80" s="51">
        <v>121370543</v>
      </c>
      <c r="D80" s="51">
        <v>119579603</v>
      </c>
      <c r="E80" s="34">
        <v>-1790940</v>
      </c>
      <c r="F80" s="35">
        <v>-1.4755969247002544E-2</v>
      </c>
    </row>
    <row r="81" spans="1:7" s="70" customFormat="1" ht="26.25">
      <c r="A81" s="29" t="s">
        <v>81</v>
      </c>
      <c r="B81" s="19">
        <v>1839400.1400000001</v>
      </c>
      <c r="C81" s="19">
        <v>2319395</v>
      </c>
      <c r="D81" s="19">
        <v>2088195</v>
      </c>
      <c r="E81" s="28">
        <v>-231200</v>
      </c>
      <c r="F81" s="24">
        <v>-9.9681166856012027E-2</v>
      </c>
    </row>
    <row r="82" spans="1:7" s="70" customFormat="1" ht="26.25">
      <c r="A82" s="29" t="s">
        <v>82</v>
      </c>
      <c r="B82" s="28">
        <v>453271.82</v>
      </c>
      <c r="C82" s="28">
        <v>680476</v>
      </c>
      <c r="D82" s="28">
        <v>1319646</v>
      </c>
      <c r="E82" s="28">
        <v>639170</v>
      </c>
      <c r="F82" s="24">
        <v>0.93929837349149714</v>
      </c>
    </row>
    <row r="83" spans="1:7" s="70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7" s="70" customFormat="1" ht="26.25">
      <c r="A84" s="29" t="s">
        <v>84</v>
      </c>
      <c r="B84" s="28">
        <v>12953360</v>
      </c>
      <c r="C84" s="28">
        <v>13266805</v>
      </c>
      <c r="D84" s="28">
        <v>12189382</v>
      </c>
      <c r="E84" s="28">
        <v>-1077423</v>
      </c>
      <c r="F84" s="24">
        <v>-8.1211942136784246E-2</v>
      </c>
    </row>
    <row r="85" spans="1:7" s="72" customFormat="1" ht="26.25">
      <c r="A85" s="32" t="s">
        <v>85</v>
      </c>
      <c r="B85" s="34">
        <v>15246031.960000001</v>
      </c>
      <c r="C85" s="34">
        <v>16266676</v>
      </c>
      <c r="D85" s="34">
        <v>15597223</v>
      </c>
      <c r="E85" s="34">
        <v>-669453</v>
      </c>
      <c r="F85" s="35">
        <v>-4.1154873927531352E-2</v>
      </c>
    </row>
    <row r="86" spans="1:7" s="70" customFormat="1" ht="26.25">
      <c r="A86" s="29" t="s">
        <v>86</v>
      </c>
      <c r="B86" s="28">
        <v>6205549</v>
      </c>
      <c r="C86" s="28">
        <v>3611091</v>
      </c>
      <c r="D86" s="28">
        <v>3777700</v>
      </c>
      <c r="E86" s="28">
        <v>166609</v>
      </c>
      <c r="F86" s="24">
        <v>4.6138133876991748E-2</v>
      </c>
    </row>
    <row r="87" spans="1:7" s="70" customFormat="1" ht="26.25">
      <c r="A87" s="29" t="s">
        <v>87</v>
      </c>
      <c r="B87" s="28">
        <v>7267.05</v>
      </c>
      <c r="C87" s="28">
        <v>45000</v>
      </c>
      <c r="D87" s="28">
        <v>45000</v>
      </c>
      <c r="E87" s="28">
        <v>0</v>
      </c>
      <c r="F87" s="24">
        <v>0</v>
      </c>
    </row>
    <row r="88" spans="1:7" s="70" customFormat="1" ht="26.25">
      <c r="A88" s="38" t="s">
        <v>88</v>
      </c>
      <c r="B88" s="28">
        <v>0</v>
      </c>
      <c r="C88" s="28">
        <v>0</v>
      </c>
      <c r="D88" s="28">
        <v>0</v>
      </c>
      <c r="E88" s="28">
        <v>0</v>
      </c>
      <c r="F88" s="24">
        <v>0</v>
      </c>
    </row>
    <row r="89" spans="1:7" s="72" customFormat="1" ht="26.25">
      <c r="A89" s="52" t="s">
        <v>89</v>
      </c>
      <c r="B89" s="260">
        <v>6212816.0499999998</v>
      </c>
      <c r="C89" s="51">
        <v>3656091</v>
      </c>
      <c r="D89" s="51">
        <v>3822700</v>
      </c>
      <c r="E89" s="51">
        <v>166609</v>
      </c>
      <c r="F89" s="35">
        <v>4.5570255226141797E-2</v>
      </c>
    </row>
    <row r="90" spans="1:7" s="70" customFormat="1" ht="26.25">
      <c r="A90" s="38" t="s">
        <v>90</v>
      </c>
      <c r="B90" s="28">
        <v>0</v>
      </c>
      <c r="C90" s="28">
        <v>0</v>
      </c>
      <c r="D90" s="26">
        <v>0</v>
      </c>
      <c r="E90" s="28">
        <v>0</v>
      </c>
      <c r="F90" s="24">
        <v>0</v>
      </c>
    </row>
    <row r="91" spans="1:7" s="72" customFormat="1" ht="27" thickBot="1">
      <c r="A91" s="53" t="s">
        <v>133</v>
      </c>
      <c r="B91" s="263">
        <v>428771522.00999999</v>
      </c>
      <c r="C91" s="54">
        <v>428990686</v>
      </c>
      <c r="D91" s="55">
        <v>416223335</v>
      </c>
      <c r="E91" s="54">
        <v>-12767351</v>
      </c>
      <c r="F91" s="56">
        <v>-2.9761371089534566E-2</v>
      </c>
    </row>
    <row r="92" spans="1:7" s="74" customFormat="1" ht="7.5" customHeight="1" thickBot="1">
      <c r="A92" s="57"/>
      <c r="B92" s="58"/>
      <c r="C92" s="58"/>
      <c r="D92" s="58"/>
      <c r="E92" s="59"/>
      <c r="F92" s="59"/>
      <c r="G92" s="60"/>
    </row>
    <row r="93" spans="1:7" s="74" customFormat="1" ht="31.5">
      <c r="A93" s="160" t="s">
        <v>43</v>
      </c>
      <c r="B93" s="161"/>
      <c r="C93" s="161"/>
      <c r="D93" s="162"/>
      <c r="E93" s="161"/>
      <c r="F93" s="163"/>
    </row>
    <row r="94" spans="1:7" s="74" customFormat="1" ht="27" customHeight="1">
      <c r="A94" s="164" t="s">
        <v>121</v>
      </c>
      <c r="B94" s="165">
        <f>+[2]Revenue!F93</f>
        <v>202584</v>
      </c>
      <c r="C94" s="165">
        <f>+[2]Revenue!H93</f>
        <v>0</v>
      </c>
      <c r="D94" s="166"/>
      <c r="E94" s="165">
        <f t="shared" ref="E94:E99" si="0">D94-C94</f>
        <v>0</v>
      </c>
      <c r="F94" s="167">
        <f t="shared" ref="F94:F99" si="1">IF(ISBLANK(E94),"  ",IF(C94&gt;0,E94/C94,IF(E94&gt;0,1,0)))</f>
        <v>0</v>
      </c>
    </row>
    <row r="95" spans="1:7" ht="27" customHeight="1">
      <c r="A95" s="234" t="s">
        <v>45</v>
      </c>
      <c r="B95" s="189">
        <f>+[2]Revenue!F94</f>
        <v>0</v>
      </c>
      <c r="C95" s="189">
        <f>+[2]Revenue!H94</f>
        <v>0</v>
      </c>
      <c r="D95" s="190"/>
      <c r="E95" s="198">
        <f t="shared" si="0"/>
        <v>0</v>
      </c>
      <c r="F95" s="235">
        <f t="shared" si="1"/>
        <v>0</v>
      </c>
    </row>
    <row r="96" spans="1:7" s="246" customFormat="1" ht="25.5">
      <c r="A96" s="324" t="s">
        <v>122</v>
      </c>
      <c r="B96" s="303">
        <f>+[2]Revenue!F95</f>
        <v>8646069</v>
      </c>
      <c r="C96" s="303">
        <f>+[2]Revenue!H95</f>
        <v>926738</v>
      </c>
      <c r="D96" s="304"/>
      <c r="E96" s="303">
        <f t="shared" si="0"/>
        <v>-926738</v>
      </c>
      <c r="F96" s="306">
        <f t="shared" si="1"/>
        <v>-1</v>
      </c>
    </row>
    <row r="97" spans="1:7" ht="25.5" hidden="1">
      <c r="A97" s="164" t="s">
        <v>47</v>
      </c>
      <c r="B97" s="165">
        <f>+[2]Revenue!F96</f>
        <v>0</v>
      </c>
      <c r="C97" s="165">
        <f>+[2]Revenue!H96</f>
        <v>0</v>
      </c>
      <c r="D97" s="166"/>
      <c r="E97" s="165">
        <f t="shared" si="0"/>
        <v>0</v>
      </c>
      <c r="F97" s="167">
        <f t="shared" si="1"/>
        <v>0</v>
      </c>
    </row>
    <row r="98" spans="1:7" ht="25.5" hidden="1">
      <c r="A98" s="170" t="s">
        <v>48</v>
      </c>
      <c r="B98" s="165">
        <f>+[2]Revenue!F97</f>
        <v>0</v>
      </c>
      <c r="C98" s="165">
        <f>+[2]Revenue!H97</f>
        <v>0</v>
      </c>
      <c r="D98" s="166"/>
      <c r="E98" s="307">
        <f t="shared" si="0"/>
        <v>0</v>
      </c>
      <c r="F98" s="167">
        <f t="shared" si="1"/>
        <v>0</v>
      </c>
    </row>
    <row r="99" spans="1:7" ht="27" thickBot="1">
      <c r="A99" s="171" t="s">
        <v>49</v>
      </c>
      <c r="B99" s="172">
        <f>SUM(B94:B98)</f>
        <v>8848653</v>
      </c>
      <c r="C99" s="172">
        <f>SUM(C94:C98)</f>
        <v>926738</v>
      </c>
      <c r="D99" s="173">
        <f>SUM(D94:D98)</f>
        <v>0</v>
      </c>
      <c r="E99" s="172">
        <f t="shared" si="0"/>
        <v>-926738</v>
      </c>
      <c r="F99" s="174">
        <f t="shared" si="1"/>
        <v>-1</v>
      </c>
    </row>
    <row r="100" spans="1:7" ht="39" customHeight="1">
      <c r="A100" s="175"/>
      <c r="B100" s="176"/>
      <c r="C100" s="176"/>
      <c r="D100" s="176"/>
      <c r="E100" s="176"/>
      <c r="F100" s="177"/>
      <c r="G100" s="36"/>
    </row>
    <row r="101" spans="1:7" ht="31.5">
      <c r="A101" s="61" t="s">
        <v>91</v>
      </c>
      <c r="B101" s="62"/>
      <c r="C101" s="62"/>
      <c r="D101" s="62"/>
      <c r="E101" s="59"/>
      <c r="F101" s="59"/>
      <c r="G101" s="60"/>
    </row>
    <row r="102" spans="1:7" ht="31.5">
      <c r="A102" s="61" t="s">
        <v>92</v>
      </c>
      <c r="B102" s="62"/>
      <c r="C102" s="62"/>
      <c r="D102" s="62"/>
      <c r="E102" s="59"/>
      <c r="F102" s="59"/>
      <c r="G102" s="60"/>
    </row>
    <row r="103" spans="1:7" ht="30">
      <c r="A103" s="178" t="s">
        <v>123</v>
      </c>
      <c r="B103" s="64"/>
      <c r="C103" s="64"/>
      <c r="D103" s="64"/>
      <c r="E103" s="65"/>
      <c r="F103" s="65"/>
      <c r="G103" s="65"/>
    </row>
  </sheetData>
  <pageMargins left="0.7" right="0.7" top="0.3" bottom="0.3" header="0.3" footer="0.3"/>
  <pageSetup scale="2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5"/>
  <sheetViews>
    <sheetView topLeftCell="A4" zoomScale="40" zoomScaleNormal="40" workbookViewId="0">
      <selection activeCell="M46" sqref="M46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0.285156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4" t="s">
        <v>151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f>'SU BOS'!B8+SUBR!B8+SUNO!B8+SUS!B8+SUAg!B8+SULaw!B8</f>
        <v>58355288.060000002</v>
      </c>
      <c r="C8" s="23">
        <f>'SU BOS'!C8+SUBR!C8+SUNO!C8+SUS!C8+SUAg!C8+SULaw!C8</f>
        <v>58355289</v>
      </c>
      <c r="D8" s="23">
        <f>'SU BOS'!D8+SUBR!D8+SUNO!D8+SUS!D8+SUAg!D8+SULaw!D8</f>
        <v>57508557</v>
      </c>
      <c r="E8" s="23">
        <f t="shared" ref="E8:E28" si="0">D8-C8</f>
        <v>-846732</v>
      </c>
      <c r="F8" s="24">
        <f t="shared" ref="F8:F28" si="1">IF(ISBLANK(E8),"  ",IF(C8&gt;0,E8/C8,IF(E8&gt;0,1,0)))</f>
        <v>-1.450994441994795E-2</v>
      </c>
    </row>
    <row r="9" spans="1:6" s="13" customFormat="1" ht="26.25">
      <c r="A9" s="22" t="s">
        <v>17</v>
      </c>
      <c r="B9" s="23">
        <f>'SU BOS'!B9+SUBR!B9+SUNO!B9+SUS!B9+SUAg!B9+SULaw!B9</f>
        <v>0</v>
      </c>
      <c r="C9" s="23">
        <f>'SU BOS'!C9+SUBR!C9+SUNO!C9+SUS!C9+SUAg!C9+SULaw!C9</f>
        <v>0</v>
      </c>
      <c r="D9" s="23">
        <f>'SU BOS'!D9+SUBR!D9+SUNO!D9+SUS!D9+SUAg!D9+SULaw!D9</f>
        <v>0</v>
      </c>
      <c r="E9" s="23">
        <f t="shared" si="0"/>
        <v>0</v>
      </c>
      <c r="F9" s="24">
        <f t="shared" si="1"/>
        <v>0</v>
      </c>
    </row>
    <row r="10" spans="1:6" s="13" customFormat="1" ht="26.25">
      <c r="A10" s="25" t="s">
        <v>18</v>
      </c>
      <c r="B10" s="298">
        <f>SUM(B11:B28)</f>
        <v>4998190.17</v>
      </c>
      <c r="C10" s="26">
        <f>SUM(C11:C28)</f>
        <v>5009030</v>
      </c>
      <c r="D10" s="26">
        <f>SUM(D11:D28)</f>
        <v>4754593</v>
      </c>
      <c r="E10" s="26">
        <f t="shared" si="0"/>
        <v>-254437</v>
      </c>
      <c r="F10" s="24">
        <f t="shared" si="1"/>
        <v>-5.0795663032563193E-2</v>
      </c>
    </row>
    <row r="11" spans="1:6" s="13" customFormat="1" ht="26.25">
      <c r="A11" s="27" t="s">
        <v>19</v>
      </c>
      <c r="B11" s="23">
        <f>'SU BOS'!B11+SUBR!B11+SUNO!B11+SUS!B11+SUAg!B11+SULaw!B11</f>
        <v>50467.57</v>
      </c>
      <c r="C11" s="23">
        <f>'SU BOS'!C11+SUBR!C11+SUNO!C11+SUS!C11+SUAg!C11+SULaw!C11</f>
        <v>51242</v>
      </c>
      <c r="D11" s="23">
        <f>'SU BOS'!D11+SUBR!D11+SUNO!D11+SUS!D11+SUAg!D11+SULaw!D11</f>
        <v>0</v>
      </c>
      <c r="E11" s="26">
        <f t="shared" si="0"/>
        <v>-51242</v>
      </c>
      <c r="F11" s="24">
        <f t="shared" si="1"/>
        <v>-1</v>
      </c>
    </row>
    <row r="12" spans="1:6" s="13" customFormat="1" ht="26.25">
      <c r="A12" s="29" t="s">
        <v>20</v>
      </c>
      <c r="B12" s="23">
        <f>'SU BOS'!B12+SUBR!B12+SUNO!B12+SUS!B12+SUAg!B12+SULaw!B12</f>
        <v>2822722.6</v>
      </c>
      <c r="C12" s="23">
        <f>'SU BOS'!C12+SUBR!C12+SUNO!C12+SUS!C12+SUAg!C12+SULaw!C12</f>
        <v>2832788</v>
      </c>
      <c r="D12" s="23">
        <f>'SU BOS'!D12+SUBR!D12+SUNO!D12+SUS!D12+SUAg!D12+SULaw!D12</f>
        <v>2854593</v>
      </c>
      <c r="E12" s="26">
        <f t="shared" si="0"/>
        <v>21805</v>
      </c>
      <c r="F12" s="24">
        <f t="shared" si="1"/>
        <v>7.6973638690929222E-3</v>
      </c>
    </row>
    <row r="13" spans="1:6" s="13" customFormat="1" ht="26.25">
      <c r="A13" s="29" t="s">
        <v>21</v>
      </c>
      <c r="B13" s="23">
        <f>'SU BOS'!B13+SUBR!B13+SUNO!B13+SUS!B13+SUAg!B13+SULaw!B13</f>
        <v>1000000</v>
      </c>
      <c r="C13" s="23">
        <f>'SU BOS'!C13+SUBR!C13+SUNO!C13+SUS!C13+SUAg!C13+SULaw!C13</f>
        <v>1000000</v>
      </c>
      <c r="D13" s="23">
        <f>'SU BOS'!D13+SUBR!D13+SUNO!D13+SUS!D13+SUAg!D13+SULaw!D13</f>
        <v>1000000</v>
      </c>
      <c r="E13" s="26">
        <f t="shared" si="0"/>
        <v>0</v>
      </c>
      <c r="F13" s="24">
        <f t="shared" si="1"/>
        <v>0</v>
      </c>
    </row>
    <row r="14" spans="1:6" s="13" customFormat="1" ht="26.25">
      <c r="A14" s="29" t="s">
        <v>22</v>
      </c>
      <c r="B14" s="23">
        <f>'SU BOS'!B14+SUBR!B14+SUNO!B14+SUS!B14+SUAg!B14+SULaw!B14</f>
        <v>0</v>
      </c>
      <c r="C14" s="23">
        <f>'SU BOS'!C14+SUBR!C14+SUNO!C14+SUS!C14+SUAg!C14+SULaw!C14</f>
        <v>0</v>
      </c>
      <c r="D14" s="23">
        <f>'SU BOS'!D14+SUBR!D14+SUNO!D14+SUS!D14+SUAg!D14+SULaw!D14</f>
        <v>0</v>
      </c>
      <c r="E14" s="26">
        <f t="shared" si="0"/>
        <v>0</v>
      </c>
      <c r="F14" s="24">
        <f t="shared" si="1"/>
        <v>0</v>
      </c>
    </row>
    <row r="15" spans="1:6" s="13" customFormat="1" ht="26.25">
      <c r="A15" s="29" t="s">
        <v>23</v>
      </c>
      <c r="B15" s="23">
        <f>'SU BOS'!B15+SUBR!B15+SUNO!B15+SUS!B15+SUAg!B15+SULaw!B15</f>
        <v>0</v>
      </c>
      <c r="C15" s="23">
        <f>'SU BOS'!C15+SUBR!C15+SUNO!C15+SUS!C15+SUAg!C15+SULaw!C15</f>
        <v>0</v>
      </c>
      <c r="D15" s="23">
        <f>'SU BOS'!D15+SUBR!D15+SUNO!D15+SUS!D15+SUAg!D15+SULaw!D15</f>
        <v>0</v>
      </c>
      <c r="E15" s="26">
        <f t="shared" si="0"/>
        <v>0</v>
      </c>
      <c r="F15" s="24">
        <f t="shared" si="1"/>
        <v>0</v>
      </c>
    </row>
    <row r="16" spans="1:6" s="13" customFormat="1" ht="26.25">
      <c r="A16" s="29" t="s">
        <v>24</v>
      </c>
      <c r="B16" s="23">
        <f>'SU BOS'!B16+SUBR!B16+SUNO!B16+SUS!B16+SUAg!B16+SULaw!B16</f>
        <v>50000</v>
      </c>
      <c r="C16" s="23">
        <f>'SU BOS'!C16+SUBR!C16+SUNO!C16+SUS!C16+SUAg!C16+SULaw!C16</f>
        <v>50000</v>
      </c>
      <c r="D16" s="23">
        <f>'SU BOS'!D16+SUBR!D16+SUNO!D16+SUS!D16+SUAg!D16+SULaw!D16</f>
        <v>50000</v>
      </c>
      <c r="E16" s="26">
        <f t="shared" si="0"/>
        <v>0</v>
      </c>
      <c r="F16" s="24">
        <f t="shared" si="1"/>
        <v>0</v>
      </c>
    </row>
    <row r="17" spans="1:6" s="13" customFormat="1" ht="26.25">
      <c r="A17" s="29" t="s">
        <v>25</v>
      </c>
      <c r="B17" s="23">
        <f>'SU BOS'!B17+SUBR!B17+SUNO!B17+SUS!B17+SUAg!B17+SULaw!B17</f>
        <v>750000</v>
      </c>
      <c r="C17" s="23">
        <f>'SU BOS'!C17+SUBR!C17+SUNO!C17+SUS!C17+SUAg!C17+SULaw!C17</f>
        <v>750000</v>
      </c>
      <c r="D17" s="23">
        <f>'SU BOS'!D17+SUBR!D17+SUNO!D17+SUS!D17+SUAg!D17+SULaw!D17</f>
        <v>750000</v>
      </c>
      <c r="E17" s="26">
        <f t="shared" si="0"/>
        <v>0</v>
      </c>
      <c r="F17" s="24">
        <f t="shared" si="1"/>
        <v>0</v>
      </c>
    </row>
    <row r="18" spans="1:6" s="13" customFormat="1" ht="26.25">
      <c r="A18" s="29" t="s">
        <v>26</v>
      </c>
      <c r="B18" s="23">
        <f>'SU BOS'!B18+SUBR!B18+SUNO!B18+SUS!B18+SUAg!B18+SULaw!B18</f>
        <v>0</v>
      </c>
      <c r="C18" s="23">
        <f>'SU BOS'!C18+SUBR!C18+SUNO!C18+SUS!C18+SUAg!C18+SULaw!C18</f>
        <v>0</v>
      </c>
      <c r="D18" s="23">
        <f>'SU BOS'!D18+SUBR!D18+SUNO!D18+SUS!D18+SUAg!D18+SULaw!D18</f>
        <v>0</v>
      </c>
      <c r="E18" s="26">
        <f t="shared" si="0"/>
        <v>0</v>
      </c>
      <c r="F18" s="24">
        <f t="shared" si="1"/>
        <v>0</v>
      </c>
    </row>
    <row r="19" spans="1:6" s="13" customFormat="1" ht="26.25">
      <c r="A19" s="29" t="s">
        <v>27</v>
      </c>
      <c r="B19" s="23">
        <f>'SU BOS'!B19+SUBR!B19+SUNO!B19+SUS!B19+SUAg!B19+SULaw!B19</f>
        <v>0</v>
      </c>
      <c r="C19" s="23">
        <f>'SU BOS'!C19+SUBR!C19+SUNO!C19+SUS!C19+SUAg!C19+SULaw!C19</f>
        <v>0</v>
      </c>
      <c r="D19" s="23">
        <f>'SU BOS'!D19+SUBR!D19+SUNO!D19+SUS!D19+SUAg!D19+SULaw!D19</f>
        <v>0</v>
      </c>
      <c r="E19" s="26">
        <f t="shared" si="0"/>
        <v>0</v>
      </c>
      <c r="F19" s="24">
        <f t="shared" si="1"/>
        <v>0</v>
      </c>
    </row>
    <row r="20" spans="1:6" s="13" customFormat="1" ht="26.25">
      <c r="A20" s="29" t="s">
        <v>28</v>
      </c>
      <c r="B20" s="23">
        <f>'SU BOS'!B20+SUBR!B20+SUNO!B20+SUS!B20+SUAg!B20+SULaw!B20</f>
        <v>0</v>
      </c>
      <c r="C20" s="23">
        <f>'SU BOS'!C20+SUBR!C20+SUNO!C20+SUS!C20+SUAg!C20+SULaw!C20</f>
        <v>0</v>
      </c>
      <c r="D20" s="23">
        <f>'SU BOS'!D20+SUBR!D20+SUNO!D20+SUS!D20+SUAg!D20+SULaw!D20</f>
        <v>0</v>
      </c>
      <c r="E20" s="26">
        <f t="shared" si="0"/>
        <v>0</v>
      </c>
      <c r="F20" s="24">
        <f t="shared" si="1"/>
        <v>0</v>
      </c>
    </row>
    <row r="21" spans="1:6" s="13" customFormat="1" ht="26.25">
      <c r="A21" s="29" t="s">
        <v>29</v>
      </c>
      <c r="B21" s="23">
        <f>'SU BOS'!B21+SUBR!B21+SUNO!B21+SUS!B21+SUAg!B21+SULaw!B21</f>
        <v>0</v>
      </c>
      <c r="C21" s="23">
        <f>'SU BOS'!C21+SUBR!C21+SUNO!C21+SUS!C21+SUAg!C21+SULaw!C21</f>
        <v>0</v>
      </c>
      <c r="D21" s="23">
        <f>'SU BOS'!D21+SUBR!D21+SUNO!D21+SUS!D21+SUAg!D21+SULaw!D21</f>
        <v>0</v>
      </c>
      <c r="E21" s="26">
        <f t="shared" si="0"/>
        <v>0</v>
      </c>
      <c r="F21" s="24">
        <f t="shared" si="1"/>
        <v>0</v>
      </c>
    </row>
    <row r="22" spans="1:6" s="13" customFormat="1" ht="26.25">
      <c r="A22" s="29" t="s">
        <v>30</v>
      </c>
      <c r="B22" s="23">
        <f>'SU BOS'!B22+SUBR!B22+SUNO!B22+SUS!B22+SUAg!B22+SULaw!B22</f>
        <v>0</v>
      </c>
      <c r="C22" s="23">
        <f>'SU BOS'!C22+SUBR!C22+SUNO!C22+SUS!C22+SUAg!C22+SULaw!C22</f>
        <v>0</v>
      </c>
      <c r="D22" s="23">
        <f>'SU BOS'!D22+SUBR!D22+SUNO!D22+SUS!D22+SUAg!D22+SULaw!D22</f>
        <v>0</v>
      </c>
      <c r="E22" s="26">
        <f t="shared" si="0"/>
        <v>0</v>
      </c>
      <c r="F22" s="24">
        <f t="shared" si="1"/>
        <v>0</v>
      </c>
    </row>
    <row r="23" spans="1:6" s="13" customFormat="1" ht="26.25">
      <c r="A23" s="30" t="s">
        <v>31</v>
      </c>
      <c r="B23" s="23">
        <f>'SU BOS'!B23+SUBR!B23+SUNO!B23+SUS!B23+SUAg!B23+SULaw!B23</f>
        <v>0</v>
      </c>
      <c r="C23" s="23">
        <f>'SU BOS'!C23+SUBR!C23+SUNO!C23+SUS!C23+SUAg!C23+SULaw!C23</f>
        <v>0</v>
      </c>
      <c r="D23" s="23">
        <f>'SU BOS'!D23+SUBR!D23+SUNO!D23+SUS!D23+SUAg!D23+SULaw!D23</f>
        <v>0</v>
      </c>
      <c r="E23" s="26">
        <f t="shared" si="0"/>
        <v>0</v>
      </c>
      <c r="F23" s="24">
        <f t="shared" si="1"/>
        <v>0</v>
      </c>
    </row>
    <row r="24" spans="1:6" s="13" customFormat="1" ht="26.25">
      <c r="A24" s="30" t="s">
        <v>32</v>
      </c>
      <c r="B24" s="23">
        <f>'SU BOS'!B24+SUBR!B24+SUNO!B24+SUS!B24+SUAg!B24+SULaw!B24</f>
        <v>0</v>
      </c>
      <c r="C24" s="23">
        <f>'SU BOS'!C24+SUBR!C24+SUNO!C24+SUS!C24+SUAg!C24+SULaw!C24</f>
        <v>0</v>
      </c>
      <c r="D24" s="23">
        <f>'SU BOS'!D24+SUBR!D24+SUNO!D24+SUS!D24+SUAg!D24+SULaw!D24</f>
        <v>0</v>
      </c>
      <c r="E24" s="26">
        <f t="shared" si="0"/>
        <v>0</v>
      </c>
      <c r="F24" s="24">
        <f t="shared" si="1"/>
        <v>0</v>
      </c>
    </row>
    <row r="25" spans="1:6" s="13" customFormat="1" ht="26.25">
      <c r="A25" s="30" t="s">
        <v>33</v>
      </c>
      <c r="B25" s="23">
        <f>'SU BOS'!B25+SUBR!B25+SUNO!B25+SUS!B25+SUAg!B25+SULaw!B25</f>
        <v>0</v>
      </c>
      <c r="C25" s="23">
        <f>'SU BOS'!C25+SUBR!C25+SUNO!C25+SUS!C25+SUAg!C25+SULaw!C25</f>
        <v>0</v>
      </c>
      <c r="D25" s="23">
        <f>'SU BOS'!D25+SUBR!D25+SUNO!D25+SUS!D25+SUAg!D25+SULaw!D25</f>
        <v>0</v>
      </c>
      <c r="E25" s="26">
        <f t="shared" si="0"/>
        <v>0</v>
      </c>
      <c r="F25" s="24">
        <f t="shared" si="1"/>
        <v>0</v>
      </c>
    </row>
    <row r="26" spans="1:6" s="13" customFormat="1" ht="26.25">
      <c r="A26" s="30" t="s">
        <v>34</v>
      </c>
      <c r="B26" s="23">
        <f>'SU BOS'!B26+SUBR!B26+SUNO!B26+SUS!B26+SUAg!B26+SULaw!B26</f>
        <v>0</v>
      </c>
      <c r="C26" s="23">
        <f>'SU BOS'!C26+SUBR!C26+SUNO!C26+SUS!C26+SUAg!C26+SULaw!C26</f>
        <v>0</v>
      </c>
      <c r="D26" s="23">
        <f>'SU BOS'!D26+SUBR!D26+SUNO!D26+SUS!D26+SUAg!D26+SULaw!D26</f>
        <v>0</v>
      </c>
      <c r="E26" s="26">
        <f t="shared" si="0"/>
        <v>0</v>
      </c>
      <c r="F26" s="24">
        <f t="shared" si="1"/>
        <v>0</v>
      </c>
    </row>
    <row r="27" spans="1:6" s="13" customFormat="1" ht="26.25">
      <c r="A27" s="30" t="s">
        <v>35</v>
      </c>
      <c r="B27" s="23">
        <f>'SU BOS'!B27+SUBR!B27+SUNO!B27+SUS!B27+SUAg!B27+SULaw!B27</f>
        <v>0</v>
      </c>
      <c r="C27" s="23">
        <f>'SU BOS'!C27+SUBR!C27+SUNO!C27+SUS!C27+SUAg!C27+SULaw!C27</f>
        <v>0</v>
      </c>
      <c r="D27" s="23">
        <f>'SU BOS'!D27+SUBR!D27+SUNO!D27+SUS!D27+SUAg!D27+SULaw!D27</f>
        <v>0</v>
      </c>
      <c r="E27" s="26">
        <f t="shared" si="0"/>
        <v>0</v>
      </c>
      <c r="F27" s="24">
        <f t="shared" si="1"/>
        <v>0</v>
      </c>
    </row>
    <row r="28" spans="1:6" s="13" customFormat="1" ht="26.25">
      <c r="A28" s="30" t="s">
        <v>36</v>
      </c>
      <c r="B28" s="23">
        <f>'SU BOS'!B28+SUBR!B28+SUNO!B28+SUS!B28+SUAg!B28+SULaw!B28</f>
        <v>325000</v>
      </c>
      <c r="C28" s="23">
        <f>'SU BOS'!C28+SUBR!C28+SUNO!C28+SUS!C28+SUAg!C28+SULaw!C28</f>
        <v>325000</v>
      </c>
      <c r="D28" s="23">
        <f>'SU BOS'!D28+SUBR!D28+SUNO!D28+SUS!D28+SUAg!D28+SULaw!D28</f>
        <v>100000</v>
      </c>
      <c r="E28" s="26">
        <f t="shared" si="0"/>
        <v>-225000</v>
      </c>
      <c r="F28" s="24">
        <f t="shared" si="1"/>
        <v>-0.69230769230769229</v>
      </c>
    </row>
    <row r="29" spans="1:6" s="13" customFormat="1" ht="26.25">
      <c r="A29" s="31" t="s">
        <v>37</v>
      </c>
      <c r="B29" s="299"/>
      <c r="C29" s="28"/>
      <c r="D29" s="28"/>
      <c r="E29" s="28"/>
      <c r="F29" s="20"/>
    </row>
    <row r="30" spans="1:6" s="13" customFormat="1" ht="26.25">
      <c r="A30" s="27" t="s">
        <v>38</v>
      </c>
      <c r="B30" s="23">
        <f>'SU BOS'!B30+SUBR!B30+SUNO!B30+SUS!B30+SUAg!B30+SULaw!B30</f>
        <v>0</v>
      </c>
      <c r="C30" s="23">
        <f>'SU BOS'!C30+SUBR!C30+SUNO!C30+SUS!C30+SUAg!C30+SULaw!C30</f>
        <v>0</v>
      </c>
      <c r="D30" s="23">
        <f>'SU BOS'!D30+SUBR!D30+SUNO!D30+SUS!D30+SUAg!D30+SULaw!D30</f>
        <v>0</v>
      </c>
      <c r="E30" s="23">
        <f>D30-C30</f>
        <v>0</v>
      </c>
      <c r="F30" s="24">
        <f>IF(ISBLANK(E30),"  ",IF(C30&gt;0,E30/C30,IF(E30&gt;0,1,0)))</f>
        <v>0</v>
      </c>
    </row>
    <row r="31" spans="1:6" s="13" customFormat="1" ht="26.25">
      <c r="A31" s="32" t="s">
        <v>39</v>
      </c>
      <c r="B31" s="299"/>
      <c r="C31" s="28"/>
      <c r="D31" s="28"/>
      <c r="E31" s="28"/>
      <c r="F31" s="20"/>
    </row>
    <row r="32" spans="1:6" s="13" customFormat="1" ht="26.25">
      <c r="A32" s="27" t="s">
        <v>38</v>
      </c>
      <c r="B32" s="23">
        <f>'SU BOS'!B32+SUBR!B32+SUNO!B32+SUS!B32+SUAg!B32+SULaw!B32</f>
        <v>0</v>
      </c>
      <c r="C32" s="23">
        <f>'SU BOS'!C32+SUBR!C32+SUNO!C32+SUS!C32+SUAg!C32+SULaw!C32</f>
        <v>0</v>
      </c>
      <c r="D32" s="23">
        <f>'SU BOS'!D32+SUBR!D32+SUNO!D32+SUS!D32+SUAg!D32+SULaw!D32</f>
        <v>0</v>
      </c>
      <c r="E32" s="23">
        <f>D32-C32</f>
        <v>0</v>
      </c>
      <c r="F32" s="24">
        <f>IF(ISBLANK(E32),"  ",IF(C32&gt;0,E32/C32,IF(E32&gt;0,1,0)))</f>
        <v>0</v>
      </c>
    </row>
    <row r="33" spans="1:10" s="13" customFormat="1" ht="26.25">
      <c r="A33" s="29" t="s">
        <v>40</v>
      </c>
      <c r="B33" s="299"/>
      <c r="C33" s="28"/>
      <c r="D33" s="28"/>
      <c r="E33" s="26"/>
      <c r="F33" s="24" t="str">
        <f>IF(ISBLANK(E33),"  ",IF(C33&gt;0,E33/C33,IF(E33&gt;0,1,0)))</f>
        <v xml:space="preserve">  </v>
      </c>
    </row>
    <row r="34" spans="1:10" s="36" customFormat="1" ht="26.25">
      <c r="A34" s="33" t="s">
        <v>42</v>
      </c>
      <c r="B34" s="300">
        <f>B33+B32+B30+B10+B9+B8</f>
        <v>63353478.230000004</v>
      </c>
      <c r="C34" s="34">
        <f>C33+C32+C30+C10+C9+C8</f>
        <v>63364319</v>
      </c>
      <c r="D34" s="34">
        <f>D33+D32+D30+D10+D9+D8</f>
        <v>62263150</v>
      </c>
      <c r="E34" s="34">
        <f>D34-C34</f>
        <v>-1101169</v>
      </c>
      <c r="F34" s="35">
        <f>IF(ISBLANK(E34),"  ",IF(C34&gt;0,E34/C34,IF(E34&gt;0,1,0)))</f>
        <v>-1.7378376622338512E-2</v>
      </c>
    </row>
    <row r="35" spans="1:10" s="13" customFormat="1" ht="26.25">
      <c r="A35" s="31" t="s">
        <v>43</v>
      </c>
      <c r="B35" s="299"/>
      <c r="C35" s="28"/>
      <c r="D35" s="28"/>
      <c r="E35" s="28"/>
      <c r="F35" s="20"/>
    </row>
    <row r="36" spans="1:10" s="13" customFormat="1" ht="26.25">
      <c r="A36" s="37" t="s">
        <v>44</v>
      </c>
      <c r="B36" s="23">
        <f>'SU BOS'!B36+SUBR!B36+SUNO!B36+SUS!B36+SUAg!B36+SULaw!B36</f>
        <v>0</v>
      </c>
      <c r="C36" s="23">
        <f>'SU BOS'!C36+SUBR!C36+SUNO!C36+SUS!C36+SUAg!C36+SULaw!C36</f>
        <v>0</v>
      </c>
      <c r="D36" s="23">
        <f>'SU BOS'!D36+SUBR!D36+SUNO!D36+SUS!D36+SUAg!D36+SULaw!D36</f>
        <v>0</v>
      </c>
      <c r="E36" s="23">
        <f t="shared" ref="E36:E41" si="2">D36-C36</f>
        <v>0</v>
      </c>
      <c r="F36" s="24">
        <f t="shared" ref="F36:F41" si="3">IF(ISBLANK(E36),"  ",IF(C36&gt;0,E36/C36,IF(E36&gt;0,1,0)))</f>
        <v>0</v>
      </c>
    </row>
    <row r="37" spans="1:10" s="13" customFormat="1" ht="26.25">
      <c r="A37" s="38" t="s">
        <v>45</v>
      </c>
      <c r="B37" s="23">
        <f>'SU BOS'!B37+SUBR!B37+SUNO!B37+SUS!B37+SUAg!B37+SULaw!B37</f>
        <v>0</v>
      </c>
      <c r="C37" s="23">
        <f>'SU BOS'!C37+SUBR!C37+SUNO!C37+SUS!C37+SUAg!C37+SULaw!C37</f>
        <v>0</v>
      </c>
      <c r="D37" s="23">
        <f>'SU BOS'!D37+SUBR!D37+SUNO!D37+SUS!D37+SUAg!D37+SULaw!D37</f>
        <v>0</v>
      </c>
      <c r="E37" s="26">
        <f t="shared" si="2"/>
        <v>0</v>
      </c>
      <c r="F37" s="24">
        <f t="shared" si="3"/>
        <v>0</v>
      </c>
    </row>
    <row r="38" spans="1:10" s="13" customFormat="1" ht="26.25">
      <c r="A38" s="38" t="s">
        <v>46</v>
      </c>
      <c r="B38" s="23">
        <f>'SU BOS'!B38+SUBR!B38+SUNO!B38+SUS!B38+SUAg!B38+SULaw!B38</f>
        <v>6041233</v>
      </c>
      <c r="C38" s="23">
        <f>'SU BOS'!C38+SUBR!C38+SUNO!C38+SUS!C38+SUAg!C38+SULaw!C38</f>
        <v>0</v>
      </c>
      <c r="D38" s="23">
        <f>'SU BOS'!D38+SUBR!D38+SUNO!D38+SUS!D38+SUAg!D38+SULaw!D38</f>
        <v>0</v>
      </c>
      <c r="E38" s="26">
        <f t="shared" si="2"/>
        <v>0</v>
      </c>
      <c r="F38" s="24">
        <f t="shared" si="3"/>
        <v>0</v>
      </c>
    </row>
    <row r="39" spans="1:10" s="13" customFormat="1" ht="26.25">
      <c r="A39" s="38" t="s">
        <v>47</v>
      </c>
      <c r="B39" s="23">
        <f>'SU BOS'!B39+SUBR!B39+SUNO!B39+SUS!B39+SUAg!B39+SULaw!B39</f>
        <v>0</v>
      </c>
      <c r="C39" s="23">
        <f>'SU BOS'!C39+SUBR!C39+SUNO!C39+SUS!C39+SUAg!C39+SULaw!C39</f>
        <v>0</v>
      </c>
      <c r="D39" s="23">
        <f>'SU BOS'!D39+SUBR!D39+SUNO!D39+SUS!D39+SUAg!D39+SULaw!D39</f>
        <v>0</v>
      </c>
      <c r="E39" s="26">
        <f t="shared" si="2"/>
        <v>0</v>
      </c>
      <c r="F39" s="24">
        <f t="shared" si="3"/>
        <v>0</v>
      </c>
    </row>
    <row r="40" spans="1:10" s="13" customFormat="1" ht="26.25">
      <c r="A40" s="39" t="s">
        <v>48</v>
      </c>
      <c r="B40" s="23">
        <f>'SU BOS'!B40+SUBR!B40+SUNO!B40+SUS!B40+SUAg!B40+SULaw!B40</f>
        <v>0</v>
      </c>
      <c r="C40" s="23">
        <f>'SU BOS'!C40+SUBR!C40+SUNO!C40+SUS!C40+SUAg!C40+SULaw!C40</f>
        <v>0</v>
      </c>
      <c r="D40" s="23">
        <f>'SU BOS'!D40+SUBR!D40+SUNO!D40+SUS!D40+SUAg!D40+SULaw!D40</f>
        <v>0</v>
      </c>
      <c r="E40" s="26">
        <f t="shared" si="2"/>
        <v>0</v>
      </c>
      <c r="F40" s="24">
        <f t="shared" si="3"/>
        <v>0</v>
      </c>
    </row>
    <row r="41" spans="1:10" s="36" customFormat="1" ht="26.25">
      <c r="A41" s="31" t="s">
        <v>49</v>
      </c>
      <c r="B41" s="40">
        <f>SUM(B36:B40)</f>
        <v>6041233</v>
      </c>
      <c r="C41" s="40">
        <f>SUM(C36:C40)</f>
        <v>0</v>
      </c>
      <c r="D41" s="40">
        <f>SUM(D36:D40)</f>
        <v>0</v>
      </c>
      <c r="E41" s="40">
        <f t="shared" si="2"/>
        <v>0</v>
      </c>
      <c r="F41" s="35">
        <f t="shared" si="3"/>
        <v>0</v>
      </c>
      <c r="J41" s="36" t="s">
        <v>50</v>
      </c>
    </row>
    <row r="42" spans="1:10" s="13" customFormat="1" ht="26.25">
      <c r="A42" s="29" t="s">
        <v>50</v>
      </c>
      <c r="B42" s="299"/>
      <c r="C42" s="28"/>
      <c r="D42" s="28"/>
      <c r="E42" s="28"/>
      <c r="F42" s="20"/>
    </row>
    <row r="43" spans="1:10" s="36" customFormat="1" ht="26.25">
      <c r="A43" s="41" t="s">
        <v>51</v>
      </c>
      <c r="B43" s="42">
        <f>'SU BOS'!B43+SUBR!B43+SUNO!B43+SUS!B43+SUAg!B43+SULaw!B43</f>
        <v>1470852</v>
      </c>
      <c r="C43" s="42">
        <f>'SU BOS'!C43+SUBR!C43+SUNO!C43+SUS!C43+SUAg!C43+SULaw!C43</f>
        <v>3350479</v>
      </c>
      <c r="D43" s="42">
        <f>'SU BOS'!D43+SUBR!D43+SUNO!D43+SUS!D43+SUAg!D43+SULaw!D43</f>
        <v>1726702</v>
      </c>
      <c r="E43" s="42">
        <f>D43-C43</f>
        <v>-1623777</v>
      </c>
      <c r="F43" s="35">
        <f>IF(ISBLANK(E43),"  ",IF(C43&gt;0,E43/C43,IF(E43&gt;0,1,0)))</f>
        <v>-0.48464025591564669</v>
      </c>
    </row>
    <row r="44" spans="1:10" s="13" customFormat="1" ht="26.25">
      <c r="A44" s="29" t="s">
        <v>50</v>
      </c>
      <c r="B44" s="299"/>
      <c r="C44" s="28"/>
      <c r="D44" s="28"/>
      <c r="E44" s="28"/>
      <c r="F44" s="20"/>
    </row>
    <row r="45" spans="1:10" s="36" customFormat="1" ht="26.25">
      <c r="A45" s="41" t="s">
        <v>52</v>
      </c>
      <c r="B45" s="42">
        <f>'SU BOS'!B45+SUBR!B45+SUNO!B45+SUS!B45+SUAg!B45+SULaw!B45</f>
        <v>18662014</v>
      </c>
      <c r="C45" s="42">
        <f>'SU BOS'!C45+SUBR!C45+SUNO!C45+SUS!C45+SUAg!C45+SULaw!C45</f>
        <v>18662014</v>
      </c>
      <c r="D45" s="42">
        <f>'SU BOS'!D45+SUBR!D45+SUNO!D45+SUS!D45+SUAg!D45+SULaw!D45</f>
        <v>0</v>
      </c>
      <c r="E45" s="42">
        <f>D45-C45</f>
        <v>-18662014</v>
      </c>
      <c r="F45" s="35">
        <f>IF(ISBLANK(E45),"  ",IF(C45&gt;0,E45/C45,IF(E45&gt;0,1,0)))</f>
        <v>-1</v>
      </c>
    </row>
    <row r="46" spans="1:10" s="13" customFormat="1" ht="26.25">
      <c r="A46" s="29" t="s">
        <v>50</v>
      </c>
      <c r="B46" s="300"/>
      <c r="C46" s="34"/>
      <c r="D46" s="34"/>
      <c r="E46" s="28"/>
      <c r="F46" s="20"/>
    </row>
    <row r="47" spans="1:10" s="36" customFormat="1" ht="26.25">
      <c r="A47" s="31" t="s">
        <v>53</v>
      </c>
      <c r="B47" s="42">
        <f>'SU BOS'!B47+SUBR!B47+SUNO!B47+SUS!B47+SUAg!B47+SULaw!B47</f>
        <v>57318248.649999999</v>
      </c>
      <c r="C47" s="42">
        <f>'SU BOS'!C47+SUBR!C47+SUNO!C47+SUS!C47+SUAg!C47+SULaw!C47</f>
        <v>52923185</v>
      </c>
      <c r="D47" s="42">
        <f>'SU BOS'!D47+SUBR!D47+SUNO!D47+SUS!D47+SUAg!D47+SULaw!D47</f>
        <v>71066366</v>
      </c>
      <c r="E47" s="40">
        <f>D47-C47</f>
        <v>18143181</v>
      </c>
      <c r="F47" s="35">
        <f>IF(ISBLANK(E47),"  ",IF(C47&gt;0,E47/C47,IF(E47&gt;0,1,0)))</f>
        <v>0.34282103391925484</v>
      </c>
    </row>
    <row r="48" spans="1:10" s="13" customFormat="1" ht="26.25">
      <c r="A48" s="29" t="s">
        <v>50</v>
      </c>
      <c r="B48" s="300"/>
      <c r="C48" s="34"/>
      <c r="D48" s="34"/>
      <c r="E48" s="28"/>
      <c r="F48" s="20"/>
    </row>
    <row r="49" spans="1:13" s="36" customFormat="1" ht="26.25">
      <c r="A49" s="43" t="s">
        <v>54</v>
      </c>
      <c r="B49" s="42">
        <f>'SU BOS'!B49+SUBR!B49+SUNO!B49+SUS!B49+SUAg!B49+SULaw!B49</f>
        <v>3379752</v>
      </c>
      <c r="C49" s="42">
        <f>'SU BOS'!C49+SUBR!C49+SUNO!C49+SUS!C49+SUAg!C49+SULaw!C49</f>
        <v>3379752</v>
      </c>
      <c r="D49" s="42">
        <f>'SU BOS'!D49+SUBR!D49+SUNO!D49+SUS!D49+SUAg!D49+SULaw!D49</f>
        <v>3379752</v>
      </c>
      <c r="E49" s="44">
        <f>D49-C49</f>
        <v>0</v>
      </c>
      <c r="F49" s="35">
        <f>IF(ISBLANK(E49),"  ",IF(C49&gt;0,E49/C49,IF(E49&gt;0,1,0)))</f>
        <v>0</v>
      </c>
      <c r="M49" s="36" t="s">
        <v>50</v>
      </c>
    </row>
    <row r="50" spans="1:13" s="13" customFormat="1" ht="26.25">
      <c r="A50" s="31"/>
      <c r="B50" s="40"/>
      <c r="C50" s="40"/>
      <c r="D50" s="40"/>
      <c r="E50" s="19"/>
      <c r="F50" s="45"/>
    </row>
    <row r="51" spans="1:13" s="36" customFormat="1" ht="26.25">
      <c r="A51" s="31" t="s">
        <v>55</v>
      </c>
      <c r="B51" s="42">
        <f>'SU BOS'!B51+SUBR!B51+SUNO!B51+SUS!B51+SUAg!B51+SULaw!B51</f>
        <v>0</v>
      </c>
      <c r="C51" s="42">
        <f>'SU BOS'!C51+SUBR!C51+SUNO!C51+SUS!C51+SUAg!C51+SULaw!C51</f>
        <v>0</v>
      </c>
      <c r="D51" s="42">
        <f>'SU BOS'!D51+SUBR!D51+SUNO!D51+SUS!D51+SUAg!D51+SULaw!D51</f>
        <v>0</v>
      </c>
      <c r="E51" s="44">
        <f>D51-C51</f>
        <v>0</v>
      </c>
      <c r="F51" s="35">
        <f>IF(ISBLANK(E51),"  ",IF(C51&gt;0,E51/C51,IF(E51&gt;0,1,0)))</f>
        <v>0</v>
      </c>
    </row>
    <row r="52" spans="1:13" s="13" customFormat="1" ht="26.25">
      <c r="A52" s="29"/>
      <c r="B52" s="300"/>
      <c r="C52" s="34"/>
      <c r="D52" s="34"/>
      <c r="E52" s="28"/>
      <c r="F52" s="20"/>
    </row>
    <row r="53" spans="1:13" s="36" customFormat="1" ht="26.25">
      <c r="A53" s="46" t="s">
        <v>56</v>
      </c>
      <c r="B53" s="42">
        <f>B49+B47+B45+B43+B34-B41</f>
        <v>138143111.88</v>
      </c>
      <c r="C53" s="40">
        <f>C49+C47+C45+C43+C34-C41</f>
        <v>141679749</v>
      </c>
      <c r="D53" s="42">
        <f>D49+D47+D45+D43+D34-D41</f>
        <v>138435970</v>
      </c>
      <c r="E53" s="40">
        <f>D53-C53</f>
        <v>-3243779</v>
      </c>
      <c r="F53" s="35">
        <f>IF(ISBLANK(E53),"  ",IF(C53&gt;0,E53/C53,IF(E53&gt;0,1,0)))</f>
        <v>-2.2895149256652057E-2</v>
      </c>
    </row>
    <row r="54" spans="1:13" s="13" customFormat="1" ht="26.25">
      <c r="A54" s="47"/>
      <c r="B54" s="28"/>
      <c r="C54" s="34"/>
      <c r="D54" s="34"/>
      <c r="E54" s="28"/>
      <c r="F54" s="20" t="s">
        <v>50</v>
      </c>
    </row>
    <row r="55" spans="1:13" s="13" customFormat="1" ht="26.25">
      <c r="A55" s="48"/>
      <c r="B55" s="19"/>
      <c r="C55" s="40"/>
      <c r="D55" s="40"/>
      <c r="E55" s="19"/>
      <c r="F55" s="21" t="s">
        <v>50</v>
      </c>
    </row>
    <row r="56" spans="1:13" s="13" customFormat="1" ht="26.25">
      <c r="A56" s="46" t="s">
        <v>57</v>
      </c>
      <c r="B56" s="19"/>
      <c r="C56" s="40"/>
      <c r="D56" s="40"/>
      <c r="E56" s="19"/>
      <c r="F56" s="21"/>
    </row>
    <row r="57" spans="1:13" s="13" customFormat="1" ht="26.25">
      <c r="A57" s="27" t="s">
        <v>58</v>
      </c>
      <c r="B57" s="42">
        <f>'SU BOS'!B57+SUBR!B57+SUNO!B57+SUS!B57+SUAg!B57+SULaw!B57</f>
        <v>53388594.459999993</v>
      </c>
      <c r="C57" s="42">
        <f>'SU BOS'!C57+SUBR!C57+SUNO!C57+SUS!C57+SUAg!C57+SULaw!C57</f>
        <v>55896216</v>
      </c>
      <c r="D57" s="42">
        <f>'SU BOS'!D57+SUBR!D57+SUNO!D57+SUS!D57+SUAg!D57+SULaw!D57</f>
        <v>54702436</v>
      </c>
      <c r="E57" s="19">
        <f t="shared" ref="E57:E70" si="4">D57-C57</f>
        <v>-1193780</v>
      </c>
      <c r="F57" s="24">
        <f t="shared" ref="F57:F70" si="5">IF(ISBLANK(E57),"  ",IF(C57&gt;0,E57/C57,IF(E57&gt;0,1,0)))</f>
        <v>-2.1357080772694881E-2</v>
      </c>
    </row>
    <row r="58" spans="1:13" s="13" customFormat="1" ht="26.25">
      <c r="A58" s="29" t="s">
        <v>59</v>
      </c>
      <c r="B58" s="42">
        <f>'SU BOS'!B58+SUBR!B58+SUNO!B58+SUS!B58+SUAg!B58+SULaw!B58</f>
        <v>2465586.85</v>
      </c>
      <c r="C58" s="42">
        <f>'SU BOS'!C58+SUBR!C58+SUNO!C58+SUS!C58+SUAg!C58+SULaw!C58</f>
        <v>2701250</v>
      </c>
      <c r="D58" s="42">
        <f>'SU BOS'!D58+SUBR!D58+SUNO!D58+SUS!D58+SUAg!D58+SULaw!D58</f>
        <v>2665479.4</v>
      </c>
      <c r="E58" s="28">
        <f t="shared" si="4"/>
        <v>-35770.600000000093</v>
      </c>
      <c r="F58" s="24">
        <f t="shared" si="5"/>
        <v>-1.324223970384085E-2</v>
      </c>
    </row>
    <row r="59" spans="1:13" s="13" customFormat="1" ht="26.25">
      <c r="A59" s="29" t="s">
        <v>60</v>
      </c>
      <c r="B59" s="42">
        <f>'SU BOS'!B59+SUBR!B59+SUNO!B59+SUS!B59+SUAg!B59+SULaw!B59</f>
        <v>3862515.61</v>
      </c>
      <c r="C59" s="42">
        <f>'SU BOS'!C59+SUBR!C59+SUNO!C59+SUS!C59+SUAg!C59+SULaw!C59</f>
        <v>3880457</v>
      </c>
      <c r="D59" s="42">
        <f>'SU BOS'!D59+SUBR!D59+SUNO!D59+SUS!D59+SUAg!D59+SULaw!D59</f>
        <v>3829641.5</v>
      </c>
      <c r="E59" s="28">
        <f t="shared" si="4"/>
        <v>-50815.5</v>
      </c>
      <c r="F59" s="24">
        <f t="shared" si="5"/>
        <v>-1.3095235947724713E-2</v>
      </c>
    </row>
    <row r="60" spans="1:13" s="13" customFormat="1" ht="26.25">
      <c r="A60" s="29" t="s">
        <v>61</v>
      </c>
      <c r="B60" s="42">
        <f>'SU BOS'!B60+SUBR!B60+SUNO!B60+SUS!B60+SUAg!B60+SULaw!B60</f>
        <v>13378636.75</v>
      </c>
      <c r="C60" s="42">
        <f>'SU BOS'!C60+SUBR!C60+SUNO!C60+SUS!C60+SUAg!C60+SULaw!C60</f>
        <v>14708878</v>
      </c>
      <c r="D60" s="42">
        <f>'SU BOS'!D60+SUBR!D60+SUNO!D60+SUS!D60+SUAg!D60+SULaw!D60</f>
        <v>14424836</v>
      </c>
      <c r="E60" s="28">
        <f t="shared" si="4"/>
        <v>-284042</v>
      </c>
      <c r="F60" s="24">
        <f t="shared" si="5"/>
        <v>-1.9310922287886268E-2</v>
      </c>
    </row>
    <row r="61" spans="1:13" s="13" customFormat="1" ht="26.25">
      <c r="A61" s="29" t="s">
        <v>62</v>
      </c>
      <c r="B61" s="42">
        <f>'SU BOS'!B61+SUBR!B61+SUNO!B61+SUS!B61+SUAg!B61+SULaw!B61</f>
        <v>6471385.75</v>
      </c>
      <c r="C61" s="42">
        <f>'SU BOS'!C61+SUBR!C61+SUNO!C61+SUS!C61+SUAg!C61+SULaw!C61</f>
        <v>6626754</v>
      </c>
      <c r="D61" s="42">
        <f>'SU BOS'!D61+SUBR!D61+SUNO!D61+SUS!D61+SUAg!D61+SULaw!D61</f>
        <v>6358695</v>
      </c>
      <c r="E61" s="28">
        <f t="shared" si="4"/>
        <v>-268059</v>
      </c>
      <c r="F61" s="24">
        <f t="shared" si="5"/>
        <v>-4.0451026249050441E-2</v>
      </c>
    </row>
    <row r="62" spans="1:13" s="13" customFormat="1" ht="26.25">
      <c r="A62" s="29" t="s">
        <v>63</v>
      </c>
      <c r="B62" s="42">
        <f>'SU BOS'!B62+SUBR!B62+SUNO!B62+SUS!B62+SUAg!B62+SULaw!B62</f>
        <v>30263103.75</v>
      </c>
      <c r="C62" s="42">
        <f>'SU BOS'!C62+SUBR!C62+SUNO!C62+SUS!C62+SUAg!C62+SULaw!C62</f>
        <v>29872088</v>
      </c>
      <c r="D62" s="42">
        <f>'SU BOS'!D62+SUBR!D62+SUNO!D62+SUS!D62+SUAg!D62+SULaw!D62</f>
        <v>27579111.140000001</v>
      </c>
      <c r="E62" s="28">
        <f t="shared" si="4"/>
        <v>-2292976.8599999994</v>
      </c>
      <c r="F62" s="24">
        <f t="shared" si="5"/>
        <v>-7.6759845511970889E-2</v>
      </c>
    </row>
    <row r="63" spans="1:13" s="13" customFormat="1" ht="26.25">
      <c r="A63" s="29" t="s">
        <v>64</v>
      </c>
      <c r="B63" s="42">
        <f>'SU BOS'!B63+SUBR!B63+SUNO!B63+SUS!B63+SUAg!B63+SULaw!B63</f>
        <v>5719632.4299999997</v>
      </c>
      <c r="C63" s="42">
        <f>'SU BOS'!C63+SUBR!C63+SUNO!C63+SUS!C63+SUAg!C63+SULaw!C63</f>
        <v>5237350</v>
      </c>
      <c r="D63" s="42">
        <f>'SU BOS'!D63+SUBR!D63+SUNO!D63+SUS!D63+SUAg!D63+SULaw!D63</f>
        <v>5582722</v>
      </c>
      <c r="E63" s="28">
        <f t="shared" si="4"/>
        <v>345372</v>
      </c>
      <c r="F63" s="24">
        <f t="shared" si="5"/>
        <v>6.5944036583386642E-2</v>
      </c>
    </row>
    <row r="64" spans="1:13" s="13" customFormat="1" ht="26.25">
      <c r="A64" s="29" t="s">
        <v>65</v>
      </c>
      <c r="B64" s="42">
        <f>'SU BOS'!B64+SUBR!B64+SUNO!B64+SUS!B64+SUAg!B64+SULaw!B64</f>
        <v>18584739.359999999</v>
      </c>
      <c r="C64" s="42">
        <f>'SU BOS'!C64+SUBR!C64+SUNO!C64+SUS!C64+SUAg!C64+SULaw!C64</f>
        <v>18345275</v>
      </c>
      <c r="D64" s="42">
        <f>'SU BOS'!D64+SUBR!D64+SUNO!D64+SUS!D64+SUAg!D64+SULaw!D64</f>
        <v>17548556</v>
      </c>
      <c r="E64" s="28">
        <f t="shared" si="4"/>
        <v>-796719</v>
      </c>
      <c r="F64" s="24">
        <f t="shared" si="5"/>
        <v>-4.342911185577758E-2</v>
      </c>
    </row>
    <row r="65" spans="1:6" s="36" customFormat="1" ht="26.25">
      <c r="A65" s="49" t="s">
        <v>66</v>
      </c>
      <c r="B65" s="51">
        <f>SUM(B57:B64)</f>
        <v>134134194.95999999</v>
      </c>
      <c r="C65" s="51">
        <f>SUM(C57:C64)</f>
        <v>137268268</v>
      </c>
      <c r="D65" s="51">
        <f>SUM(D57:D64)</f>
        <v>132691477.04000001</v>
      </c>
      <c r="E65" s="34">
        <f t="shared" si="4"/>
        <v>-4576790.9599999934</v>
      </c>
      <c r="F65" s="35">
        <f t="shared" si="5"/>
        <v>-3.3341944403348873E-2</v>
      </c>
    </row>
    <row r="66" spans="1:6" s="13" customFormat="1" ht="26.25">
      <c r="A66" s="29" t="s">
        <v>67</v>
      </c>
      <c r="B66" s="42">
        <f>'SU BOS'!B66+SUBR!B66+SUNO!B66+SUS!B66+SUAg!B66+SULaw!B66</f>
        <v>0</v>
      </c>
      <c r="C66" s="42">
        <f>'SU BOS'!C66+SUBR!C66+SUNO!C66+SUS!C66+SUAg!C66+SULaw!C66</f>
        <v>0</v>
      </c>
      <c r="D66" s="42">
        <f>'SU BOS'!D66+SUBR!D66+SUNO!D66+SUS!D66+SUAg!D66+SULaw!D66</f>
        <v>0</v>
      </c>
      <c r="E66" s="28">
        <f t="shared" si="4"/>
        <v>0</v>
      </c>
      <c r="F66" s="24">
        <f t="shared" si="5"/>
        <v>0</v>
      </c>
    </row>
    <row r="67" spans="1:6" s="13" customFormat="1" ht="26.25">
      <c r="A67" s="29" t="s">
        <v>68</v>
      </c>
      <c r="B67" s="42">
        <f>'SU BOS'!B67+SUBR!B67+SUNO!B67+SUS!B67+SUAg!B67+SULaw!B67</f>
        <v>2090705</v>
      </c>
      <c r="C67" s="42">
        <f>'SU BOS'!C67+SUBR!C67+SUNO!C67+SUS!C67+SUAg!C67+SULaw!C67</f>
        <v>2504192</v>
      </c>
      <c r="D67" s="42">
        <f>'SU BOS'!D67+SUBR!D67+SUNO!D67+SUS!D67+SUAg!D67+SULaw!D67</f>
        <v>3224819.84</v>
      </c>
      <c r="E67" s="28">
        <f t="shared" si="4"/>
        <v>720627.83999999985</v>
      </c>
      <c r="F67" s="24">
        <f t="shared" si="5"/>
        <v>0.2877686056021263</v>
      </c>
    </row>
    <row r="68" spans="1:6" s="13" customFormat="1" ht="26.25">
      <c r="A68" s="29" t="s">
        <v>69</v>
      </c>
      <c r="B68" s="42">
        <f>'SU BOS'!B68+SUBR!B68+SUNO!B68+SUS!B68+SUAg!B68+SULaw!B68</f>
        <v>1918212</v>
      </c>
      <c r="C68" s="42">
        <f>'SU BOS'!C68+SUBR!C68+SUNO!C68+SUS!C68+SUAg!C68+SULaw!C68</f>
        <v>1907289</v>
      </c>
      <c r="D68" s="42">
        <f>'SU BOS'!D68+SUBR!D68+SUNO!D68+SUS!D68+SUAg!D68+SULaw!D68</f>
        <v>2519673</v>
      </c>
      <c r="E68" s="28">
        <f t="shared" si="4"/>
        <v>612384</v>
      </c>
      <c r="F68" s="24">
        <f t="shared" si="5"/>
        <v>0.32107562094679937</v>
      </c>
    </row>
    <row r="69" spans="1:6" s="13" customFormat="1" ht="26.25">
      <c r="A69" s="29" t="s">
        <v>70</v>
      </c>
      <c r="B69" s="42">
        <f>'SU BOS'!B69+SUBR!B69+SUNO!B69+SUS!B69+SUAg!B69+SULaw!B69</f>
        <v>0</v>
      </c>
      <c r="C69" s="42">
        <f>'SU BOS'!C69+SUBR!C69+SUNO!C69+SUS!C69+SUAg!C69+SULaw!C69</f>
        <v>0</v>
      </c>
      <c r="D69" s="42">
        <f>'SU BOS'!D69+SUBR!D69+SUNO!D69+SUS!D69+SUAg!D69+SULaw!D69</f>
        <v>0</v>
      </c>
      <c r="E69" s="28">
        <f t="shared" si="4"/>
        <v>0</v>
      </c>
      <c r="F69" s="24">
        <f t="shared" si="5"/>
        <v>0</v>
      </c>
    </row>
    <row r="70" spans="1:6" s="36" customFormat="1" ht="26.25">
      <c r="A70" s="50" t="s">
        <v>71</v>
      </c>
      <c r="B70" s="51">
        <f>B69+B68+B67+B66+B65</f>
        <v>138143111.95999998</v>
      </c>
      <c r="C70" s="51">
        <f>C69+C68+C67+C66+C65</f>
        <v>141679749</v>
      </c>
      <c r="D70" s="51">
        <f>D69+D68+D67+D66+D65</f>
        <v>138435969.88</v>
      </c>
      <c r="E70" s="51">
        <f t="shared" si="4"/>
        <v>-3243779.1200000048</v>
      </c>
      <c r="F70" s="35">
        <f t="shared" si="5"/>
        <v>-2.2895150103632699E-2</v>
      </c>
    </row>
    <row r="71" spans="1:6" s="13" customFormat="1" ht="26.25">
      <c r="A71" s="48"/>
      <c r="B71" s="40"/>
      <c r="C71" s="40"/>
      <c r="D71" s="40"/>
      <c r="E71" s="19"/>
      <c r="F71" s="21"/>
    </row>
    <row r="72" spans="1:6" s="13" customFormat="1" ht="26.25">
      <c r="A72" s="46" t="s">
        <v>72</v>
      </c>
      <c r="B72" s="40"/>
      <c r="C72" s="40"/>
      <c r="D72" s="40"/>
      <c r="E72" s="19"/>
      <c r="F72" s="21"/>
    </row>
    <row r="73" spans="1:6" s="13" customFormat="1" ht="26.25">
      <c r="A73" s="27" t="s">
        <v>73</v>
      </c>
      <c r="B73" s="42">
        <f>'SU BOS'!B73+SUBR!B73+SUNO!B73+SUS!B73+SUAg!B73+SULaw!B73</f>
        <v>76278105.960000008</v>
      </c>
      <c r="C73" s="42">
        <f>'SU BOS'!C73+SUBR!C73+SUNO!C73+SUS!C73+SUAg!C73+SULaw!C73</f>
        <v>77193934</v>
      </c>
      <c r="D73" s="42">
        <f>'SU BOS'!D73+SUBR!D73+SUNO!D73+SUS!D73+SUAg!D73+SULaw!D73</f>
        <v>73324405</v>
      </c>
      <c r="E73" s="19">
        <f t="shared" ref="E73:E91" si="6">D73-C73</f>
        <v>-3869529</v>
      </c>
      <c r="F73" s="24">
        <f t="shared" ref="F73:F91" si="7">IF(ISBLANK(E73),"  ",IF(C73&gt;0,E73/C73,IF(E73&gt;0,1,0)))</f>
        <v>-5.0127371407188551E-2</v>
      </c>
    </row>
    <row r="74" spans="1:6" s="13" customFormat="1" ht="26.25">
      <c r="A74" s="29" t="s">
        <v>74</v>
      </c>
      <c r="B74" s="42">
        <f>'SU BOS'!B74+SUBR!B74+SUNO!B74+SUS!B74+SUAg!B74+SULaw!B74</f>
        <v>1235078.3700000001</v>
      </c>
      <c r="C74" s="42">
        <f>'SU BOS'!C74+SUBR!C74+SUNO!C74+SUS!C74+SUAg!C74+SULaw!C74</f>
        <v>236477</v>
      </c>
      <c r="D74" s="42">
        <f>'SU BOS'!D74+SUBR!D74+SUNO!D74+SUS!D74+SUAg!D74+SULaw!D74</f>
        <v>371477</v>
      </c>
      <c r="E74" s="28">
        <f t="shared" si="6"/>
        <v>135000</v>
      </c>
      <c r="F74" s="24">
        <f t="shared" si="7"/>
        <v>0.57088004330230846</v>
      </c>
    </row>
    <row r="75" spans="1:6" s="13" customFormat="1" ht="26.25">
      <c r="A75" s="29" t="s">
        <v>75</v>
      </c>
      <c r="B75" s="42">
        <f>'SU BOS'!B75+SUBR!B75+SUNO!B75+SUS!B75+SUAg!B75+SULaw!B75</f>
        <v>26100054.970000003</v>
      </c>
      <c r="C75" s="42">
        <f>'SU BOS'!C75+SUBR!C75+SUNO!C75+SUS!C75+SUAg!C75+SULaw!C75</f>
        <v>27128209</v>
      </c>
      <c r="D75" s="42">
        <f>'SU BOS'!D75+SUBR!D75+SUNO!D75+SUS!D75+SUAg!D75+SULaw!D75</f>
        <v>29384404.899999999</v>
      </c>
      <c r="E75" s="28">
        <f t="shared" si="6"/>
        <v>2256195.8999999985</v>
      </c>
      <c r="F75" s="24">
        <f t="shared" si="7"/>
        <v>8.3167889925943816E-2</v>
      </c>
    </row>
    <row r="76" spans="1:6" s="36" customFormat="1" ht="26.25">
      <c r="A76" s="49" t="s">
        <v>76</v>
      </c>
      <c r="B76" s="51">
        <f>SUM(B73:B75)</f>
        <v>103613239.30000001</v>
      </c>
      <c r="C76" s="51">
        <f>SUM(C73:C75)</f>
        <v>104558620</v>
      </c>
      <c r="D76" s="51">
        <f>SUM(D73:D75)</f>
        <v>103080286.90000001</v>
      </c>
      <c r="E76" s="34">
        <f t="shared" si="6"/>
        <v>-1478333.099999994</v>
      </c>
      <c r="F76" s="35">
        <f t="shared" si="7"/>
        <v>-1.4138796973410648E-2</v>
      </c>
    </row>
    <row r="77" spans="1:6" s="13" customFormat="1" ht="26.25">
      <c r="A77" s="29" t="s">
        <v>77</v>
      </c>
      <c r="B77" s="42">
        <f>'SU BOS'!B77+SUBR!B77+SUNO!B77+SUS!B77+SUAg!B77+SULaw!B77</f>
        <v>634512.57999999996</v>
      </c>
      <c r="C77" s="42">
        <f>'SU BOS'!C77+SUBR!C77+SUNO!C77+SUS!C77+SUAg!C77+SULaw!C77</f>
        <v>705003</v>
      </c>
      <c r="D77" s="42">
        <f>'SU BOS'!D77+SUBR!D77+SUNO!D77+SUS!D77+SUAg!D77+SULaw!D77</f>
        <v>792357</v>
      </c>
      <c r="E77" s="28">
        <f t="shared" si="6"/>
        <v>87354</v>
      </c>
      <c r="F77" s="24">
        <f t="shared" si="7"/>
        <v>0.1239058557197629</v>
      </c>
    </row>
    <row r="78" spans="1:6" s="13" customFormat="1" ht="26.25">
      <c r="A78" s="29" t="s">
        <v>78</v>
      </c>
      <c r="B78" s="42">
        <f>'SU BOS'!B78+SUBR!B78+SUNO!B78+SUS!B78+SUAg!B78+SULaw!B78</f>
        <v>15131919.039999999</v>
      </c>
      <c r="C78" s="42">
        <f>'SU BOS'!C78+SUBR!C78+SUNO!C78+SUS!C78+SUAg!C78+SULaw!C78</f>
        <v>16560475</v>
      </c>
      <c r="D78" s="42">
        <f>'SU BOS'!D78+SUBR!D78+SUNO!D78+SUS!D78+SUAg!D78+SULaw!D78</f>
        <v>16240057</v>
      </c>
      <c r="E78" s="28">
        <f t="shared" si="6"/>
        <v>-320418</v>
      </c>
      <c r="F78" s="24">
        <f t="shared" si="7"/>
        <v>-1.9348358063400958E-2</v>
      </c>
    </row>
    <row r="79" spans="1:6" s="13" customFormat="1" ht="26.25">
      <c r="A79" s="29" t="s">
        <v>79</v>
      </c>
      <c r="B79" s="42">
        <f>'SU BOS'!B79+SUBR!B79+SUNO!B79+SUS!B79+SUAg!B79+SULaw!B79</f>
        <v>1510097.78</v>
      </c>
      <c r="C79" s="42">
        <f>'SU BOS'!C79+SUBR!C79+SUNO!C79+SUS!C79+SUAg!C79+SULaw!C79</f>
        <v>1439431</v>
      </c>
      <c r="D79" s="42">
        <f>'SU BOS'!D79+SUBR!D79+SUNO!D79+SUS!D79+SUAg!D79+SULaw!D79</f>
        <v>1465892</v>
      </c>
      <c r="E79" s="28">
        <f t="shared" si="6"/>
        <v>26461</v>
      </c>
      <c r="F79" s="24">
        <f t="shared" si="7"/>
        <v>1.8382958266148219E-2</v>
      </c>
    </row>
    <row r="80" spans="1:6" s="36" customFormat="1" ht="26.25">
      <c r="A80" s="32" t="s">
        <v>80</v>
      </c>
      <c r="B80" s="51">
        <f>SUM(B77:B79)</f>
        <v>17276529.399999999</v>
      </c>
      <c r="C80" s="51">
        <f>SUM(C77:C79)</f>
        <v>18704909</v>
      </c>
      <c r="D80" s="51">
        <f>SUM(D77:D79)</f>
        <v>18498306</v>
      </c>
      <c r="E80" s="34">
        <f t="shared" si="6"/>
        <v>-206603</v>
      </c>
      <c r="F80" s="35">
        <f t="shared" si="7"/>
        <v>-1.1045389207720819E-2</v>
      </c>
    </row>
    <row r="81" spans="1:6" s="13" customFormat="1" ht="26.25">
      <c r="A81" s="29" t="s">
        <v>81</v>
      </c>
      <c r="B81" s="42">
        <f>'SU BOS'!B81+SUBR!B81+SUNO!B81+SUS!B81+SUAg!B81+SULaw!B81</f>
        <v>912539.83</v>
      </c>
      <c r="C81" s="42">
        <f>'SU BOS'!C81+SUBR!C81+SUNO!C81+SUS!C81+SUAg!C81+SULaw!C81</f>
        <v>571560</v>
      </c>
      <c r="D81" s="42">
        <f>'SU BOS'!D81+SUBR!D81+SUNO!D81+SUS!D81+SUAg!D81+SULaw!D81</f>
        <v>547440</v>
      </c>
      <c r="E81" s="28">
        <f t="shared" si="6"/>
        <v>-24120</v>
      </c>
      <c r="F81" s="24">
        <f t="shared" si="7"/>
        <v>-4.2200293932395549E-2</v>
      </c>
    </row>
    <row r="82" spans="1:6" s="13" customFormat="1" ht="26.25">
      <c r="A82" s="29" t="s">
        <v>82</v>
      </c>
      <c r="B82" s="42">
        <f>'SU BOS'!B82+SUBR!B82+SUNO!B82+SUS!B82+SUAg!B82+SULaw!B82</f>
        <v>11493163.810000001</v>
      </c>
      <c r="C82" s="42">
        <f>'SU BOS'!C82+SUBR!C82+SUNO!C82+SUS!C82+SUAg!C82+SULaw!C82</f>
        <v>11644344</v>
      </c>
      <c r="D82" s="42">
        <f>'SU BOS'!D82+SUBR!D82+SUNO!D82+SUS!D82+SUAg!D82+SULaw!D82</f>
        <v>11163259</v>
      </c>
      <c r="E82" s="28">
        <f t="shared" si="6"/>
        <v>-481085</v>
      </c>
      <c r="F82" s="24">
        <f t="shared" si="7"/>
        <v>-4.131490790722088E-2</v>
      </c>
    </row>
    <row r="83" spans="1:6" s="13" customFormat="1" ht="26.25">
      <c r="A83" s="29" t="s">
        <v>83</v>
      </c>
      <c r="B83" s="42">
        <f>'SU BOS'!B83+SUBR!B83+SUNO!B83+SUS!B83+SUAg!B83+SULaw!B83</f>
        <v>0</v>
      </c>
      <c r="C83" s="42">
        <f>'SU BOS'!C83+SUBR!C83+SUNO!C83+SUS!C83+SUAg!C83+SULaw!C83</f>
        <v>75542</v>
      </c>
      <c r="D83" s="42">
        <f>'SU BOS'!D83+SUBR!D83+SUNO!D83+SUS!D83+SUAg!D83+SULaw!D83</f>
        <v>75542</v>
      </c>
      <c r="E83" s="28">
        <f t="shared" si="6"/>
        <v>0</v>
      </c>
      <c r="F83" s="24">
        <f t="shared" si="7"/>
        <v>0</v>
      </c>
    </row>
    <row r="84" spans="1:6" s="13" customFormat="1" ht="26.25">
      <c r="A84" s="29" t="s">
        <v>84</v>
      </c>
      <c r="B84" s="42">
        <f>'SU BOS'!B84+SUBR!B84+SUNO!B84+SUS!B84+SUAg!B84+SULaw!B84</f>
        <v>3382733</v>
      </c>
      <c r="C84" s="42">
        <f>'SU BOS'!C84+SUBR!C84+SUNO!C84+SUS!C84+SUAg!C84+SULaw!C84</f>
        <v>4220958</v>
      </c>
      <c r="D84" s="42">
        <f>'SU BOS'!D84+SUBR!D84+SUNO!D84+SUS!D84+SUAg!D84+SULaw!D84</f>
        <v>3688237.98</v>
      </c>
      <c r="E84" s="28">
        <f t="shared" si="6"/>
        <v>-532720.02</v>
      </c>
      <c r="F84" s="24">
        <f t="shared" si="7"/>
        <v>-0.1262083204808008</v>
      </c>
    </row>
    <row r="85" spans="1:6" s="36" customFormat="1" ht="26.25">
      <c r="A85" s="32" t="s">
        <v>85</v>
      </c>
      <c r="B85" s="51">
        <f>SUM(B81:B84)</f>
        <v>15788436.640000001</v>
      </c>
      <c r="C85" s="51">
        <f>SUM(C81:C84)</f>
        <v>16512404</v>
      </c>
      <c r="D85" s="51">
        <f>SUM(D81:D84)</f>
        <v>15474478.98</v>
      </c>
      <c r="E85" s="34">
        <f t="shared" si="6"/>
        <v>-1037925.0199999996</v>
      </c>
      <c r="F85" s="35">
        <f t="shared" si="7"/>
        <v>-6.2857293220296664E-2</v>
      </c>
    </row>
    <row r="86" spans="1:6" s="13" customFormat="1" ht="26.25">
      <c r="A86" s="29" t="s">
        <v>86</v>
      </c>
      <c r="B86" s="42">
        <f>'SU BOS'!B86+SUBR!B86+SUNO!B86+SUS!B86+SUAg!B86+SULaw!B86</f>
        <v>654457.18999999994</v>
      </c>
      <c r="C86" s="42">
        <f>'SU BOS'!C86+SUBR!C86+SUNO!C86+SUS!C86+SUAg!C86+SULaw!C86</f>
        <v>939215</v>
      </c>
      <c r="D86" s="42">
        <f>'SU BOS'!D86+SUBR!D86+SUNO!D86+SUS!D86+SUAg!D86+SULaw!D86</f>
        <v>757101</v>
      </c>
      <c r="E86" s="28">
        <f t="shared" si="6"/>
        <v>-182114</v>
      </c>
      <c r="F86" s="24">
        <f t="shared" si="7"/>
        <v>-0.19390022518805597</v>
      </c>
    </row>
    <row r="87" spans="1:6" s="13" customFormat="1" ht="26.25">
      <c r="A87" s="29" t="s">
        <v>87</v>
      </c>
      <c r="B87" s="42">
        <f>'SU BOS'!B87+SUBR!B87+SUNO!B87+SUS!B87+SUAg!B87+SULaw!B87</f>
        <v>598702.47</v>
      </c>
      <c r="C87" s="42">
        <f>'SU BOS'!C87+SUBR!C87+SUNO!C87+SUS!C87+SUAg!C87+SULaw!C87</f>
        <v>729297</v>
      </c>
      <c r="D87" s="42">
        <f>'SU BOS'!D87+SUBR!D87+SUNO!D87+SUS!D87+SUAg!D87+SULaw!D87</f>
        <v>524297</v>
      </c>
      <c r="E87" s="28">
        <f t="shared" si="6"/>
        <v>-205000</v>
      </c>
      <c r="F87" s="24">
        <f t="shared" si="7"/>
        <v>-0.28109261384593659</v>
      </c>
    </row>
    <row r="88" spans="1:6" s="13" customFormat="1" ht="26.25">
      <c r="A88" s="38" t="s">
        <v>88</v>
      </c>
      <c r="B88" s="42">
        <f>'SU BOS'!B88+SUBR!B88+SUNO!B88+SUS!B88+SUAg!B88+SULaw!B88</f>
        <v>107919.95999999999</v>
      </c>
      <c r="C88" s="42">
        <f>'SU BOS'!C88+SUBR!C88+SUNO!C88+SUS!C88+SUAg!C88+SULaw!C88</f>
        <v>235304</v>
      </c>
      <c r="D88" s="42">
        <f>'SU BOS'!D88+SUBR!D88+SUNO!D88+SUS!D88+SUAg!D88+SULaw!D88</f>
        <v>101500</v>
      </c>
      <c r="E88" s="28">
        <f t="shared" si="6"/>
        <v>-133804</v>
      </c>
      <c r="F88" s="24">
        <f t="shared" si="7"/>
        <v>-0.56864311698908643</v>
      </c>
    </row>
    <row r="89" spans="1:6" s="36" customFormat="1" ht="26.25">
      <c r="A89" s="52" t="s">
        <v>89</v>
      </c>
      <c r="B89" s="51">
        <f>SUM(B86:B88)</f>
        <v>1361079.6199999999</v>
      </c>
      <c r="C89" s="51">
        <f>SUM(C86:C88)</f>
        <v>1903816</v>
      </c>
      <c r="D89" s="51">
        <f>SUM(D86:D88)</f>
        <v>1382898</v>
      </c>
      <c r="E89" s="51">
        <f t="shared" si="6"/>
        <v>-520918</v>
      </c>
      <c r="F89" s="35">
        <f t="shared" si="7"/>
        <v>-0.27361782861368955</v>
      </c>
    </row>
    <row r="90" spans="1:6" s="13" customFormat="1" ht="26.25">
      <c r="A90" s="38" t="s">
        <v>90</v>
      </c>
      <c r="B90" s="42">
        <f>'SU BOS'!B90+SUBR!B90+SUNO!B90+SUS!B90+SUAg!B90+SULaw!B90</f>
        <v>103827</v>
      </c>
      <c r="C90" s="42">
        <f>'SU BOS'!C90+SUBR!C90+SUNO!C90+SUS!C90+SUAg!C90+SULaw!C90</f>
        <v>0</v>
      </c>
      <c r="D90" s="42">
        <f>'SU BOS'!D90+SUBR!D90+SUNO!D90+SUS!D90+SUAg!D90+SULaw!D90</f>
        <v>0</v>
      </c>
      <c r="E90" s="28">
        <f t="shared" si="6"/>
        <v>0</v>
      </c>
      <c r="F90" s="24">
        <f t="shared" si="7"/>
        <v>0</v>
      </c>
    </row>
    <row r="91" spans="1:6" s="36" customFormat="1" ht="27" thickBot="1">
      <c r="A91" s="53" t="s">
        <v>71</v>
      </c>
      <c r="B91" s="54">
        <f>B89+B85+B80+B76+B90</f>
        <v>138143111.96000001</v>
      </c>
      <c r="C91" s="54">
        <f>C89+C85+C80+C76+C90</f>
        <v>141679749</v>
      </c>
      <c r="D91" s="55">
        <f>D89+D85+D80+D76+D90</f>
        <v>138435969.88</v>
      </c>
      <c r="E91" s="54">
        <f t="shared" si="6"/>
        <v>-3243779.1200000048</v>
      </c>
      <c r="F91" s="56">
        <f t="shared" si="7"/>
        <v>-2.2895150103632699E-2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95"/>
  <sheetViews>
    <sheetView topLeftCell="A55" zoomScale="50" zoomScaleNormal="50" workbookViewId="0">
      <selection activeCell="M46" sqref="M46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5.42578125" style="65" customWidth="1"/>
    <col min="6" max="6" width="25.140625" style="65" customWidth="1"/>
    <col min="7" max="254" width="9.140625" style="65"/>
    <col min="255" max="255" width="121.140625" style="65" customWidth="1"/>
    <col min="256" max="256" width="32.7109375" style="65" customWidth="1"/>
    <col min="257" max="258" width="32.85546875" style="65" customWidth="1"/>
    <col min="259" max="259" width="29.7109375" style="65" customWidth="1"/>
    <col min="260" max="260" width="25.5703125" style="65" customWidth="1"/>
    <col min="261" max="261" width="35.42578125" style="65" customWidth="1"/>
    <col min="262" max="262" width="25.140625" style="65" customWidth="1"/>
    <col min="263" max="510" width="9.140625" style="65"/>
    <col min="511" max="511" width="121.140625" style="65" customWidth="1"/>
    <col min="512" max="512" width="32.7109375" style="65" customWidth="1"/>
    <col min="513" max="514" width="32.85546875" style="65" customWidth="1"/>
    <col min="515" max="515" width="29.7109375" style="65" customWidth="1"/>
    <col min="516" max="516" width="25.5703125" style="65" customWidth="1"/>
    <col min="517" max="517" width="35.42578125" style="65" customWidth="1"/>
    <col min="518" max="518" width="25.140625" style="65" customWidth="1"/>
    <col min="519" max="766" width="9.140625" style="65"/>
    <col min="767" max="767" width="121.140625" style="65" customWidth="1"/>
    <col min="768" max="768" width="32.7109375" style="65" customWidth="1"/>
    <col min="769" max="770" width="32.85546875" style="65" customWidth="1"/>
    <col min="771" max="771" width="29.7109375" style="65" customWidth="1"/>
    <col min="772" max="772" width="25.5703125" style="65" customWidth="1"/>
    <col min="773" max="773" width="35.42578125" style="65" customWidth="1"/>
    <col min="774" max="774" width="25.140625" style="65" customWidth="1"/>
    <col min="775" max="1022" width="9.140625" style="65"/>
    <col min="1023" max="1023" width="121.140625" style="65" customWidth="1"/>
    <col min="1024" max="1024" width="32.7109375" style="65" customWidth="1"/>
    <col min="1025" max="1026" width="32.85546875" style="65" customWidth="1"/>
    <col min="1027" max="1027" width="29.7109375" style="65" customWidth="1"/>
    <col min="1028" max="1028" width="25.5703125" style="65" customWidth="1"/>
    <col min="1029" max="1029" width="35.42578125" style="65" customWidth="1"/>
    <col min="1030" max="1030" width="25.140625" style="65" customWidth="1"/>
    <col min="1031" max="1278" width="9.140625" style="65"/>
    <col min="1279" max="1279" width="121.140625" style="65" customWidth="1"/>
    <col min="1280" max="1280" width="32.7109375" style="65" customWidth="1"/>
    <col min="1281" max="1282" width="32.85546875" style="65" customWidth="1"/>
    <col min="1283" max="1283" width="29.7109375" style="65" customWidth="1"/>
    <col min="1284" max="1284" width="25.5703125" style="65" customWidth="1"/>
    <col min="1285" max="1285" width="35.42578125" style="65" customWidth="1"/>
    <col min="1286" max="1286" width="25.140625" style="65" customWidth="1"/>
    <col min="1287" max="1534" width="9.140625" style="65"/>
    <col min="1535" max="1535" width="121.140625" style="65" customWidth="1"/>
    <col min="1536" max="1536" width="32.7109375" style="65" customWidth="1"/>
    <col min="1537" max="1538" width="32.85546875" style="65" customWidth="1"/>
    <col min="1539" max="1539" width="29.7109375" style="65" customWidth="1"/>
    <col min="1540" max="1540" width="25.5703125" style="65" customWidth="1"/>
    <col min="1541" max="1541" width="35.42578125" style="65" customWidth="1"/>
    <col min="1542" max="1542" width="25.140625" style="65" customWidth="1"/>
    <col min="1543" max="1790" width="9.140625" style="65"/>
    <col min="1791" max="1791" width="121.140625" style="65" customWidth="1"/>
    <col min="1792" max="1792" width="32.7109375" style="65" customWidth="1"/>
    <col min="1793" max="1794" width="32.85546875" style="65" customWidth="1"/>
    <col min="1795" max="1795" width="29.7109375" style="65" customWidth="1"/>
    <col min="1796" max="1796" width="25.5703125" style="65" customWidth="1"/>
    <col min="1797" max="1797" width="35.42578125" style="65" customWidth="1"/>
    <col min="1798" max="1798" width="25.140625" style="65" customWidth="1"/>
    <col min="1799" max="2046" width="9.140625" style="65"/>
    <col min="2047" max="2047" width="121.140625" style="65" customWidth="1"/>
    <col min="2048" max="2048" width="32.7109375" style="65" customWidth="1"/>
    <col min="2049" max="2050" width="32.85546875" style="65" customWidth="1"/>
    <col min="2051" max="2051" width="29.7109375" style="65" customWidth="1"/>
    <col min="2052" max="2052" width="25.5703125" style="65" customWidth="1"/>
    <col min="2053" max="2053" width="35.42578125" style="65" customWidth="1"/>
    <col min="2054" max="2054" width="25.140625" style="65" customWidth="1"/>
    <col min="2055" max="2302" width="9.140625" style="65"/>
    <col min="2303" max="2303" width="121.140625" style="65" customWidth="1"/>
    <col min="2304" max="2304" width="32.7109375" style="65" customWidth="1"/>
    <col min="2305" max="2306" width="32.85546875" style="65" customWidth="1"/>
    <col min="2307" max="2307" width="29.7109375" style="65" customWidth="1"/>
    <col min="2308" max="2308" width="25.5703125" style="65" customWidth="1"/>
    <col min="2309" max="2309" width="35.42578125" style="65" customWidth="1"/>
    <col min="2310" max="2310" width="25.140625" style="65" customWidth="1"/>
    <col min="2311" max="2558" width="9.140625" style="65"/>
    <col min="2559" max="2559" width="121.140625" style="65" customWidth="1"/>
    <col min="2560" max="2560" width="32.7109375" style="65" customWidth="1"/>
    <col min="2561" max="2562" width="32.85546875" style="65" customWidth="1"/>
    <col min="2563" max="2563" width="29.7109375" style="65" customWidth="1"/>
    <col min="2564" max="2564" width="25.5703125" style="65" customWidth="1"/>
    <col min="2565" max="2565" width="35.42578125" style="65" customWidth="1"/>
    <col min="2566" max="2566" width="25.140625" style="65" customWidth="1"/>
    <col min="2567" max="2814" width="9.140625" style="65"/>
    <col min="2815" max="2815" width="121.140625" style="65" customWidth="1"/>
    <col min="2816" max="2816" width="32.7109375" style="65" customWidth="1"/>
    <col min="2817" max="2818" width="32.85546875" style="65" customWidth="1"/>
    <col min="2819" max="2819" width="29.7109375" style="65" customWidth="1"/>
    <col min="2820" max="2820" width="25.5703125" style="65" customWidth="1"/>
    <col min="2821" max="2821" width="35.42578125" style="65" customWidth="1"/>
    <col min="2822" max="2822" width="25.140625" style="65" customWidth="1"/>
    <col min="2823" max="3070" width="9.140625" style="65"/>
    <col min="3071" max="3071" width="121.140625" style="65" customWidth="1"/>
    <col min="3072" max="3072" width="32.7109375" style="65" customWidth="1"/>
    <col min="3073" max="3074" width="32.85546875" style="65" customWidth="1"/>
    <col min="3075" max="3075" width="29.7109375" style="65" customWidth="1"/>
    <col min="3076" max="3076" width="25.5703125" style="65" customWidth="1"/>
    <col min="3077" max="3077" width="35.42578125" style="65" customWidth="1"/>
    <col min="3078" max="3078" width="25.140625" style="65" customWidth="1"/>
    <col min="3079" max="3326" width="9.140625" style="65"/>
    <col min="3327" max="3327" width="121.140625" style="65" customWidth="1"/>
    <col min="3328" max="3328" width="32.7109375" style="65" customWidth="1"/>
    <col min="3329" max="3330" width="32.85546875" style="65" customWidth="1"/>
    <col min="3331" max="3331" width="29.7109375" style="65" customWidth="1"/>
    <col min="3332" max="3332" width="25.5703125" style="65" customWidth="1"/>
    <col min="3333" max="3333" width="35.42578125" style="65" customWidth="1"/>
    <col min="3334" max="3334" width="25.140625" style="65" customWidth="1"/>
    <col min="3335" max="3582" width="9.140625" style="65"/>
    <col min="3583" max="3583" width="121.140625" style="65" customWidth="1"/>
    <col min="3584" max="3584" width="32.7109375" style="65" customWidth="1"/>
    <col min="3585" max="3586" width="32.85546875" style="65" customWidth="1"/>
    <col min="3587" max="3587" width="29.7109375" style="65" customWidth="1"/>
    <col min="3588" max="3588" width="25.5703125" style="65" customWidth="1"/>
    <col min="3589" max="3589" width="35.42578125" style="65" customWidth="1"/>
    <col min="3590" max="3590" width="25.140625" style="65" customWidth="1"/>
    <col min="3591" max="3838" width="9.140625" style="65"/>
    <col min="3839" max="3839" width="121.140625" style="65" customWidth="1"/>
    <col min="3840" max="3840" width="32.7109375" style="65" customWidth="1"/>
    <col min="3841" max="3842" width="32.85546875" style="65" customWidth="1"/>
    <col min="3843" max="3843" width="29.7109375" style="65" customWidth="1"/>
    <col min="3844" max="3844" width="25.5703125" style="65" customWidth="1"/>
    <col min="3845" max="3845" width="35.42578125" style="65" customWidth="1"/>
    <col min="3846" max="3846" width="25.140625" style="65" customWidth="1"/>
    <col min="3847" max="4094" width="9.140625" style="65"/>
    <col min="4095" max="4095" width="121.140625" style="65" customWidth="1"/>
    <col min="4096" max="4096" width="32.7109375" style="65" customWidth="1"/>
    <col min="4097" max="4098" width="32.85546875" style="65" customWidth="1"/>
    <col min="4099" max="4099" width="29.7109375" style="65" customWidth="1"/>
    <col min="4100" max="4100" width="25.5703125" style="65" customWidth="1"/>
    <col min="4101" max="4101" width="35.42578125" style="65" customWidth="1"/>
    <col min="4102" max="4102" width="25.140625" style="65" customWidth="1"/>
    <col min="4103" max="4350" width="9.140625" style="65"/>
    <col min="4351" max="4351" width="121.140625" style="65" customWidth="1"/>
    <col min="4352" max="4352" width="32.7109375" style="65" customWidth="1"/>
    <col min="4353" max="4354" width="32.85546875" style="65" customWidth="1"/>
    <col min="4355" max="4355" width="29.7109375" style="65" customWidth="1"/>
    <col min="4356" max="4356" width="25.5703125" style="65" customWidth="1"/>
    <col min="4357" max="4357" width="35.42578125" style="65" customWidth="1"/>
    <col min="4358" max="4358" width="25.140625" style="65" customWidth="1"/>
    <col min="4359" max="4606" width="9.140625" style="65"/>
    <col min="4607" max="4607" width="121.140625" style="65" customWidth="1"/>
    <col min="4608" max="4608" width="32.7109375" style="65" customWidth="1"/>
    <col min="4609" max="4610" width="32.85546875" style="65" customWidth="1"/>
    <col min="4611" max="4611" width="29.7109375" style="65" customWidth="1"/>
    <col min="4612" max="4612" width="25.5703125" style="65" customWidth="1"/>
    <col min="4613" max="4613" width="35.42578125" style="65" customWidth="1"/>
    <col min="4614" max="4614" width="25.140625" style="65" customWidth="1"/>
    <col min="4615" max="4862" width="9.140625" style="65"/>
    <col min="4863" max="4863" width="121.140625" style="65" customWidth="1"/>
    <col min="4864" max="4864" width="32.7109375" style="65" customWidth="1"/>
    <col min="4865" max="4866" width="32.85546875" style="65" customWidth="1"/>
    <col min="4867" max="4867" width="29.7109375" style="65" customWidth="1"/>
    <col min="4868" max="4868" width="25.5703125" style="65" customWidth="1"/>
    <col min="4869" max="4869" width="35.42578125" style="65" customWidth="1"/>
    <col min="4870" max="4870" width="25.140625" style="65" customWidth="1"/>
    <col min="4871" max="5118" width="9.140625" style="65"/>
    <col min="5119" max="5119" width="121.140625" style="65" customWidth="1"/>
    <col min="5120" max="5120" width="32.7109375" style="65" customWidth="1"/>
    <col min="5121" max="5122" width="32.85546875" style="65" customWidth="1"/>
    <col min="5123" max="5123" width="29.7109375" style="65" customWidth="1"/>
    <col min="5124" max="5124" width="25.5703125" style="65" customWidth="1"/>
    <col min="5125" max="5125" width="35.42578125" style="65" customWidth="1"/>
    <col min="5126" max="5126" width="25.140625" style="65" customWidth="1"/>
    <col min="5127" max="5374" width="9.140625" style="65"/>
    <col min="5375" max="5375" width="121.140625" style="65" customWidth="1"/>
    <col min="5376" max="5376" width="32.7109375" style="65" customWidth="1"/>
    <col min="5377" max="5378" width="32.85546875" style="65" customWidth="1"/>
    <col min="5379" max="5379" width="29.7109375" style="65" customWidth="1"/>
    <col min="5380" max="5380" width="25.5703125" style="65" customWidth="1"/>
    <col min="5381" max="5381" width="35.42578125" style="65" customWidth="1"/>
    <col min="5382" max="5382" width="25.140625" style="65" customWidth="1"/>
    <col min="5383" max="5630" width="9.140625" style="65"/>
    <col min="5631" max="5631" width="121.140625" style="65" customWidth="1"/>
    <col min="5632" max="5632" width="32.7109375" style="65" customWidth="1"/>
    <col min="5633" max="5634" width="32.85546875" style="65" customWidth="1"/>
    <col min="5635" max="5635" width="29.7109375" style="65" customWidth="1"/>
    <col min="5636" max="5636" width="25.5703125" style="65" customWidth="1"/>
    <col min="5637" max="5637" width="35.42578125" style="65" customWidth="1"/>
    <col min="5638" max="5638" width="25.140625" style="65" customWidth="1"/>
    <col min="5639" max="5886" width="9.140625" style="65"/>
    <col min="5887" max="5887" width="121.140625" style="65" customWidth="1"/>
    <col min="5888" max="5888" width="32.7109375" style="65" customWidth="1"/>
    <col min="5889" max="5890" width="32.85546875" style="65" customWidth="1"/>
    <col min="5891" max="5891" width="29.7109375" style="65" customWidth="1"/>
    <col min="5892" max="5892" width="25.5703125" style="65" customWidth="1"/>
    <col min="5893" max="5893" width="35.42578125" style="65" customWidth="1"/>
    <col min="5894" max="5894" width="25.140625" style="65" customWidth="1"/>
    <col min="5895" max="6142" width="9.140625" style="65"/>
    <col min="6143" max="6143" width="121.140625" style="65" customWidth="1"/>
    <col min="6144" max="6144" width="32.7109375" style="65" customWidth="1"/>
    <col min="6145" max="6146" width="32.85546875" style="65" customWidth="1"/>
    <col min="6147" max="6147" width="29.7109375" style="65" customWidth="1"/>
    <col min="6148" max="6148" width="25.5703125" style="65" customWidth="1"/>
    <col min="6149" max="6149" width="35.42578125" style="65" customWidth="1"/>
    <col min="6150" max="6150" width="25.140625" style="65" customWidth="1"/>
    <col min="6151" max="6398" width="9.140625" style="65"/>
    <col min="6399" max="6399" width="121.140625" style="65" customWidth="1"/>
    <col min="6400" max="6400" width="32.7109375" style="65" customWidth="1"/>
    <col min="6401" max="6402" width="32.85546875" style="65" customWidth="1"/>
    <col min="6403" max="6403" width="29.7109375" style="65" customWidth="1"/>
    <col min="6404" max="6404" width="25.5703125" style="65" customWidth="1"/>
    <col min="6405" max="6405" width="35.42578125" style="65" customWidth="1"/>
    <col min="6406" max="6406" width="25.140625" style="65" customWidth="1"/>
    <col min="6407" max="6654" width="9.140625" style="65"/>
    <col min="6655" max="6655" width="121.140625" style="65" customWidth="1"/>
    <col min="6656" max="6656" width="32.7109375" style="65" customWidth="1"/>
    <col min="6657" max="6658" width="32.85546875" style="65" customWidth="1"/>
    <col min="6659" max="6659" width="29.7109375" style="65" customWidth="1"/>
    <col min="6660" max="6660" width="25.5703125" style="65" customWidth="1"/>
    <col min="6661" max="6661" width="35.42578125" style="65" customWidth="1"/>
    <col min="6662" max="6662" width="25.140625" style="65" customWidth="1"/>
    <col min="6663" max="6910" width="9.140625" style="65"/>
    <col min="6911" max="6911" width="121.140625" style="65" customWidth="1"/>
    <col min="6912" max="6912" width="32.7109375" style="65" customWidth="1"/>
    <col min="6913" max="6914" width="32.85546875" style="65" customWidth="1"/>
    <col min="6915" max="6915" width="29.7109375" style="65" customWidth="1"/>
    <col min="6916" max="6916" width="25.5703125" style="65" customWidth="1"/>
    <col min="6917" max="6917" width="35.42578125" style="65" customWidth="1"/>
    <col min="6918" max="6918" width="25.140625" style="65" customWidth="1"/>
    <col min="6919" max="7166" width="9.140625" style="65"/>
    <col min="7167" max="7167" width="121.140625" style="65" customWidth="1"/>
    <col min="7168" max="7168" width="32.7109375" style="65" customWidth="1"/>
    <col min="7169" max="7170" width="32.85546875" style="65" customWidth="1"/>
    <col min="7171" max="7171" width="29.7109375" style="65" customWidth="1"/>
    <col min="7172" max="7172" width="25.5703125" style="65" customWidth="1"/>
    <col min="7173" max="7173" width="35.42578125" style="65" customWidth="1"/>
    <col min="7174" max="7174" width="25.140625" style="65" customWidth="1"/>
    <col min="7175" max="7422" width="9.140625" style="65"/>
    <col min="7423" max="7423" width="121.140625" style="65" customWidth="1"/>
    <col min="7424" max="7424" width="32.7109375" style="65" customWidth="1"/>
    <col min="7425" max="7426" width="32.85546875" style="65" customWidth="1"/>
    <col min="7427" max="7427" width="29.7109375" style="65" customWidth="1"/>
    <col min="7428" max="7428" width="25.5703125" style="65" customWidth="1"/>
    <col min="7429" max="7429" width="35.42578125" style="65" customWidth="1"/>
    <col min="7430" max="7430" width="25.140625" style="65" customWidth="1"/>
    <col min="7431" max="7678" width="9.140625" style="65"/>
    <col min="7679" max="7679" width="121.140625" style="65" customWidth="1"/>
    <col min="7680" max="7680" width="32.7109375" style="65" customWidth="1"/>
    <col min="7681" max="7682" width="32.85546875" style="65" customWidth="1"/>
    <col min="7683" max="7683" width="29.7109375" style="65" customWidth="1"/>
    <col min="7684" max="7684" width="25.5703125" style="65" customWidth="1"/>
    <col min="7685" max="7685" width="35.42578125" style="65" customWidth="1"/>
    <col min="7686" max="7686" width="25.140625" style="65" customWidth="1"/>
    <col min="7687" max="7934" width="9.140625" style="65"/>
    <col min="7935" max="7935" width="121.140625" style="65" customWidth="1"/>
    <col min="7936" max="7936" width="32.7109375" style="65" customWidth="1"/>
    <col min="7937" max="7938" width="32.85546875" style="65" customWidth="1"/>
    <col min="7939" max="7939" width="29.7109375" style="65" customWidth="1"/>
    <col min="7940" max="7940" width="25.5703125" style="65" customWidth="1"/>
    <col min="7941" max="7941" width="35.42578125" style="65" customWidth="1"/>
    <col min="7942" max="7942" width="25.140625" style="65" customWidth="1"/>
    <col min="7943" max="8190" width="9.140625" style="65"/>
    <col min="8191" max="8191" width="121.140625" style="65" customWidth="1"/>
    <col min="8192" max="8192" width="32.7109375" style="65" customWidth="1"/>
    <col min="8193" max="8194" width="32.85546875" style="65" customWidth="1"/>
    <col min="8195" max="8195" width="29.7109375" style="65" customWidth="1"/>
    <col min="8196" max="8196" width="25.5703125" style="65" customWidth="1"/>
    <col min="8197" max="8197" width="35.42578125" style="65" customWidth="1"/>
    <col min="8198" max="8198" width="25.140625" style="65" customWidth="1"/>
    <col min="8199" max="8446" width="9.140625" style="65"/>
    <col min="8447" max="8447" width="121.140625" style="65" customWidth="1"/>
    <col min="8448" max="8448" width="32.7109375" style="65" customWidth="1"/>
    <col min="8449" max="8450" width="32.85546875" style="65" customWidth="1"/>
    <col min="8451" max="8451" width="29.7109375" style="65" customWidth="1"/>
    <col min="8452" max="8452" width="25.5703125" style="65" customWidth="1"/>
    <col min="8453" max="8453" width="35.42578125" style="65" customWidth="1"/>
    <col min="8454" max="8454" width="25.140625" style="65" customWidth="1"/>
    <col min="8455" max="8702" width="9.140625" style="65"/>
    <col min="8703" max="8703" width="121.140625" style="65" customWidth="1"/>
    <col min="8704" max="8704" width="32.7109375" style="65" customWidth="1"/>
    <col min="8705" max="8706" width="32.85546875" style="65" customWidth="1"/>
    <col min="8707" max="8707" width="29.7109375" style="65" customWidth="1"/>
    <col min="8708" max="8708" width="25.5703125" style="65" customWidth="1"/>
    <col min="8709" max="8709" width="35.42578125" style="65" customWidth="1"/>
    <col min="8710" max="8710" width="25.140625" style="65" customWidth="1"/>
    <col min="8711" max="8958" width="9.140625" style="65"/>
    <col min="8959" max="8959" width="121.140625" style="65" customWidth="1"/>
    <col min="8960" max="8960" width="32.7109375" style="65" customWidth="1"/>
    <col min="8961" max="8962" width="32.85546875" style="65" customWidth="1"/>
    <col min="8963" max="8963" width="29.7109375" style="65" customWidth="1"/>
    <col min="8964" max="8964" width="25.5703125" style="65" customWidth="1"/>
    <col min="8965" max="8965" width="35.42578125" style="65" customWidth="1"/>
    <col min="8966" max="8966" width="25.140625" style="65" customWidth="1"/>
    <col min="8967" max="9214" width="9.140625" style="65"/>
    <col min="9215" max="9215" width="121.140625" style="65" customWidth="1"/>
    <col min="9216" max="9216" width="32.7109375" style="65" customWidth="1"/>
    <col min="9217" max="9218" width="32.85546875" style="65" customWidth="1"/>
    <col min="9219" max="9219" width="29.7109375" style="65" customWidth="1"/>
    <col min="9220" max="9220" width="25.5703125" style="65" customWidth="1"/>
    <col min="9221" max="9221" width="35.42578125" style="65" customWidth="1"/>
    <col min="9222" max="9222" width="25.140625" style="65" customWidth="1"/>
    <col min="9223" max="9470" width="9.140625" style="65"/>
    <col min="9471" max="9471" width="121.140625" style="65" customWidth="1"/>
    <col min="9472" max="9472" width="32.7109375" style="65" customWidth="1"/>
    <col min="9473" max="9474" width="32.85546875" style="65" customWidth="1"/>
    <col min="9475" max="9475" width="29.7109375" style="65" customWidth="1"/>
    <col min="9476" max="9476" width="25.5703125" style="65" customWidth="1"/>
    <col min="9477" max="9477" width="35.42578125" style="65" customWidth="1"/>
    <col min="9478" max="9478" width="25.140625" style="65" customWidth="1"/>
    <col min="9479" max="9726" width="9.140625" style="65"/>
    <col min="9727" max="9727" width="121.140625" style="65" customWidth="1"/>
    <col min="9728" max="9728" width="32.7109375" style="65" customWidth="1"/>
    <col min="9729" max="9730" width="32.85546875" style="65" customWidth="1"/>
    <col min="9731" max="9731" width="29.7109375" style="65" customWidth="1"/>
    <col min="9732" max="9732" width="25.5703125" style="65" customWidth="1"/>
    <col min="9733" max="9733" width="35.42578125" style="65" customWidth="1"/>
    <col min="9734" max="9734" width="25.140625" style="65" customWidth="1"/>
    <col min="9735" max="9982" width="9.140625" style="65"/>
    <col min="9983" max="9983" width="121.140625" style="65" customWidth="1"/>
    <col min="9984" max="9984" width="32.7109375" style="65" customWidth="1"/>
    <col min="9985" max="9986" width="32.85546875" style="65" customWidth="1"/>
    <col min="9987" max="9987" width="29.7109375" style="65" customWidth="1"/>
    <col min="9988" max="9988" width="25.5703125" style="65" customWidth="1"/>
    <col min="9989" max="9989" width="35.42578125" style="65" customWidth="1"/>
    <col min="9990" max="9990" width="25.140625" style="65" customWidth="1"/>
    <col min="9991" max="10238" width="9.140625" style="65"/>
    <col min="10239" max="10239" width="121.140625" style="65" customWidth="1"/>
    <col min="10240" max="10240" width="32.7109375" style="65" customWidth="1"/>
    <col min="10241" max="10242" width="32.85546875" style="65" customWidth="1"/>
    <col min="10243" max="10243" width="29.7109375" style="65" customWidth="1"/>
    <col min="10244" max="10244" width="25.5703125" style="65" customWidth="1"/>
    <col min="10245" max="10245" width="35.42578125" style="65" customWidth="1"/>
    <col min="10246" max="10246" width="25.140625" style="65" customWidth="1"/>
    <col min="10247" max="10494" width="9.140625" style="65"/>
    <col min="10495" max="10495" width="121.140625" style="65" customWidth="1"/>
    <col min="10496" max="10496" width="32.7109375" style="65" customWidth="1"/>
    <col min="10497" max="10498" width="32.85546875" style="65" customWidth="1"/>
    <col min="10499" max="10499" width="29.7109375" style="65" customWidth="1"/>
    <col min="10500" max="10500" width="25.5703125" style="65" customWidth="1"/>
    <col min="10501" max="10501" width="35.42578125" style="65" customWidth="1"/>
    <col min="10502" max="10502" width="25.140625" style="65" customWidth="1"/>
    <col min="10503" max="10750" width="9.140625" style="65"/>
    <col min="10751" max="10751" width="121.140625" style="65" customWidth="1"/>
    <col min="10752" max="10752" width="32.7109375" style="65" customWidth="1"/>
    <col min="10753" max="10754" width="32.85546875" style="65" customWidth="1"/>
    <col min="10755" max="10755" width="29.7109375" style="65" customWidth="1"/>
    <col min="10756" max="10756" width="25.5703125" style="65" customWidth="1"/>
    <col min="10757" max="10757" width="35.42578125" style="65" customWidth="1"/>
    <col min="10758" max="10758" width="25.140625" style="65" customWidth="1"/>
    <col min="10759" max="11006" width="9.140625" style="65"/>
    <col min="11007" max="11007" width="121.140625" style="65" customWidth="1"/>
    <col min="11008" max="11008" width="32.7109375" style="65" customWidth="1"/>
    <col min="11009" max="11010" width="32.85546875" style="65" customWidth="1"/>
    <col min="11011" max="11011" width="29.7109375" style="65" customWidth="1"/>
    <col min="11012" max="11012" width="25.5703125" style="65" customWidth="1"/>
    <col min="11013" max="11013" width="35.42578125" style="65" customWidth="1"/>
    <col min="11014" max="11014" width="25.140625" style="65" customWidth="1"/>
    <col min="11015" max="11262" width="9.140625" style="65"/>
    <col min="11263" max="11263" width="121.140625" style="65" customWidth="1"/>
    <col min="11264" max="11264" width="32.7109375" style="65" customWidth="1"/>
    <col min="11265" max="11266" width="32.85546875" style="65" customWidth="1"/>
    <col min="11267" max="11267" width="29.7109375" style="65" customWidth="1"/>
    <col min="11268" max="11268" width="25.5703125" style="65" customWidth="1"/>
    <col min="11269" max="11269" width="35.42578125" style="65" customWidth="1"/>
    <col min="11270" max="11270" width="25.140625" style="65" customWidth="1"/>
    <col min="11271" max="11518" width="9.140625" style="65"/>
    <col min="11519" max="11519" width="121.140625" style="65" customWidth="1"/>
    <col min="11520" max="11520" width="32.7109375" style="65" customWidth="1"/>
    <col min="11521" max="11522" width="32.85546875" style="65" customWidth="1"/>
    <col min="11523" max="11523" width="29.7109375" style="65" customWidth="1"/>
    <col min="11524" max="11524" width="25.5703125" style="65" customWidth="1"/>
    <col min="11525" max="11525" width="35.42578125" style="65" customWidth="1"/>
    <col min="11526" max="11526" width="25.140625" style="65" customWidth="1"/>
    <col min="11527" max="11774" width="9.140625" style="65"/>
    <col min="11775" max="11775" width="121.140625" style="65" customWidth="1"/>
    <col min="11776" max="11776" width="32.7109375" style="65" customWidth="1"/>
    <col min="11777" max="11778" width="32.85546875" style="65" customWidth="1"/>
    <col min="11779" max="11779" width="29.7109375" style="65" customWidth="1"/>
    <col min="11780" max="11780" width="25.5703125" style="65" customWidth="1"/>
    <col min="11781" max="11781" width="35.42578125" style="65" customWidth="1"/>
    <col min="11782" max="11782" width="25.140625" style="65" customWidth="1"/>
    <col min="11783" max="12030" width="9.140625" style="65"/>
    <col min="12031" max="12031" width="121.140625" style="65" customWidth="1"/>
    <col min="12032" max="12032" width="32.7109375" style="65" customWidth="1"/>
    <col min="12033" max="12034" width="32.85546875" style="65" customWidth="1"/>
    <col min="12035" max="12035" width="29.7109375" style="65" customWidth="1"/>
    <col min="12036" max="12036" width="25.5703125" style="65" customWidth="1"/>
    <col min="12037" max="12037" width="35.42578125" style="65" customWidth="1"/>
    <col min="12038" max="12038" width="25.140625" style="65" customWidth="1"/>
    <col min="12039" max="12286" width="9.140625" style="65"/>
    <col min="12287" max="12287" width="121.140625" style="65" customWidth="1"/>
    <col min="12288" max="12288" width="32.7109375" style="65" customWidth="1"/>
    <col min="12289" max="12290" width="32.85546875" style="65" customWidth="1"/>
    <col min="12291" max="12291" width="29.7109375" style="65" customWidth="1"/>
    <col min="12292" max="12292" width="25.5703125" style="65" customWidth="1"/>
    <col min="12293" max="12293" width="35.42578125" style="65" customWidth="1"/>
    <col min="12294" max="12294" width="25.140625" style="65" customWidth="1"/>
    <col min="12295" max="12542" width="9.140625" style="65"/>
    <col min="12543" max="12543" width="121.140625" style="65" customWidth="1"/>
    <col min="12544" max="12544" width="32.7109375" style="65" customWidth="1"/>
    <col min="12545" max="12546" width="32.85546875" style="65" customWidth="1"/>
    <col min="12547" max="12547" width="29.7109375" style="65" customWidth="1"/>
    <col min="12548" max="12548" width="25.5703125" style="65" customWidth="1"/>
    <col min="12549" max="12549" width="35.42578125" style="65" customWidth="1"/>
    <col min="12550" max="12550" width="25.140625" style="65" customWidth="1"/>
    <col min="12551" max="12798" width="9.140625" style="65"/>
    <col min="12799" max="12799" width="121.140625" style="65" customWidth="1"/>
    <col min="12800" max="12800" width="32.7109375" style="65" customWidth="1"/>
    <col min="12801" max="12802" width="32.85546875" style="65" customWidth="1"/>
    <col min="12803" max="12803" width="29.7109375" style="65" customWidth="1"/>
    <col min="12804" max="12804" width="25.5703125" style="65" customWidth="1"/>
    <col min="12805" max="12805" width="35.42578125" style="65" customWidth="1"/>
    <col min="12806" max="12806" width="25.140625" style="65" customWidth="1"/>
    <col min="12807" max="13054" width="9.140625" style="65"/>
    <col min="13055" max="13055" width="121.140625" style="65" customWidth="1"/>
    <col min="13056" max="13056" width="32.7109375" style="65" customWidth="1"/>
    <col min="13057" max="13058" width="32.85546875" style="65" customWidth="1"/>
    <col min="13059" max="13059" width="29.7109375" style="65" customWidth="1"/>
    <col min="13060" max="13060" width="25.5703125" style="65" customWidth="1"/>
    <col min="13061" max="13061" width="35.42578125" style="65" customWidth="1"/>
    <col min="13062" max="13062" width="25.140625" style="65" customWidth="1"/>
    <col min="13063" max="13310" width="9.140625" style="65"/>
    <col min="13311" max="13311" width="121.140625" style="65" customWidth="1"/>
    <col min="13312" max="13312" width="32.7109375" style="65" customWidth="1"/>
    <col min="13313" max="13314" width="32.85546875" style="65" customWidth="1"/>
    <col min="13315" max="13315" width="29.7109375" style="65" customWidth="1"/>
    <col min="13316" max="13316" width="25.5703125" style="65" customWidth="1"/>
    <col min="13317" max="13317" width="35.42578125" style="65" customWidth="1"/>
    <col min="13318" max="13318" width="25.140625" style="65" customWidth="1"/>
    <col min="13319" max="13566" width="9.140625" style="65"/>
    <col min="13567" max="13567" width="121.140625" style="65" customWidth="1"/>
    <col min="13568" max="13568" width="32.7109375" style="65" customWidth="1"/>
    <col min="13569" max="13570" width="32.85546875" style="65" customWidth="1"/>
    <col min="13571" max="13571" width="29.7109375" style="65" customWidth="1"/>
    <col min="13572" max="13572" width="25.5703125" style="65" customWidth="1"/>
    <col min="13573" max="13573" width="35.42578125" style="65" customWidth="1"/>
    <col min="13574" max="13574" width="25.140625" style="65" customWidth="1"/>
    <col min="13575" max="13822" width="9.140625" style="65"/>
    <col min="13823" max="13823" width="121.140625" style="65" customWidth="1"/>
    <col min="13824" max="13824" width="32.7109375" style="65" customWidth="1"/>
    <col min="13825" max="13826" width="32.85546875" style="65" customWidth="1"/>
    <col min="13827" max="13827" width="29.7109375" style="65" customWidth="1"/>
    <col min="13828" max="13828" width="25.5703125" style="65" customWidth="1"/>
    <col min="13829" max="13829" width="35.42578125" style="65" customWidth="1"/>
    <col min="13830" max="13830" width="25.140625" style="65" customWidth="1"/>
    <col min="13831" max="14078" width="9.140625" style="65"/>
    <col min="14079" max="14079" width="121.140625" style="65" customWidth="1"/>
    <col min="14080" max="14080" width="32.7109375" style="65" customWidth="1"/>
    <col min="14081" max="14082" width="32.85546875" style="65" customWidth="1"/>
    <col min="14083" max="14083" width="29.7109375" style="65" customWidth="1"/>
    <col min="14084" max="14084" width="25.5703125" style="65" customWidth="1"/>
    <col min="14085" max="14085" width="35.42578125" style="65" customWidth="1"/>
    <col min="14086" max="14086" width="25.140625" style="65" customWidth="1"/>
    <col min="14087" max="14334" width="9.140625" style="65"/>
    <col min="14335" max="14335" width="121.140625" style="65" customWidth="1"/>
    <col min="14336" max="14336" width="32.7109375" style="65" customWidth="1"/>
    <col min="14337" max="14338" width="32.85546875" style="65" customWidth="1"/>
    <col min="14339" max="14339" width="29.7109375" style="65" customWidth="1"/>
    <col min="14340" max="14340" width="25.5703125" style="65" customWidth="1"/>
    <col min="14341" max="14341" width="35.42578125" style="65" customWidth="1"/>
    <col min="14342" max="14342" width="25.140625" style="65" customWidth="1"/>
    <col min="14343" max="14590" width="9.140625" style="65"/>
    <col min="14591" max="14591" width="121.140625" style="65" customWidth="1"/>
    <col min="14592" max="14592" width="32.7109375" style="65" customWidth="1"/>
    <col min="14593" max="14594" width="32.85546875" style="65" customWidth="1"/>
    <col min="14595" max="14595" width="29.7109375" style="65" customWidth="1"/>
    <col min="14596" max="14596" width="25.5703125" style="65" customWidth="1"/>
    <col min="14597" max="14597" width="35.42578125" style="65" customWidth="1"/>
    <col min="14598" max="14598" width="25.140625" style="65" customWidth="1"/>
    <col min="14599" max="14846" width="9.140625" style="65"/>
    <col min="14847" max="14847" width="121.140625" style="65" customWidth="1"/>
    <col min="14848" max="14848" width="32.7109375" style="65" customWidth="1"/>
    <col min="14849" max="14850" width="32.85546875" style="65" customWidth="1"/>
    <col min="14851" max="14851" width="29.7109375" style="65" customWidth="1"/>
    <col min="14852" max="14852" width="25.5703125" style="65" customWidth="1"/>
    <col min="14853" max="14853" width="35.42578125" style="65" customWidth="1"/>
    <col min="14854" max="14854" width="25.140625" style="65" customWidth="1"/>
    <col min="14855" max="15102" width="9.140625" style="65"/>
    <col min="15103" max="15103" width="121.140625" style="65" customWidth="1"/>
    <col min="15104" max="15104" width="32.7109375" style="65" customWidth="1"/>
    <col min="15105" max="15106" width="32.85546875" style="65" customWidth="1"/>
    <col min="15107" max="15107" width="29.7109375" style="65" customWidth="1"/>
    <col min="15108" max="15108" width="25.5703125" style="65" customWidth="1"/>
    <col min="15109" max="15109" width="35.42578125" style="65" customWidth="1"/>
    <col min="15110" max="15110" width="25.140625" style="65" customWidth="1"/>
    <col min="15111" max="15358" width="9.140625" style="65"/>
    <col min="15359" max="15359" width="121.140625" style="65" customWidth="1"/>
    <col min="15360" max="15360" width="32.7109375" style="65" customWidth="1"/>
    <col min="15361" max="15362" width="32.85546875" style="65" customWidth="1"/>
    <col min="15363" max="15363" width="29.7109375" style="65" customWidth="1"/>
    <col min="15364" max="15364" width="25.5703125" style="65" customWidth="1"/>
    <col min="15365" max="15365" width="35.42578125" style="65" customWidth="1"/>
    <col min="15366" max="15366" width="25.140625" style="65" customWidth="1"/>
    <col min="15367" max="15614" width="9.140625" style="65"/>
    <col min="15615" max="15615" width="121.140625" style="65" customWidth="1"/>
    <col min="15616" max="15616" width="32.7109375" style="65" customWidth="1"/>
    <col min="15617" max="15618" width="32.85546875" style="65" customWidth="1"/>
    <col min="15619" max="15619" width="29.7109375" style="65" customWidth="1"/>
    <col min="15620" max="15620" width="25.5703125" style="65" customWidth="1"/>
    <col min="15621" max="15621" width="35.42578125" style="65" customWidth="1"/>
    <col min="15622" max="15622" width="25.140625" style="65" customWidth="1"/>
    <col min="15623" max="15870" width="9.140625" style="65"/>
    <col min="15871" max="15871" width="121.140625" style="65" customWidth="1"/>
    <col min="15872" max="15872" width="32.7109375" style="65" customWidth="1"/>
    <col min="15873" max="15874" width="32.85546875" style="65" customWidth="1"/>
    <col min="15875" max="15875" width="29.7109375" style="65" customWidth="1"/>
    <col min="15876" max="15876" width="25.5703125" style="65" customWidth="1"/>
    <col min="15877" max="15877" width="35.42578125" style="65" customWidth="1"/>
    <col min="15878" max="15878" width="25.140625" style="65" customWidth="1"/>
    <col min="15879" max="16126" width="9.140625" style="65"/>
    <col min="16127" max="16127" width="121.140625" style="65" customWidth="1"/>
    <col min="16128" max="16128" width="32.7109375" style="65" customWidth="1"/>
    <col min="16129" max="16130" width="32.85546875" style="65" customWidth="1"/>
    <col min="16131" max="16131" width="29.7109375" style="65" customWidth="1"/>
    <col min="16132" max="16132" width="25.5703125" style="65" customWidth="1"/>
    <col min="16133" max="16133" width="35.42578125" style="65" customWidth="1"/>
    <col min="16134" max="16134" width="25.140625" style="65" customWidth="1"/>
    <col min="16135" max="16384" width="9.140625" style="65"/>
  </cols>
  <sheetData>
    <row r="1" spans="1:6" s="6" customFormat="1" ht="46.5">
      <c r="A1" s="1" t="s">
        <v>0</v>
      </c>
      <c r="D1" s="277" t="s">
        <v>1</v>
      </c>
      <c r="E1" s="289" t="s">
        <v>98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163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325">
        <v>2223162</v>
      </c>
      <c r="C8" s="23">
        <v>2223162</v>
      </c>
      <c r="D8" s="23">
        <v>2300077</v>
      </c>
      <c r="E8" s="23">
        <v>76915</v>
      </c>
      <c r="F8" s="24">
        <v>3.4597118878426314E-2</v>
      </c>
    </row>
    <row r="9" spans="1:6" s="13" customFormat="1" ht="26.25">
      <c r="A9" s="22" t="s">
        <v>17</v>
      </c>
      <c r="B9" s="326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327">
        <v>0</v>
      </c>
      <c r="C10" s="26">
        <v>0</v>
      </c>
      <c r="D10" s="26">
        <v>0</v>
      </c>
      <c r="E10" s="26">
        <v>0</v>
      </c>
      <c r="F10" s="24">
        <v>0</v>
      </c>
    </row>
    <row r="11" spans="1:6" s="13" customFormat="1" ht="26.25">
      <c r="A11" s="27" t="s">
        <v>19</v>
      </c>
      <c r="B11" s="328">
        <v>0</v>
      </c>
      <c r="C11" s="28">
        <v>0</v>
      </c>
      <c r="D11" s="28">
        <v>0</v>
      </c>
      <c r="E11" s="26">
        <v>0</v>
      </c>
      <c r="F11" s="24">
        <v>0</v>
      </c>
    </row>
    <row r="12" spans="1:6" s="13" customFormat="1" ht="26.25">
      <c r="A12" s="29" t="s">
        <v>20</v>
      </c>
      <c r="B12" s="328">
        <v>0</v>
      </c>
      <c r="C12" s="28">
        <v>0</v>
      </c>
      <c r="D12" s="28">
        <v>0</v>
      </c>
      <c r="E12" s="26">
        <v>0</v>
      </c>
      <c r="F12" s="24">
        <v>0</v>
      </c>
    </row>
    <row r="13" spans="1:6" s="13" customFormat="1" ht="26.25">
      <c r="A13" s="29" t="s">
        <v>21</v>
      </c>
      <c r="B13" s="328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328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13" customFormat="1" ht="26.25">
      <c r="A15" s="29" t="s">
        <v>23</v>
      </c>
      <c r="B15" s="328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3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3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3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3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3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3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3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3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3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328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3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328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328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13" customFormat="1" ht="26.25">
      <c r="A29" s="31" t="s">
        <v>37</v>
      </c>
      <c r="B29" s="328"/>
      <c r="C29" s="28"/>
      <c r="D29" s="28"/>
      <c r="E29" s="28"/>
      <c r="F29" s="20"/>
    </row>
    <row r="30" spans="1:6" s="13" customFormat="1" ht="26.25">
      <c r="A30" s="27" t="s">
        <v>38</v>
      </c>
      <c r="B30" s="326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328"/>
      <c r="C31" s="28"/>
      <c r="D31" s="28"/>
      <c r="E31" s="28"/>
      <c r="F31" s="20"/>
    </row>
    <row r="32" spans="1:6" s="13" customFormat="1" ht="26.25">
      <c r="A32" s="27" t="s">
        <v>38</v>
      </c>
      <c r="B32" s="32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24" s="13" customFormat="1" ht="26.25">
      <c r="A33" s="29" t="s">
        <v>40</v>
      </c>
      <c r="B33" s="299"/>
      <c r="C33" s="28"/>
      <c r="D33" s="28"/>
      <c r="E33" s="26"/>
      <c r="F33" s="24" t="s">
        <v>41</v>
      </c>
    </row>
    <row r="34" spans="1:24" s="36" customFormat="1" ht="26.25">
      <c r="A34" s="33" t="s">
        <v>42</v>
      </c>
      <c r="B34" s="330">
        <v>2223162</v>
      </c>
      <c r="C34" s="34">
        <v>2223162</v>
      </c>
      <c r="D34" s="34">
        <v>2300077</v>
      </c>
      <c r="E34" s="34">
        <v>76915</v>
      </c>
      <c r="F34" s="35">
        <v>3.4597118878426314E-2</v>
      </c>
      <c r="X34" s="83"/>
    </row>
    <row r="35" spans="1:24" s="13" customFormat="1" ht="26.25">
      <c r="A35" s="31" t="s">
        <v>43</v>
      </c>
      <c r="B35" s="299"/>
      <c r="C35" s="28"/>
      <c r="D35" s="28"/>
      <c r="E35" s="28"/>
      <c r="F35" s="20"/>
    </row>
    <row r="36" spans="1:24" s="13" customFormat="1" ht="26.25">
      <c r="A36" s="37" t="s">
        <v>44</v>
      </c>
      <c r="B36" s="326">
        <v>0</v>
      </c>
      <c r="C36" s="23">
        <v>0</v>
      </c>
      <c r="D36" s="23">
        <v>0</v>
      </c>
      <c r="E36" s="23">
        <v>0</v>
      </c>
      <c r="F36" s="24">
        <v>0</v>
      </c>
    </row>
    <row r="37" spans="1:24" s="13" customFormat="1" ht="26.25">
      <c r="A37" s="38" t="s">
        <v>45</v>
      </c>
      <c r="B37" s="326">
        <v>0</v>
      </c>
      <c r="C37" s="23">
        <v>0</v>
      </c>
      <c r="D37" s="23">
        <v>0</v>
      </c>
      <c r="E37" s="26">
        <v>0</v>
      </c>
      <c r="F37" s="24">
        <v>0</v>
      </c>
    </row>
    <row r="38" spans="1:24" s="13" customFormat="1" ht="26.25">
      <c r="A38" s="38" t="s">
        <v>46</v>
      </c>
      <c r="B38" s="326">
        <v>0</v>
      </c>
      <c r="C38" s="23">
        <v>0</v>
      </c>
      <c r="D38" s="23">
        <v>0</v>
      </c>
      <c r="E38" s="26">
        <v>0</v>
      </c>
      <c r="F38" s="24">
        <v>0</v>
      </c>
    </row>
    <row r="39" spans="1:24" s="13" customFormat="1" ht="26.25">
      <c r="A39" s="38" t="s">
        <v>47</v>
      </c>
      <c r="B39" s="326">
        <v>0</v>
      </c>
      <c r="C39" s="23">
        <v>0</v>
      </c>
      <c r="D39" s="23">
        <v>0</v>
      </c>
      <c r="E39" s="26">
        <v>0</v>
      </c>
      <c r="F39" s="24">
        <v>0</v>
      </c>
    </row>
    <row r="40" spans="1:24" s="13" customFormat="1" ht="26.25">
      <c r="A40" s="39" t="s">
        <v>48</v>
      </c>
      <c r="B40" s="326">
        <v>0</v>
      </c>
      <c r="C40" s="23">
        <v>0</v>
      </c>
      <c r="D40" s="23">
        <v>0</v>
      </c>
      <c r="E40" s="26">
        <v>0</v>
      </c>
      <c r="F40" s="24">
        <v>0</v>
      </c>
    </row>
    <row r="41" spans="1:24" s="36" customFormat="1" ht="26.25">
      <c r="A41" s="31" t="s">
        <v>49</v>
      </c>
      <c r="B41" s="331">
        <v>0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24" s="13" customFormat="1" ht="26.25">
      <c r="A42" s="29" t="s">
        <v>50</v>
      </c>
      <c r="B42" s="299"/>
      <c r="C42" s="28"/>
      <c r="D42" s="28"/>
      <c r="E42" s="28"/>
      <c r="F42" s="20"/>
    </row>
    <row r="43" spans="1:24" s="36" customFormat="1" ht="26.25">
      <c r="A43" s="41" t="s">
        <v>51</v>
      </c>
      <c r="B43" s="332"/>
      <c r="C43" s="42">
        <v>1169291</v>
      </c>
      <c r="D43" s="42">
        <v>0</v>
      </c>
      <c r="E43" s="42">
        <v>-1169291</v>
      </c>
      <c r="F43" s="35">
        <v>-1</v>
      </c>
    </row>
    <row r="44" spans="1:24" s="13" customFormat="1" ht="26.25">
      <c r="A44" s="29" t="s">
        <v>50</v>
      </c>
      <c r="B44" s="299"/>
      <c r="C44" s="28"/>
      <c r="D44" s="28"/>
      <c r="E44" s="28"/>
      <c r="F44" s="20"/>
    </row>
    <row r="45" spans="1:24" s="36" customFormat="1" ht="26.25">
      <c r="A45" s="41" t="s">
        <v>52</v>
      </c>
      <c r="B45" s="333">
        <v>0</v>
      </c>
      <c r="C45" s="42">
        <v>0</v>
      </c>
      <c r="D45" s="42">
        <v>0</v>
      </c>
      <c r="E45" s="42">
        <v>0</v>
      </c>
      <c r="F45" s="35">
        <v>0</v>
      </c>
    </row>
    <row r="46" spans="1:24" s="13" customFormat="1" ht="26.25">
      <c r="A46" s="29" t="s">
        <v>50</v>
      </c>
      <c r="B46" s="334"/>
      <c r="C46" s="28"/>
      <c r="D46" s="28"/>
      <c r="E46" s="28"/>
      <c r="F46" s="20"/>
    </row>
    <row r="47" spans="1:24" s="36" customFormat="1" ht="26.25">
      <c r="A47" s="31" t="s">
        <v>53</v>
      </c>
      <c r="B47" s="335">
        <v>0</v>
      </c>
      <c r="C47" s="40">
        <v>0</v>
      </c>
      <c r="D47" s="40">
        <v>0</v>
      </c>
      <c r="E47" s="40">
        <v>0</v>
      </c>
      <c r="F47" s="35">
        <v>0</v>
      </c>
    </row>
    <row r="48" spans="1:24" s="13" customFormat="1" ht="26.25">
      <c r="A48" s="29" t="s">
        <v>50</v>
      </c>
      <c r="B48" s="334"/>
      <c r="C48" s="28"/>
      <c r="D48" s="28"/>
      <c r="E48" s="28"/>
      <c r="F48" s="20"/>
    </row>
    <row r="49" spans="1:6" s="36" customFormat="1" ht="26.25">
      <c r="A49" s="43" t="s">
        <v>54</v>
      </c>
      <c r="B49" s="336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337"/>
      <c r="C50" s="19"/>
      <c r="D50" s="19"/>
      <c r="E50" s="19"/>
      <c r="F50" s="45"/>
    </row>
    <row r="51" spans="1:6" s="36" customFormat="1" ht="26.25">
      <c r="A51" s="31" t="s">
        <v>55</v>
      </c>
      <c r="B51" s="335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99"/>
      <c r="C52" s="28"/>
      <c r="D52" s="28"/>
      <c r="E52" s="28"/>
      <c r="F52" s="20"/>
    </row>
    <row r="53" spans="1:6" s="36" customFormat="1" ht="26.25">
      <c r="A53" s="46" t="s">
        <v>56</v>
      </c>
      <c r="B53" s="338">
        <v>2223162</v>
      </c>
      <c r="C53" s="40">
        <v>3392453</v>
      </c>
      <c r="D53" s="40">
        <v>2300077</v>
      </c>
      <c r="E53" s="40">
        <v>-1092376</v>
      </c>
      <c r="F53" s="35">
        <v>-0.32200180813116647</v>
      </c>
    </row>
    <row r="54" spans="1:6" s="13" customFormat="1" ht="26.25">
      <c r="A54" s="47"/>
      <c r="B54" s="299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337">
        <v>0</v>
      </c>
      <c r="C57" s="19">
        <v>0</v>
      </c>
      <c r="D57" s="19">
        <v>0</v>
      </c>
      <c r="E57" s="19">
        <v>0</v>
      </c>
      <c r="F57" s="24">
        <v>0</v>
      </c>
    </row>
    <row r="58" spans="1:6" s="13" customFormat="1" ht="26.25">
      <c r="A58" s="29" t="s">
        <v>59</v>
      </c>
      <c r="B58" s="339">
        <v>0</v>
      </c>
      <c r="C58" s="28">
        <v>0</v>
      </c>
      <c r="D58" s="28">
        <v>0</v>
      </c>
      <c r="E58" s="28">
        <v>0</v>
      </c>
      <c r="F58" s="24">
        <v>0</v>
      </c>
    </row>
    <row r="59" spans="1:6" s="13" customFormat="1" ht="26.25">
      <c r="A59" s="29" t="s">
        <v>60</v>
      </c>
      <c r="B59" s="339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13" customFormat="1" ht="26.25">
      <c r="A60" s="29" t="s">
        <v>61</v>
      </c>
      <c r="B60" s="339">
        <v>0</v>
      </c>
      <c r="C60" s="28">
        <v>0</v>
      </c>
      <c r="D60" s="28">
        <v>0</v>
      </c>
      <c r="E60" s="28">
        <v>0</v>
      </c>
      <c r="F60" s="24">
        <v>0</v>
      </c>
    </row>
    <row r="61" spans="1:6" s="13" customFormat="1" ht="26.25">
      <c r="A61" s="29" t="s">
        <v>62</v>
      </c>
      <c r="B61" s="339">
        <v>0</v>
      </c>
      <c r="C61" s="28">
        <v>0</v>
      </c>
      <c r="D61" s="28">
        <v>0</v>
      </c>
      <c r="E61" s="28">
        <v>0</v>
      </c>
      <c r="F61" s="24">
        <v>0</v>
      </c>
    </row>
    <row r="62" spans="1:6" s="13" customFormat="1" ht="26.25">
      <c r="A62" s="29" t="s">
        <v>63</v>
      </c>
      <c r="B62" s="339">
        <v>2223161.9999999995</v>
      </c>
      <c r="C62" s="28">
        <v>3392453</v>
      </c>
      <c r="D62" s="28">
        <v>2300077</v>
      </c>
      <c r="E62" s="28">
        <v>-1092376</v>
      </c>
      <c r="F62" s="24">
        <v>-0.32200180813116647</v>
      </c>
    </row>
    <row r="63" spans="1:6" s="13" customFormat="1" ht="26.25">
      <c r="A63" s="29" t="s">
        <v>64</v>
      </c>
      <c r="B63" s="339">
        <v>0</v>
      </c>
      <c r="C63" s="28">
        <v>0</v>
      </c>
      <c r="D63" s="28">
        <v>0</v>
      </c>
      <c r="E63" s="28">
        <v>0</v>
      </c>
      <c r="F63" s="24">
        <v>0</v>
      </c>
    </row>
    <row r="64" spans="1:6" s="13" customFormat="1" ht="26.25">
      <c r="A64" s="29" t="s">
        <v>65</v>
      </c>
      <c r="B64" s="339">
        <v>0</v>
      </c>
      <c r="C64" s="28">
        <v>0</v>
      </c>
      <c r="D64" s="28">
        <v>0</v>
      </c>
      <c r="E64" s="28">
        <v>0</v>
      </c>
      <c r="F64" s="24">
        <v>0</v>
      </c>
    </row>
    <row r="65" spans="1:6" s="36" customFormat="1" ht="26.25">
      <c r="A65" s="49" t="s">
        <v>66</v>
      </c>
      <c r="B65" s="330">
        <v>2223161.9999999995</v>
      </c>
      <c r="C65" s="34">
        <v>3392453</v>
      </c>
      <c r="D65" s="34">
        <v>2300077</v>
      </c>
      <c r="E65" s="34">
        <v>-1092376</v>
      </c>
      <c r="F65" s="35">
        <v>-0.32200180813116647</v>
      </c>
    </row>
    <row r="66" spans="1:6" s="13" customFormat="1" ht="26.25">
      <c r="A66" s="29" t="s">
        <v>67</v>
      </c>
      <c r="B66" s="3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328">
        <v>0</v>
      </c>
      <c r="C67" s="28">
        <v>0</v>
      </c>
      <c r="D67" s="28">
        <v>0</v>
      </c>
      <c r="E67" s="28">
        <v>0</v>
      </c>
      <c r="F67" s="24">
        <v>0</v>
      </c>
    </row>
    <row r="68" spans="1:6" s="13" customFormat="1" ht="26.25">
      <c r="A68" s="29" t="s">
        <v>69</v>
      </c>
      <c r="B68" s="328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13" customFormat="1" ht="26.25">
      <c r="A69" s="29" t="s">
        <v>70</v>
      </c>
      <c r="B69" s="328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50" t="s">
        <v>71</v>
      </c>
      <c r="B70" s="340">
        <v>2223161.9999999995</v>
      </c>
      <c r="C70" s="51">
        <v>3392453</v>
      </c>
      <c r="D70" s="51">
        <v>2300077</v>
      </c>
      <c r="E70" s="51">
        <v>-1092376</v>
      </c>
      <c r="F70" s="35">
        <v>-0.32200180813116647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325">
        <v>1303448.58</v>
      </c>
      <c r="C73" s="23">
        <v>1233642</v>
      </c>
      <c r="D73" s="23">
        <v>1176475</v>
      </c>
      <c r="E73" s="19">
        <v>-57167</v>
      </c>
      <c r="F73" s="24">
        <v>-4.6340024091267966E-2</v>
      </c>
    </row>
    <row r="74" spans="1:6" s="13" customFormat="1" ht="26.25">
      <c r="A74" s="29" t="s">
        <v>74</v>
      </c>
      <c r="B74" s="341">
        <v>1600</v>
      </c>
      <c r="C74" s="23">
        <v>52000</v>
      </c>
      <c r="D74" s="23">
        <v>57000</v>
      </c>
      <c r="E74" s="28">
        <v>5000</v>
      </c>
      <c r="F74" s="24">
        <v>9.6153846153846159E-2</v>
      </c>
    </row>
    <row r="75" spans="1:6" s="13" customFormat="1" ht="26.25">
      <c r="A75" s="29" t="s">
        <v>75</v>
      </c>
      <c r="B75" s="342">
        <v>317911.96999999997</v>
      </c>
      <c r="C75" s="23">
        <v>342314</v>
      </c>
      <c r="D75" s="23">
        <v>405765</v>
      </c>
      <c r="E75" s="28">
        <v>63451</v>
      </c>
      <c r="F75" s="24">
        <v>0.18535905630502988</v>
      </c>
    </row>
    <row r="76" spans="1:6" s="36" customFormat="1" ht="26.25">
      <c r="A76" s="49" t="s">
        <v>76</v>
      </c>
      <c r="B76" s="340">
        <v>1622960.55</v>
      </c>
      <c r="C76" s="51">
        <v>1627956</v>
      </c>
      <c r="D76" s="51">
        <v>1639240</v>
      </c>
      <c r="E76" s="34">
        <v>11284</v>
      </c>
      <c r="F76" s="35">
        <v>6.9313912661030149E-3</v>
      </c>
    </row>
    <row r="77" spans="1:6" s="13" customFormat="1" ht="26.25">
      <c r="A77" s="29" t="s">
        <v>77</v>
      </c>
      <c r="B77" s="341">
        <v>58736.34</v>
      </c>
      <c r="C77" s="26">
        <v>58000</v>
      </c>
      <c r="D77" s="26">
        <v>90131</v>
      </c>
      <c r="E77" s="28">
        <v>32131</v>
      </c>
      <c r="F77" s="24">
        <v>0.55398275862068969</v>
      </c>
    </row>
    <row r="78" spans="1:6" s="13" customFormat="1" ht="26.25">
      <c r="A78" s="29" t="s">
        <v>78</v>
      </c>
      <c r="B78" s="343">
        <v>26244.51</v>
      </c>
      <c r="C78" s="23">
        <v>27000</v>
      </c>
      <c r="D78" s="23">
        <v>43500</v>
      </c>
      <c r="E78" s="28">
        <v>16500</v>
      </c>
      <c r="F78" s="24">
        <v>0.61111111111111116</v>
      </c>
    </row>
    <row r="79" spans="1:6" s="13" customFormat="1" ht="26.25">
      <c r="A79" s="29" t="s">
        <v>79</v>
      </c>
      <c r="B79" s="342">
        <v>15220.6</v>
      </c>
      <c r="C79" s="19">
        <v>9000</v>
      </c>
      <c r="D79" s="19">
        <v>15000</v>
      </c>
      <c r="E79" s="28">
        <v>6000</v>
      </c>
      <c r="F79" s="24">
        <v>0.66666666666666663</v>
      </c>
    </row>
    <row r="80" spans="1:6" s="36" customFormat="1" ht="26.25">
      <c r="A80" s="32" t="s">
        <v>80</v>
      </c>
      <c r="B80" s="340">
        <v>100201.45</v>
      </c>
      <c r="C80" s="51">
        <v>94000</v>
      </c>
      <c r="D80" s="51">
        <v>148631</v>
      </c>
      <c r="E80" s="34">
        <v>54631</v>
      </c>
      <c r="F80" s="35">
        <v>0.58118085106382977</v>
      </c>
    </row>
    <row r="81" spans="1:6" s="13" customFormat="1" ht="26.25">
      <c r="A81" s="29" t="s">
        <v>81</v>
      </c>
      <c r="B81" s="342">
        <v>0</v>
      </c>
      <c r="C81" s="19">
        <v>0</v>
      </c>
      <c r="D81" s="19">
        <v>0</v>
      </c>
      <c r="E81" s="28">
        <v>0</v>
      </c>
      <c r="F81" s="24">
        <v>0</v>
      </c>
    </row>
    <row r="82" spans="1:6" s="13" customFormat="1" ht="26.25">
      <c r="A82" s="29" t="s">
        <v>82</v>
      </c>
      <c r="B82" s="339">
        <v>0</v>
      </c>
      <c r="C82" s="28">
        <v>1206</v>
      </c>
      <c r="D82" s="28">
        <v>12206</v>
      </c>
      <c r="E82" s="28">
        <v>11000</v>
      </c>
      <c r="F82" s="24">
        <v>9.1210613598673298</v>
      </c>
    </row>
    <row r="83" spans="1:6" s="13" customFormat="1" ht="26.25">
      <c r="A83" s="29" t="s">
        <v>83</v>
      </c>
      <c r="B83" s="339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339">
        <v>500000</v>
      </c>
      <c r="C84" s="28">
        <v>1669291</v>
      </c>
      <c r="D84" s="28">
        <v>500000</v>
      </c>
      <c r="E84" s="28">
        <v>-1169291</v>
      </c>
      <c r="F84" s="24">
        <v>-0.70047163735981322</v>
      </c>
    </row>
    <row r="85" spans="1:6" s="36" customFormat="1" ht="26.25">
      <c r="A85" s="32" t="s">
        <v>85</v>
      </c>
      <c r="B85" s="330">
        <v>500000</v>
      </c>
      <c r="C85" s="34">
        <v>1670497</v>
      </c>
      <c r="D85" s="34">
        <v>512206</v>
      </c>
      <c r="E85" s="34">
        <v>-1158291</v>
      </c>
      <c r="F85" s="35">
        <v>-0.69338107162120011</v>
      </c>
    </row>
    <row r="86" spans="1:6" s="13" customFormat="1" ht="26.25">
      <c r="A86" s="29" t="s">
        <v>86</v>
      </c>
      <c r="B86" s="328">
        <v>0</v>
      </c>
      <c r="C86" s="28">
        <v>0</v>
      </c>
      <c r="D86" s="28">
        <v>0</v>
      </c>
      <c r="E86" s="28">
        <v>0</v>
      </c>
      <c r="F86" s="24">
        <v>0</v>
      </c>
    </row>
    <row r="87" spans="1:6" s="13" customFormat="1" ht="26.25">
      <c r="A87" s="29" t="s">
        <v>87</v>
      </c>
      <c r="B87" s="328">
        <v>0</v>
      </c>
      <c r="C87" s="28">
        <v>0</v>
      </c>
      <c r="D87" s="28">
        <v>0</v>
      </c>
      <c r="E87" s="28">
        <v>0</v>
      </c>
      <c r="F87" s="24">
        <v>0</v>
      </c>
    </row>
    <row r="88" spans="1:6" s="13" customFormat="1" ht="26.25">
      <c r="A88" s="38" t="s">
        <v>88</v>
      </c>
      <c r="B88" s="328">
        <v>0</v>
      </c>
      <c r="C88" s="28">
        <v>0</v>
      </c>
      <c r="D88" s="28">
        <v>0</v>
      </c>
      <c r="E88" s="28">
        <v>0</v>
      </c>
      <c r="F88" s="24">
        <v>0</v>
      </c>
    </row>
    <row r="89" spans="1:6" s="36" customFormat="1" ht="26.25">
      <c r="A89" s="52" t="s">
        <v>89</v>
      </c>
      <c r="B89" s="344">
        <v>0</v>
      </c>
      <c r="C89" s="51">
        <v>0</v>
      </c>
      <c r="D89" s="51">
        <v>0</v>
      </c>
      <c r="E89" s="51">
        <v>0</v>
      </c>
      <c r="F89" s="35">
        <v>0</v>
      </c>
    </row>
    <row r="90" spans="1:6" s="13" customFormat="1" ht="26.25">
      <c r="A90" s="38" t="s">
        <v>90</v>
      </c>
      <c r="B90" s="328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36" customFormat="1" ht="27" thickBot="1">
      <c r="A91" s="53" t="s">
        <v>71</v>
      </c>
      <c r="B91" s="345">
        <v>2223162</v>
      </c>
      <c r="C91" s="54">
        <v>3392453</v>
      </c>
      <c r="D91" s="55">
        <v>2300077</v>
      </c>
      <c r="E91" s="54">
        <v>-1092376</v>
      </c>
      <c r="F91" s="56">
        <v>-0.32200180813116647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topLeftCell="A16" zoomScale="50" zoomScaleNormal="50" workbookViewId="0">
      <selection activeCell="M46" sqref="M46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2.85546875" style="65" customWidth="1"/>
    <col min="6" max="6" width="27.710937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289" t="s">
        <v>164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31761943.059999999</v>
      </c>
      <c r="C8" s="23">
        <v>31761944</v>
      </c>
      <c r="D8" s="23">
        <v>31083400</v>
      </c>
      <c r="E8" s="23">
        <v>-678544</v>
      </c>
      <c r="F8" s="24">
        <v>-2.1363427880862706E-2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98">
        <v>1880811</v>
      </c>
      <c r="C10" s="26">
        <v>1887909</v>
      </c>
      <c r="D10" s="26">
        <v>1869072</v>
      </c>
      <c r="E10" s="26">
        <v>-18837</v>
      </c>
      <c r="F10" s="24">
        <v>-9.977705493220277E-3</v>
      </c>
    </row>
    <row r="11" spans="1:6" s="13" customFormat="1" ht="26.25">
      <c r="A11" s="27" t="s">
        <v>19</v>
      </c>
      <c r="B11" s="299">
        <v>33114.57</v>
      </c>
      <c r="C11" s="28">
        <v>33114</v>
      </c>
      <c r="D11" s="28">
        <v>0</v>
      </c>
      <c r="E11" s="26">
        <v>-33114</v>
      </c>
      <c r="F11" s="24">
        <v>-1</v>
      </c>
    </row>
    <row r="12" spans="1:6" s="13" customFormat="1" ht="26.25">
      <c r="A12" s="29" t="s">
        <v>20</v>
      </c>
      <c r="B12" s="299">
        <v>1847696.43</v>
      </c>
      <c r="C12" s="28">
        <v>1854795</v>
      </c>
      <c r="D12" s="28">
        <v>1869072</v>
      </c>
      <c r="E12" s="26">
        <v>14277</v>
      </c>
      <c r="F12" s="24">
        <v>7.6973466070374358E-3</v>
      </c>
    </row>
    <row r="13" spans="1:6" s="13" customFormat="1" ht="26.25">
      <c r="A13" s="29" t="s">
        <v>21</v>
      </c>
      <c r="B13" s="299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99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13" customFormat="1" ht="26.25">
      <c r="A15" s="29" t="s">
        <v>23</v>
      </c>
      <c r="B15" s="299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299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99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99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99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99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99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99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99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99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99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99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99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99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13" customFormat="1" ht="26.25">
      <c r="A29" s="31" t="s">
        <v>37</v>
      </c>
      <c r="B29" s="299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99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99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00">
        <v>33642754.060000002</v>
      </c>
      <c r="C34" s="34">
        <v>33649853</v>
      </c>
      <c r="D34" s="34">
        <v>32952472</v>
      </c>
      <c r="E34" s="34">
        <v>-697381</v>
      </c>
      <c r="F34" s="35">
        <v>-2.0724637340912011E-2</v>
      </c>
    </row>
    <row r="35" spans="1:10" s="13" customFormat="1" ht="26.25">
      <c r="A35" s="31" t="s">
        <v>43</v>
      </c>
      <c r="B35" s="299"/>
      <c r="C35" s="28"/>
      <c r="D35" s="28"/>
      <c r="E35" s="28"/>
      <c r="F35" s="20"/>
    </row>
    <row r="36" spans="1:10" s="13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13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13" customFormat="1" ht="26.25">
      <c r="A38" s="38" t="s">
        <v>46</v>
      </c>
      <c r="B38" s="23">
        <v>3573558</v>
      </c>
      <c r="C38" s="23">
        <v>0</v>
      </c>
      <c r="D38" s="23">
        <v>0</v>
      </c>
      <c r="E38" s="26">
        <v>0</v>
      </c>
      <c r="F38" s="24">
        <v>0</v>
      </c>
    </row>
    <row r="39" spans="1:10" s="13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13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3573558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99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1470852</v>
      </c>
      <c r="C43" s="42">
        <v>2181188</v>
      </c>
      <c r="D43" s="42">
        <v>1726702</v>
      </c>
      <c r="E43" s="42">
        <v>-454486</v>
      </c>
      <c r="F43" s="35">
        <v>-0.20836626645662823</v>
      </c>
    </row>
    <row r="44" spans="1:10" s="13" customFormat="1" ht="26.25">
      <c r="A44" s="29" t="s">
        <v>50</v>
      </c>
      <c r="B44" s="299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11710401</v>
      </c>
      <c r="C45" s="42">
        <v>11710401</v>
      </c>
      <c r="D45" s="42">
        <v>0</v>
      </c>
      <c r="E45" s="42">
        <v>-11710401</v>
      </c>
      <c r="F45" s="35">
        <v>-1</v>
      </c>
    </row>
    <row r="46" spans="1:10" s="13" customFormat="1" ht="26.25">
      <c r="A46" s="29" t="s">
        <v>50</v>
      </c>
      <c r="B46" s="299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35570838.769999996</v>
      </c>
      <c r="C47" s="40">
        <v>33471424</v>
      </c>
      <c r="D47" s="40">
        <v>44029148</v>
      </c>
      <c r="E47" s="40">
        <v>10557724</v>
      </c>
      <c r="F47" s="35">
        <v>0.31542500253350442</v>
      </c>
    </row>
    <row r="48" spans="1:10" s="13" customFormat="1" ht="26.25">
      <c r="A48" s="29" t="s">
        <v>50</v>
      </c>
      <c r="B48" s="299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99"/>
      <c r="C52" s="28"/>
      <c r="D52" s="28"/>
      <c r="E52" s="28"/>
      <c r="F52" s="20"/>
    </row>
    <row r="53" spans="1:6" s="36" customFormat="1" ht="26.25">
      <c r="A53" s="46" t="s">
        <v>56</v>
      </c>
      <c r="B53" s="40">
        <v>78821287.829999998</v>
      </c>
      <c r="C53" s="40">
        <v>81012866</v>
      </c>
      <c r="D53" s="40">
        <v>78708322</v>
      </c>
      <c r="E53" s="40">
        <v>-2304544</v>
      </c>
      <c r="F53" s="35">
        <v>-2.8446642043252736E-2</v>
      </c>
    </row>
    <row r="54" spans="1:6" s="13" customFormat="1" ht="26.25">
      <c r="A54" s="47"/>
      <c r="B54" s="299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34658806.439999998</v>
      </c>
      <c r="C57" s="19">
        <v>37272610</v>
      </c>
      <c r="D57" s="19">
        <v>36499233</v>
      </c>
      <c r="E57" s="19">
        <v>-773377</v>
      </c>
      <c r="F57" s="24">
        <v>-2.0749204308472092E-2</v>
      </c>
    </row>
    <row r="58" spans="1:6" s="13" customFormat="1" ht="26.25">
      <c r="A58" s="29" t="s">
        <v>59</v>
      </c>
      <c r="B58" s="299">
        <v>355668.67999999993</v>
      </c>
      <c r="C58" s="28">
        <v>416283</v>
      </c>
      <c r="D58" s="28">
        <v>415757</v>
      </c>
      <c r="E58" s="28">
        <v>-526</v>
      </c>
      <c r="F58" s="24">
        <v>-1.2635634892609114E-3</v>
      </c>
    </row>
    <row r="59" spans="1:6" s="13" customFormat="1" ht="26.25">
      <c r="A59" s="29" t="s">
        <v>60</v>
      </c>
      <c r="B59" s="299">
        <v>303131.49</v>
      </c>
      <c r="C59" s="28">
        <v>352844</v>
      </c>
      <c r="D59" s="28">
        <v>139431</v>
      </c>
      <c r="E59" s="28">
        <v>-213413</v>
      </c>
      <c r="F59" s="24">
        <v>-0.60483669837095144</v>
      </c>
    </row>
    <row r="60" spans="1:6" s="13" customFormat="1" ht="26.25">
      <c r="A60" s="29" t="s">
        <v>61</v>
      </c>
      <c r="B60" s="299">
        <v>8997838.040000001</v>
      </c>
      <c r="C60" s="28">
        <v>9394577</v>
      </c>
      <c r="D60" s="28">
        <v>8055751</v>
      </c>
      <c r="E60" s="28">
        <v>-1338826</v>
      </c>
      <c r="F60" s="24">
        <v>-0.14251051431054321</v>
      </c>
    </row>
    <row r="61" spans="1:6" s="13" customFormat="1" ht="26.25">
      <c r="A61" s="29" t="s">
        <v>62</v>
      </c>
      <c r="B61" s="299">
        <v>3194866.14</v>
      </c>
      <c r="C61" s="28">
        <v>3746839</v>
      </c>
      <c r="D61" s="28">
        <v>3220929</v>
      </c>
      <c r="E61" s="28">
        <v>-525910</v>
      </c>
      <c r="F61" s="24">
        <v>-0.14036098161677082</v>
      </c>
    </row>
    <row r="62" spans="1:6" s="13" customFormat="1" ht="26.25">
      <c r="A62" s="29" t="s">
        <v>63</v>
      </c>
      <c r="B62" s="299">
        <v>12566344.280000001</v>
      </c>
      <c r="C62" s="28">
        <v>11248469</v>
      </c>
      <c r="D62" s="28">
        <v>10328631</v>
      </c>
      <c r="E62" s="28">
        <v>-919838</v>
      </c>
      <c r="F62" s="24">
        <v>-8.1774506379490394E-2</v>
      </c>
    </row>
    <row r="63" spans="1:6" s="13" customFormat="1" ht="26.25">
      <c r="A63" s="29" t="s">
        <v>64</v>
      </c>
      <c r="B63" s="299">
        <v>4735018.46</v>
      </c>
      <c r="C63" s="28">
        <v>4067350</v>
      </c>
      <c r="D63" s="28">
        <v>4717350</v>
      </c>
      <c r="E63" s="28">
        <v>650000</v>
      </c>
      <c r="F63" s="24">
        <v>0.15980921238644327</v>
      </c>
    </row>
    <row r="64" spans="1:6" s="13" customFormat="1" ht="26.25">
      <c r="A64" s="29" t="s">
        <v>65</v>
      </c>
      <c r="B64" s="299">
        <v>11641086.290000001</v>
      </c>
      <c r="C64" s="28">
        <v>12145366</v>
      </c>
      <c r="D64" s="28">
        <v>11851871</v>
      </c>
      <c r="E64" s="28">
        <v>-293495</v>
      </c>
      <c r="F64" s="24">
        <v>-2.4165183659347937E-2</v>
      </c>
    </row>
    <row r="65" spans="1:6" s="36" customFormat="1" ht="26.25">
      <c r="A65" s="49" t="s">
        <v>66</v>
      </c>
      <c r="B65" s="300">
        <v>76452759.820000008</v>
      </c>
      <c r="C65" s="34">
        <v>78644338</v>
      </c>
      <c r="D65" s="34">
        <v>75228953</v>
      </c>
      <c r="E65" s="34">
        <v>-3415385</v>
      </c>
      <c r="F65" s="35">
        <v>-4.3428237643757646E-2</v>
      </c>
    </row>
    <row r="66" spans="1:6" s="13" customFormat="1" ht="26.25">
      <c r="A66" s="29" t="s">
        <v>67</v>
      </c>
      <c r="B66" s="299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99">
        <v>993528</v>
      </c>
      <c r="C67" s="28">
        <v>993528</v>
      </c>
      <c r="D67" s="28">
        <v>1404528</v>
      </c>
      <c r="E67" s="28">
        <v>411000</v>
      </c>
      <c r="F67" s="24">
        <v>0.41367731961253229</v>
      </c>
    </row>
    <row r="68" spans="1:6" s="13" customFormat="1" ht="26.25">
      <c r="A68" s="29" t="s">
        <v>69</v>
      </c>
      <c r="B68" s="299">
        <v>1375000</v>
      </c>
      <c r="C68" s="28">
        <v>1375000</v>
      </c>
      <c r="D68" s="28">
        <v>2074841</v>
      </c>
      <c r="E68" s="28">
        <v>699841</v>
      </c>
      <c r="F68" s="24">
        <v>0.50897527272727272</v>
      </c>
    </row>
    <row r="69" spans="1:6" s="13" customFormat="1" ht="26.25">
      <c r="A69" s="29" t="s">
        <v>70</v>
      </c>
      <c r="B69" s="299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50" t="s">
        <v>71</v>
      </c>
      <c r="B70" s="301">
        <v>78821287.820000008</v>
      </c>
      <c r="C70" s="51">
        <v>81012866</v>
      </c>
      <c r="D70" s="51">
        <v>78708322</v>
      </c>
      <c r="E70" s="51">
        <v>-2304544</v>
      </c>
      <c r="F70" s="35">
        <v>-2.8446642043252736E-2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44350283.630000003</v>
      </c>
      <c r="C73" s="23">
        <v>44897636</v>
      </c>
      <c r="D73" s="23">
        <v>40045729</v>
      </c>
      <c r="E73" s="19">
        <v>-4851907</v>
      </c>
      <c r="F73" s="24">
        <v>-0.10806597924220331</v>
      </c>
    </row>
    <row r="74" spans="1:6" s="13" customFormat="1" ht="26.25">
      <c r="A74" s="29" t="s">
        <v>74</v>
      </c>
      <c r="B74" s="298">
        <v>540515.27</v>
      </c>
      <c r="C74" s="23">
        <v>86477</v>
      </c>
      <c r="D74" s="23">
        <v>236477</v>
      </c>
      <c r="E74" s="28">
        <v>150000</v>
      </c>
      <c r="F74" s="24">
        <v>1.7345652601269701</v>
      </c>
    </row>
    <row r="75" spans="1:6" s="13" customFormat="1" ht="26.25">
      <c r="A75" s="29" t="s">
        <v>75</v>
      </c>
      <c r="B75" s="19">
        <v>15540435.020000001</v>
      </c>
      <c r="C75" s="23">
        <v>16463143</v>
      </c>
      <c r="D75" s="23">
        <v>18107649</v>
      </c>
      <c r="E75" s="28">
        <v>1644506</v>
      </c>
      <c r="F75" s="24">
        <v>9.9890160706251535E-2</v>
      </c>
    </row>
    <row r="76" spans="1:6" s="36" customFormat="1" ht="26.25">
      <c r="A76" s="49" t="s">
        <v>76</v>
      </c>
      <c r="B76" s="301">
        <v>60431233.920000009</v>
      </c>
      <c r="C76" s="51">
        <v>61447256</v>
      </c>
      <c r="D76" s="51">
        <v>58389855</v>
      </c>
      <c r="E76" s="34">
        <v>-3057401</v>
      </c>
      <c r="F76" s="35">
        <v>-4.9756509875721708E-2</v>
      </c>
    </row>
    <row r="77" spans="1:6" s="13" customFormat="1" ht="26.25">
      <c r="A77" s="29" t="s">
        <v>77</v>
      </c>
      <c r="B77" s="298">
        <v>145490.72</v>
      </c>
      <c r="C77" s="26">
        <v>195216</v>
      </c>
      <c r="D77" s="26">
        <v>284082</v>
      </c>
      <c r="E77" s="28">
        <v>88866</v>
      </c>
      <c r="F77" s="24">
        <v>0.45521883452176048</v>
      </c>
    </row>
    <row r="78" spans="1:6" s="13" customFormat="1" ht="26.25">
      <c r="A78" s="29" t="s">
        <v>78</v>
      </c>
      <c r="B78" s="23">
        <v>8666813.6899999995</v>
      </c>
      <c r="C78" s="23">
        <v>9305514</v>
      </c>
      <c r="D78" s="23">
        <v>9144907</v>
      </c>
      <c r="E78" s="28">
        <v>-160607</v>
      </c>
      <c r="F78" s="24">
        <v>-1.7259336776023333E-2</v>
      </c>
    </row>
    <row r="79" spans="1:6" s="13" customFormat="1" ht="26.25">
      <c r="A79" s="29" t="s">
        <v>79</v>
      </c>
      <c r="B79" s="19">
        <v>755556.01</v>
      </c>
      <c r="C79" s="19">
        <v>724992</v>
      </c>
      <c r="D79" s="19">
        <v>843310</v>
      </c>
      <c r="E79" s="28">
        <v>118318</v>
      </c>
      <c r="F79" s="24">
        <v>0.16319904219632769</v>
      </c>
    </row>
    <row r="80" spans="1:6" s="36" customFormat="1" ht="26.25">
      <c r="A80" s="32" t="s">
        <v>80</v>
      </c>
      <c r="B80" s="301">
        <v>9567860.4199999999</v>
      </c>
      <c r="C80" s="51">
        <v>10225722</v>
      </c>
      <c r="D80" s="51">
        <v>10272299</v>
      </c>
      <c r="E80" s="34">
        <v>46577</v>
      </c>
      <c r="F80" s="35">
        <v>4.5548861977667693E-3</v>
      </c>
    </row>
    <row r="81" spans="1:6" s="13" customFormat="1" ht="26.25">
      <c r="A81" s="29" t="s">
        <v>81</v>
      </c>
      <c r="B81" s="19">
        <v>350724.20999999996</v>
      </c>
      <c r="C81" s="19">
        <v>251367</v>
      </c>
      <c r="D81" s="19">
        <v>285667</v>
      </c>
      <c r="E81" s="28">
        <v>34300</v>
      </c>
      <c r="F81" s="24">
        <v>0.13645387023754113</v>
      </c>
    </row>
    <row r="82" spans="1:6" s="13" customFormat="1" ht="26.25">
      <c r="A82" s="29" t="s">
        <v>82</v>
      </c>
      <c r="B82" s="299">
        <v>7868210.4800000004</v>
      </c>
      <c r="C82" s="28">
        <v>8287047</v>
      </c>
      <c r="D82" s="28">
        <v>8507723</v>
      </c>
      <c r="E82" s="28">
        <v>220676</v>
      </c>
      <c r="F82" s="24">
        <v>2.6629027203538245E-2</v>
      </c>
    </row>
    <row r="83" spans="1:6" s="13" customFormat="1" ht="26.25">
      <c r="A83" s="29" t="s">
        <v>83</v>
      </c>
      <c r="B83" s="299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299">
        <v>341003</v>
      </c>
      <c r="C84" s="28">
        <v>341003</v>
      </c>
      <c r="D84" s="28">
        <v>752003</v>
      </c>
      <c r="E84" s="28">
        <v>411000</v>
      </c>
      <c r="F84" s="24">
        <v>1.2052679888446729</v>
      </c>
    </row>
    <row r="85" spans="1:6" s="36" customFormat="1" ht="26.25">
      <c r="A85" s="32" t="s">
        <v>85</v>
      </c>
      <c r="B85" s="300">
        <v>8559937.6900000013</v>
      </c>
      <c r="C85" s="34">
        <v>8879417</v>
      </c>
      <c r="D85" s="34">
        <v>9545393</v>
      </c>
      <c r="E85" s="34">
        <v>665976</v>
      </c>
      <c r="F85" s="35">
        <v>7.5002221429627647E-2</v>
      </c>
    </row>
    <row r="86" spans="1:6" s="13" customFormat="1" ht="26.25">
      <c r="A86" s="29" t="s">
        <v>86</v>
      </c>
      <c r="B86" s="299">
        <v>103850.19</v>
      </c>
      <c r="C86" s="28">
        <v>433971</v>
      </c>
      <c r="D86" s="28">
        <v>474275</v>
      </c>
      <c r="E86" s="28">
        <v>40304</v>
      </c>
      <c r="F86" s="24">
        <v>9.2872565217491487E-2</v>
      </c>
    </row>
    <row r="87" spans="1:6" s="13" customFormat="1" ht="26.25">
      <c r="A87" s="29" t="s">
        <v>87</v>
      </c>
      <c r="B87" s="299">
        <v>116973.47</v>
      </c>
      <c r="C87" s="28">
        <v>0</v>
      </c>
      <c r="D87" s="28">
        <v>0</v>
      </c>
      <c r="E87" s="28">
        <v>0</v>
      </c>
      <c r="F87" s="24">
        <v>0</v>
      </c>
    </row>
    <row r="88" spans="1:6" s="13" customFormat="1" ht="26.25">
      <c r="A88" s="38" t="s">
        <v>88</v>
      </c>
      <c r="B88" s="299">
        <v>41432.129999999997</v>
      </c>
      <c r="C88" s="28">
        <v>26500</v>
      </c>
      <c r="D88" s="28">
        <v>26500</v>
      </c>
      <c r="E88" s="28">
        <v>0</v>
      </c>
      <c r="F88" s="24">
        <v>0</v>
      </c>
    </row>
    <row r="89" spans="1:6" s="36" customFormat="1" ht="26.25">
      <c r="A89" s="52" t="s">
        <v>89</v>
      </c>
      <c r="B89" s="301">
        <v>262255.78999999998</v>
      </c>
      <c r="C89" s="51">
        <v>460471</v>
      </c>
      <c r="D89" s="51">
        <v>500775</v>
      </c>
      <c r="E89" s="51">
        <v>40304</v>
      </c>
      <c r="F89" s="35">
        <v>8.7527770478488337E-2</v>
      </c>
    </row>
    <row r="90" spans="1:6" s="13" customFormat="1" ht="26.25">
      <c r="A90" s="38" t="s">
        <v>90</v>
      </c>
      <c r="B90" s="299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36" customFormat="1" ht="27" thickBot="1">
      <c r="A91" s="53" t="s">
        <v>71</v>
      </c>
      <c r="B91" s="302">
        <v>78821287.820000008</v>
      </c>
      <c r="C91" s="54">
        <v>81012866</v>
      </c>
      <c r="D91" s="55">
        <v>78708322</v>
      </c>
      <c r="E91" s="54">
        <v>-2304544</v>
      </c>
      <c r="F91" s="56">
        <v>-2.8446642043252736E-2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topLeftCell="A19" zoomScale="50" zoomScaleNormal="50" workbookViewId="0">
      <selection activeCell="M46" sqref="M46"/>
    </sheetView>
  </sheetViews>
  <sheetFormatPr defaultRowHeight="15.75"/>
  <cols>
    <col min="1" max="1" width="121.140625" style="75" customWidth="1"/>
    <col min="2" max="2" width="32.7109375" style="76" customWidth="1"/>
    <col min="3" max="4" width="32.85546875" style="76" customWidth="1"/>
    <col min="5" max="5" width="35.42578125" style="75" customWidth="1"/>
    <col min="6" max="6" width="25.140625" style="75" customWidth="1"/>
    <col min="7" max="254" width="9.140625" style="75"/>
    <col min="255" max="255" width="121.140625" style="75" customWidth="1"/>
    <col min="256" max="256" width="32.7109375" style="75" customWidth="1"/>
    <col min="257" max="258" width="32.85546875" style="75" customWidth="1"/>
    <col min="259" max="259" width="39.42578125" style="75" customWidth="1"/>
    <col min="260" max="260" width="25.5703125" style="75" customWidth="1"/>
    <col min="261" max="261" width="35.42578125" style="75" customWidth="1"/>
    <col min="262" max="262" width="25.140625" style="75" customWidth="1"/>
    <col min="263" max="510" width="9.140625" style="75"/>
    <col min="511" max="511" width="121.140625" style="75" customWidth="1"/>
    <col min="512" max="512" width="32.7109375" style="75" customWidth="1"/>
    <col min="513" max="514" width="32.85546875" style="75" customWidth="1"/>
    <col min="515" max="515" width="39.42578125" style="75" customWidth="1"/>
    <col min="516" max="516" width="25.5703125" style="75" customWidth="1"/>
    <col min="517" max="517" width="35.42578125" style="75" customWidth="1"/>
    <col min="518" max="518" width="25.140625" style="75" customWidth="1"/>
    <col min="519" max="766" width="9.140625" style="75"/>
    <col min="767" max="767" width="121.140625" style="75" customWidth="1"/>
    <col min="768" max="768" width="32.7109375" style="75" customWidth="1"/>
    <col min="769" max="770" width="32.85546875" style="75" customWidth="1"/>
    <col min="771" max="771" width="39.42578125" style="75" customWidth="1"/>
    <col min="772" max="772" width="25.5703125" style="75" customWidth="1"/>
    <col min="773" max="773" width="35.42578125" style="75" customWidth="1"/>
    <col min="774" max="774" width="25.140625" style="75" customWidth="1"/>
    <col min="775" max="1022" width="9.140625" style="75"/>
    <col min="1023" max="1023" width="121.140625" style="75" customWidth="1"/>
    <col min="1024" max="1024" width="32.7109375" style="75" customWidth="1"/>
    <col min="1025" max="1026" width="32.85546875" style="75" customWidth="1"/>
    <col min="1027" max="1027" width="39.42578125" style="75" customWidth="1"/>
    <col min="1028" max="1028" width="25.5703125" style="75" customWidth="1"/>
    <col min="1029" max="1029" width="35.42578125" style="75" customWidth="1"/>
    <col min="1030" max="1030" width="25.140625" style="75" customWidth="1"/>
    <col min="1031" max="1278" width="9.140625" style="75"/>
    <col min="1279" max="1279" width="121.140625" style="75" customWidth="1"/>
    <col min="1280" max="1280" width="32.7109375" style="75" customWidth="1"/>
    <col min="1281" max="1282" width="32.85546875" style="75" customWidth="1"/>
    <col min="1283" max="1283" width="39.42578125" style="75" customWidth="1"/>
    <col min="1284" max="1284" width="25.5703125" style="75" customWidth="1"/>
    <col min="1285" max="1285" width="35.42578125" style="75" customWidth="1"/>
    <col min="1286" max="1286" width="25.140625" style="75" customWidth="1"/>
    <col min="1287" max="1534" width="9.140625" style="75"/>
    <col min="1535" max="1535" width="121.140625" style="75" customWidth="1"/>
    <col min="1536" max="1536" width="32.7109375" style="75" customWidth="1"/>
    <col min="1537" max="1538" width="32.85546875" style="75" customWidth="1"/>
    <col min="1539" max="1539" width="39.42578125" style="75" customWidth="1"/>
    <col min="1540" max="1540" width="25.5703125" style="75" customWidth="1"/>
    <col min="1541" max="1541" width="35.42578125" style="75" customWidth="1"/>
    <col min="1542" max="1542" width="25.140625" style="75" customWidth="1"/>
    <col min="1543" max="1790" width="9.140625" style="75"/>
    <col min="1791" max="1791" width="121.140625" style="75" customWidth="1"/>
    <col min="1792" max="1792" width="32.7109375" style="75" customWidth="1"/>
    <col min="1793" max="1794" width="32.85546875" style="75" customWidth="1"/>
    <col min="1795" max="1795" width="39.42578125" style="75" customWidth="1"/>
    <col min="1796" max="1796" width="25.5703125" style="75" customWidth="1"/>
    <col min="1797" max="1797" width="35.42578125" style="75" customWidth="1"/>
    <col min="1798" max="1798" width="25.140625" style="75" customWidth="1"/>
    <col min="1799" max="2046" width="9.140625" style="75"/>
    <col min="2047" max="2047" width="121.140625" style="75" customWidth="1"/>
    <col min="2048" max="2048" width="32.7109375" style="75" customWidth="1"/>
    <col min="2049" max="2050" width="32.85546875" style="75" customWidth="1"/>
    <col min="2051" max="2051" width="39.42578125" style="75" customWidth="1"/>
    <col min="2052" max="2052" width="25.5703125" style="75" customWidth="1"/>
    <col min="2053" max="2053" width="35.42578125" style="75" customWidth="1"/>
    <col min="2054" max="2054" width="25.140625" style="75" customWidth="1"/>
    <col min="2055" max="2302" width="9.140625" style="75"/>
    <col min="2303" max="2303" width="121.140625" style="75" customWidth="1"/>
    <col min="2304" max="2304" width="32.7109375" style="75" customWidth="1"/>
    <col min="2305" max="2306" width="32.85546875" style="75" customWidth="1"/>
    <col min="2307" max="2307" width="39.42578125" style="75" customWidth="1"/>
    <col min="2308" max="2308" width="25.5703125" style="75" customWidth="1"/>
    <col min="2309" max="2309" width="35.42578125" style="75" customWidth="1"/>
    <col min="2310" max="2310" width="25.140625" style="75" customWidth="1"/>
    <col min="2311" max="2558" width="9.140625" style="75"/>
    <col min="2559" max="2559" width="121.140625" style="75" customWidth="1"/>
    <col min="2560" max="2560" width="32.7109375" style="75" customWidth="1"/>
    <col min="2561" max="2562" width="32.85546875" style="75" customWidth="1"/>
    <col min="2563" max="2563" width="39.42578125" style="75" customWidth="1"/>
    <col min="2564" max="2564" width="25.5703125" style="75" customWidth="1"/>
    <col min="2565" max="2565" width="35.42578125" style="75" customWidth="1"/>
    <col min="2566" max="2566" width="25.140625" style="75" customWidth="1"/>
    <col min="2567" max="2814" width="9.140625" style="75"/>
    <col min="2815" max="2815" width="121.140625" style="75" customWidth="1"/>
    <col min="2816" max="2816" width="32.7109375" style="75" customWidth="1"/>
    <col min="2817" max="2818" width="32.85546875" style="75" customWidth="1"/>
    <col min="2819" max="2819" width="39.42578125" style="75" customWidth="1"/>
    <col min="2820" max="2820" width="25.5703125" style="75" customWidth="1"/>
    <col min="2821" max="2821" width="35.42578125" style="75" customWidth="1"/>
    <col min="2822" max="2822" width="25.140625" style="75" customWidth="1"/>
    <col min="2823" max="3070" width="9.140625" style="75"/>
    <col min="3071" max="3071" width="121.140625" style="75" customWidth="1"/>
    <col min="3072" max="3072" width="32.7109375" style="75" customWidth="1"/>
    <col min="3073" max="3074" width="32.85546875" style="75" customWidth="1"/>
    <col min="3075" max="3075" width="39.42578125" style="75" customWidth="1"/>
    <col min="3076" max="3076" width="25.5703125" style="75" customWidth="1"/>
    <col min="3077" max="3077" width="35.42578125" style="75" customWidth="1"/>
    <col min="3078" max="3078" width="25.140625" style="75" customWidth="1"/>
    <col min="3079" max="3326" width="9.140625" style="75"/>
    <col min="3327" max="3327" width="121.140625" style="75" customWidth="1"/>
    <col min="3328" max="3328" width="32.7109375" style="75" customWidth="1"/>
    <col min="3329" max="3330" width="32.85546875" style="75" customWidth="1"/>
    <col min="3331" max="3331" width="39.42578125" style="75" customWidth="1"/>
    <col min="3332" max="3332" width="25.5703125" style="75" customWidth="1"/>
    <col min="3333" max="3333" width="35.42578125" style="75" customWidth="1"/>
    <col min="3334" max="3334" width="25.140625" style="75" customWidth="1"/>
    <col min="3335" max="3582" width="9.140625" style="75"/>
    <col min="3583" max="3583" width="121.140625" style="75" customWidth="1"/>
    <col min="3584" max="3584" width="32.7109375" style="75" customWidth="1"/>
    <col min="3585" max="3586" width="32.85546875" style="75" customWidth="1"/>
    <col min="3587" max="3587" width="39.42578125" style="75" customWidth="1"/>
    <col min="3588" max="3588" width="25.5703125" style="75" customWidth="1"/>
    <col min="3589" max="3589" width="35.42578125" style="75" customWidth="1"/>
    <col min="3590" max="3590" width="25.140625" style="75" customWidth="1"/>
    <col min="3591" max="3838" width="9.140625" style="75"/>
    <col min="3839" max="3839" width="121.140625" style="75" customWidth="1"/>
    <col min="3840" max="3840" width="32.7109375" style="75" customWidth="1"/>
    <col min="3841" max="3842" width="32.85546875" style="75" customWidth="1"/>
    <col min="3843" max="3843" width="39.42578125" style="75" customWidth="1"/>
    <col min="3844" max="3844" width="25.5703125" style="75" customWidth="1"/>
    <col min="3845" max="3845" width="35.42578125" style="75" customWidth="1"/>
    <col min="3846" max="3846" width="25.140625" style="75" customWidth="1"/>
    <col min="3847" max="4094" width="9.140625" style="75"/>
    <col min="4095" max="4095" width="121.140625" style="75" customWidth="1"/>
    <col min="4096" max="4096" width="32.7109375" style="75" customWidth="1"/>
    <col min="4097" max="4098" width="32.85546875" style="75" customWidth="1"/>
    <col min="4099" max="4099" width="39.42578125" style="75" customWidth="1"/>
    <col min="4100" max="4100" width="25.5703125" style="75" customWidth="1"/>
    <col min="4101" max="4101" width="35.42578125" style="75" customWidth="1"/>
    <col min="4102" max="4102" width="25.140625" style="75" customWidth="1"/>
    <col min="4103" max="4350" width="9.140625" style="75"/>
    <col min="4351" max="4351" width="121.140625" style="75" customWidth="1"/>
    <col min="4352" max="4352" width="32.7109375" style="75" customWidth="1"/>
    <col min="4353" max="4354" width="32.85546875" style="75" customWidth="1"/>
    <col min="4355" max="4355" width="39.42578125" style="75" customWidth="1"/>
    <col min="4356" max="4356" width="25.5703125" style="75" customWidth="1"/>
    <col min="4357" max="4357" width="35.42578125" style="75" customWidth="1"/>
    <col min="4358" max="4358" width="25.140625" style="75" customWidth="1"/>
    <col min="4359" max="4606" width="9.140625" style="75"/>
    <col min="4607" max="4607" width="121.140625" style="75" customWidth="1"/>
    <col min="4608" max="4608" width="32.7109375" style="75" customWidth="1"/>
    <col min="4609" max="4610" width="32.85546875" style="75" customWidth="1"/>
    <col min="4611" max="4611" width="39.42578125" style="75" customWidth="1"/>
    <col min="4612" max="4612" width="25.5703125" style="75" customWidth="1"/>
    <col min="4613" max="4613" width="35.42578125" style="75" customWidth="1"/>
    <col min="4614" max="4614" width="25.140625" style="75" customWidth="1"/>
    <col min="4615" max="4862" width="9.140625" style="75"/>
    <col min="4863" max="4863" width="121.140625" style="75" customWidth="1"/>
    <col min="4864" max="4864" width="32.7109375" style="75" customWidth="1"/>
    <col min="4865" max="4866" width="32.85546875" style="75" customWidth="1"/>
    <col min="4867" max="4867" width="39.42578125" style="75" customWidth="1"/>
    <col min="4868" max="4868" width="25.5703125" style="75" customWidth="1"/>
    <col min="4869" max="4869" width="35.42578125" style="75" customWidth="1"/>
    <col min="4870" max="4870" width="25.140625" style="75" customWidth="1"/>
    <col min="4871" max="5118" width="9.140625" style="75"/>
    <col min="5119" max="5119" width="121.140625" style="75" customWidth="1"/>
    <col min="5120" max="5120" width="32.7109375" style="75" customWidth="1"/>
    <col min="5121" max="5122" width="32.85546875" style="75" customWidth="1"/>
    <col min="5123" max="5123" width="39.42578125" style="75" customWidth="1"/>
    <col min="5124" max="5124" width="25.5703125" style="75" customWidth="1"/>
    <col min="5125" max="5125" width="35.42578125" style="75" customWidth="1"/>
    <col min="5126" max="5126" width="25.140625" style="75" customWidth="1"/>
    <col min="5127" max="5374" width="9.140625" style="75"/>
    <col min="5375" max="5375" width="121.140625" style="75" customWidth="1"/>
    <col min="5376" max="5376" width="32.7109375" style="75" customWidth="1"/>
    <col min="5377" max="5378" width="32.85546875" style="75" customWidth="1"/>
    <col min="5379" max="5379" width="39.42578125" style="75" customWidth="1"/>
    <col min="5380" max="5380" width="25.5703125" style="75" customWidth="1"/>
    <col min="5381" max="5381" width="35.42578125" style="75" customWidth="1"/>
    <col min="5382" max="5382" width="25.140625" style="75" customWidth="1"/>
    <col min="5383" max="5630" width="9.140625" style="75"/>
    <col min="5631" max="5631" width="121.140625" style="75" customWidth="1"/>
    <col min="5632" max="5632" width="32.7109375" style="75" customWidth="1"/>
    <col min="5633" max="5634" width="32.85546875" style="75" customWidth="1"/>
    <col min="5635" max="5635" width="39.42578125" style="75" customWidth="1"/>
    <col min="5636" max="5636" width="25.5703125" style="75" customWidth="1"/>
    <col min="5637" max="5637" width="35.42578125" style="75" customWidth="1"/>
    <col min="5638" max="5638" width="25.140625" style="75" customWidth="1"/>
    <col min="5639" max="5886" width="9.140625" style="75"/>
    <col min="5887" max="5887" width="121.140625" style="75" customWidth="1"/>
    <col min="5888" max="5888" width="32.7109375" style="75" customWidth="1"/>
    <col min="5889" max="5890" width="32.85546875" style="75" customWidth="1"/>
    <col min="5891" max="5891" width="39.42578125" style="75" customWidth="1"/>
    <col min="5892" max="5892" width="25.5703125" style="75" customWidth="1"/>
    <col min="5893" max="5893" width="35.42578125" style="75" customWidth="1"/>
    <col min="5894" max="5894" width="25.140625" style="75" customWidth="1"/>
    <col min="5895" max="6142" width="9.140625" style="75"/>
    <col min="6143" max="6143" width="121.140625" style="75" customWidth="1"/>
    <col min="6144" max="6144" width="32.7109375" style="75" customWidth="1"/>
    <col min="6145" max="6146" width="32.85546875" style="75" customWidth="1"/>
    <col min="6147" max="6147" width="39.42578125" style="75" customWidth="1"/>
    <col min="6148" max="6148" width="25.5703125" style="75" customWidth="1"/>
    <col min="6149" max="6149" width="35.42578125" style="75" customWidth="1"/>
    <col min="6150" max="6150" width="25.140625" style="75" customWidth="1"/>
    <col min="6151" max="6398" width="9.140625" style="75"/>
    <col min="6399" max="6399" width="121.140625" style="75" customWidth="1"/>
    <col min="6400" max="6400" width="32.7109375" style="75" customWidth="1"/>
    <col min="6401" max="6402" width="32.85546875" style="75" customWidth="1"/>
    <col min="6403" max="6403" width="39.42578125" style="75" customWidth="1"/>
    <col min="6404" max="6404" width="25.5703125" style="75" customWidth="1"/>
    <col min="6405" max="6405" width="35.42578125" style="75" customWidth="1"/>
    <col min="6406" max="6406" width="25.140625" style="75" customWidth="1"/>
    <col min="6407" max="6654" width="9.140625" style="75"/>
    <col min="6655" max="6655" width="121.140625" style="75" customWidth="1"/>
    <col min="6656" max="6656" width="32.7109375" style="75" customWidth="1"/>
    <col min="6657" max="6658" width="32.85546875" style="75" customWidth="1"/>
    <col min="6659" max="6659" width="39.42578125" style="75" customWidth="1"/>
    <col min="6660" max="6660" width="25.5703125" style="75" customWidth="1"/>
    <col min="6661" max="6661" width="35.42578125" style="75" customWidth="1"/>
    <col min="6662" max="6662" width="25.140625" style="75" customWidth="1"/>
    <col min="6663" max="6910" width="9.140625" style="75"/>
    <col min="6911" max="6911" width="121.140625" style="75" customWidth="1"/>
    <col min="6912" max="6912" width="32.7109375" style="75" customWidth="1"/>
    <col min="6913" max="6914" width="32.85546875" style="75" customWidth="1"/>
    <col min="6915" max="6915" width="39.42578125" style="75" customWidth="1"/>
    <col min="6916" max="6916" width="25.5703125" style="75" customWidth="1"/>
    <col min="6917" max="6917" width="35.42578125" style="75" customWidth="1"/>
    <col min="6918" max="6918" width="25.140625" style="75" customWidth="1"/>
    <col min="6919" max="7166" width="9.140625" style="75"/>
    <col min="7167" max="7167" width="121.140625" style="75" customWidth="1"/>
    <col min="7168" max="7168" width="32.7109375" style="75" customWidth="1"/>
    <col min="7169" max="7170" width="32.85546875" style="75" customWidth="1"/>
    <col min="7171" max="7171" width="39.42578125" style="75" customWidth="1"/>
    <col min="7172" max="7172" width="25.5703125" style="75" customWidth="1"/>
    <col min="7173" max="7173" width="35.42578125" style="75" customWidth="1"/>
    <col min="7174" max="7174" width="25.140625" style="75" customWidth="1"/>
    <col min="7175" max="7422" width="9.140625" style="75"/>
    <col min="7423" max="7423" width="121.140625" style="75" customWidth="1"/>
    <col min="7424" max="7424" width="32.7109375" style="75" customWidth="1"/>
    <col min="7425" max="7426" width="32.85546875" style="75" customWidth="1"/>
    <col min="7427" max="7427" width="39.42578125" style="75" customWidth="1"/>
    <col min="7428" max="7428" width="25.5703125" style="75" customWidth="1"/>
    <col min="7429" max="7429" width="35.42578125" style="75" customWidth="1"/>
    <col min="7430" max="7430" width="25.140625" style="75" customWidth="1"/>
    <col min="7431" max="7678" width="9.140625" style="75"/>
    <col min="7679" max="7679" width="121.140625" style="75" customWidth="1"/>
    <col min="7680" max="7680" width="32.7109375" style="75" customWidth="1"/>
    <col min="7681" max="7682" width="32.85546875" style="75" customWidth="1"/>
    <col min="7683" max="7683" width="39.42578125" style="75" customWidth="1"/>
    <col min="7684" max="7684" width="25.5703125" style="75" customWidth="1"/>
    <col min="7685" max="7685" width="35.42578125" style="75" customWidth="1"/>
    <col min="7686" max="7686" width="25.140625" style="75" customWidth="1"/>
    <col min="7687" max="7934" width="9.140625" style="75"/>
    <col min="7935" max="7935" width="121.140625" style="75" customWidth="1"/>
    <col min="7936" max="7936" width="32.7109375" style="75" customWidth="1"/>
    <col min="7937" max="7938" width="32.85546875" style="75" customWidth="1"/>
    <col min="7939" max="7939" width="39.42578125" style="75" customWidth="1"/>
    <col min="7940" max="7940" width="25.5703125" style="75" customWidth="1"/>
    <col min="7941" max="7941" width="35.42578125" style="75" customWidth="1"/>
    <col min="7942" max="7942" width="25.140625" style="75" customWidth="1"/>
    <col min="7943" max="8190" width="9.140625" style="75"/>
    <col min="8191" max="8191" width="121.140625" style="75" customWidth="1"/>
    <col min="8192" max="8192" width="32.7109375" style="75" customWidth="1"/>
    <col min="8193" max="8194" width="32.85546875" style="75" customWidth="1"/>
    <col min="8195" max="8195" width="39.42578125" style="75" customWidth="1"/>
    <col min="8196" max="8196" width="25.5703125" style="75" customWidth="1"/>
    <col min="8197" max="8197" width="35.42578125" style="75" customWidth="1"/>
    <col min="8198" max="8198" width="25.140625" style="75" customWidth="1"/>
    <col min="8199" max="8446" width="9.140625" style="75"/>
    <col min="8447" max="8447" width="121.140625" style="75" customWidth="1"/>
    <col min="8448" max="8448" width="32.7109375" style="75" customWidth="1"/>
    <col min="8449" max="8450" width="32.85546875" style="75" customWidth="1"/>
    <col min="8451" max="8451" width="39.42578125" style="75" customWidth="1"/>
    <col min="8452" max="8452" width="25.5703125" style="75" customWidth="1"/>
    <col min="8453" max="8453" width="35.42578125" style="75" customWidth="1"/>
    <col min="8454" max="8454" width="25.140625" style="75" customWidth="1"/>
    <col min="8455" max="8702" width="9.140625" style="75"/>
    <col min="8703" max="8703" width="121.140625" style="75" customWidth="1"/>
    <col min="8704" max="8704" width="32.7109375" style="75" customWidth="1"/>
    <col min="8705" max="8706" width="32.85546875" style="75" customWidth="1"/>
    <col min="8707" max="8707" width="39.42578125" style="75" customWidth="1"/>
    <col min="8708" max="8708" width="25.5703125" style="75" customWidth="1"/>
    <col min="8709" max="8709" width="35.42578125" style="75" customWidth="1"/>
    <col min="8710" max="8710" width="25.140625" style="75" customWidth="1"/>
    <col min="8711" max="8958" width="9.140625" style="75"/>
    <col min="8959" max="8959" width="121.140625" style="75" customWidth="1"/>
    <col min="8960" max="8960" width="32.7109375" style="75" customWidth="1"/>
    <col min="8961" max="8962" width="32.85546875" style="75" customWidth="1"/>
    <col min="8963" max="8963" width="39.42578125" style="75" customWidth="1"/>
    <col min="8964" max="8964" width="25.5703125" style="75" customWidth="1"/>
    <col min="8965" max="8965" width="35.42578125" style="75" customWidth="1"/>
    <col min="8966" max="8966" width="25.140625" style="75" customWidth="1"/>
    <col min="8967" max="9214" width="9.140625" style="75"/>
    <col min="9215" max="9215" width="121.140625" style="75" customWidth="1"/>
    <col min="9216" max="9216" width="32.7109375" style="75" customWidth="1"/>
    <col min="9217" max="9218" width="32.85546875" style="75" customWidth="1"/>
    <col min="9219" max="9219" width="39.42578125" style="75" customWidth="1"/>
    <col min="9220" max="9220" width="25.5703125" style="75" customWidth="1"/>
    <col min="9221" max="9221" width="35.42578125" style="75" customWidth="1"/>
    <col min="9222" max="9222" width="25.140625" style="75" customWidth="1"/>
    <col min="9223" max="9470" width="9.140625" style="75"/>
    <col min="9471" max="9471" width="121.140625" style="75" customWidth="1"/>
    <col min="9472" max="9472" width="32.7109375" style="75" customWidth="1"/>
    <col min="9473" max="9474" width="32.85546875" style="75" customWidth="1"/>
    <col min="9475" max="9475" width="39.42578125" style="75" customWidth="1"/>
    <col min="9476" max="9476" width="25.5703125" style="75" customWidth="1"/>
    <col min="9477" max="9477" width="35.42578125" style="75" customWidth="1"/>
    <col min="9478" max="9478" width="25.140625" style="75" customWidth="1"/>
    <col min="9479" max="9726" width="9.140625" style="75"/>
    <col min="9727" max="9727" width="121.140625" style="75" customWidth="1"/>
    <col min="9728" max="9728" width="32.7109375" style="75" customWidth="1"/>
    <col min="9729" max="9730" width="32.85546875" style="75" customWidth="1"/>
    <col min="9731" max="9731" width="39.42578125" style="75" customWidth="1"/>
    <col min="9732" max="9732" width="25.5703125" style="75" customWidth="1"/>
    <col min="9733" max="9733" width="35.42578125" style="75" customWidth="1"/>
    <col min="9734" max="9734" width="25.140625" style="75" customWidth="1"/>
    <col min="9735" max="9982" width="9.140625" style="75"/>
    <col min="9983" max="9983" width="121.140625" style="75" customWidth="1"/>
    <col min="9984" max="9984" width="32.7109375" style="75" customWidth="1"/>
    <col min="9985" max="9986" width="32.85546875" style="75" customWidth="1"/>
    <col min="9987" max="9987" width="39.42578125" style="75" customWidth="1"/>
    <col min="9988" max="9988" width="25.5703125" style="75" customWidth="1"/>
    <col min="9989" max="9989" width="35.42578125" style="75" customWidth="1"/>
    <col min="9990" max="9990" width="25.140625" style="75" customWidth="1"/>
    <col min="9991" max="10238" width="9.140625" style="75"/>
    <col min="10239" max="10239" width="121.140625" style="75" customWidth="1"/>
    <col min="10240" max="10240" width="32.7109375" style="75" customWidth="1"/>
    <col min="10241" max="10242" width="32.85546875" style="75" customWidth="1"/>
    <col min="10243" max="10243" width="39.42578125" style="75" customWidth="1"/>
    <col min="10244" max="10244" width="25.5703125" style="75" customWidth="1"/>
    <col min="10245" max="10245" width="35.42578125" style="75" customWidth="1"/>
    <col min="10246" max="10246" width="25.140625" style="75" customWidth="1"/>
    <col min="10247" max="10494" width="9.140625" style="75"/>
    <col min="10495" max="10495" width="121.140625" style="75" customWidth="1"/>
    <col min="10496" max="10496" width="32.7109375" style="75" customWidth="1"/>
    <col min="10497" max="10498" width="32.85546875" style="75" customWidth="1"/>
    <col min="10499" max="10499" width="39.42578125" style="75" customWidth="1"/>
    <col min="10500" max="10500" width="25.5703125" style="75" customWidth="1"/>
    <col min="10501" max="10501" width="35.42578125" style="75" customWidth="1"/>
    <col min="10502" max="10502" width="25.140625" style="75" customWidth="1"/>
    <col min="10503" max="10750" width="9.140625" style="75"/>
    <col min="10751" max="10751" width="121.140625" style="75" customWidth="1"/>
    <col min="10752" max="10752" width="32.7109375" style="75" customWidth="1"/>
    <col min="10753" max="10754" width="32.85546875" style="75" customWidth="1"/>
    <col min="10755" max="10755" width="39.42578125" style="75" customWidth="1"/>
    <col min="10756" max="10756" width="25.5703125" style="75" customWidth="1"/>
    <col min="10757" max="10757" width="35.42578125" style="75" customWidth="1"/>
    <col min="10758" max="10758" width="25.140625" style="75" customWidth="1"/>
    <col min="10759" max="11006" width="9.140625" style="75"/>
    <col min="11007" max="11007" width="121.140625" style="75" customWidth="1"/>
    <col min="11008" max="11008" width="32.7109375" style="75" customWidth="1"/>
    <col min="11009" max="11010" width="32.85546875" style="75" customWidth="1"/>
    <col min="11011" max="11011" width="39.42578125" style="75" customWidth="1"/>
    <col min="11012" max="11012" width="25.5703125" style="75" customWidth="1"/>
    <col min="11013" max="11013" width="35.42578125" style="75" customWidth="1"/>
    <col min="11014" max="11014" width="25.140625" style="75" customWidth="1"/>
    <col min="11015" max="11262" width="9.140625" style="75"/>
    <col min="11263" max="11263" width="121.140625" style="75" customWidth="1"/>
    <col min="11264" max="11264" width="32.7109375" style="75" customWidth="1"/>
    <col min="11265" max="11266" width="32.85546875" style="75" customWidth="1"/>
    <col min="11267" max="11267" width="39.42578125" style="75" customWidth="1"/>
    <col min="11268" max="11268" width="25.5703125" style="75" customWidth="1"/>
    <col min="11269" max="11269" width="35.42578125" style="75" customWidth="1"/>
    <col min="11270" max="11270" width="25.140625" style="75" customWidth="1"/>
    <col min="11271" max="11518" width="9.140625" style="75"/>
    <col min="11519" max="11519" width="121.140625" style="75" customWidth="1"/>
    <col min="11520" max="11520" width="32.7109375" style="75" customWidth="1"/>
    <col min="11521" max="11522" width="32.85546875" style="75" customWidth="1"/>
    <col min="11523" max="11523" width="39.42578125" style="75" customWidth="1"/>
    <col min="11524" max="11524" width="25.5703125" style="75" customWidth="1"/>
    <col min="11525" max="11525" width="35.42578125" style="75" customWidth="1"/>
    <col min="11526" max="11526" width="25.140625" style="75" customWidth="1"/>
    <col min="11527" max="11774" width="9.140625" style="75"/>
    <col min="11775" max="11775" width="121.140625" style="75" customWidth="1"/>
    <col min="11776" max="11776" width="32.7109375" style="75" customWidth="1"/>
    <col min="11777" max="11778" width="32.85546875" style="75" customWidth="1"/>
    <col min="11779" max="11779" width="39.42578125" style="75" customWidth="1"/>
    <col min="11780" max="11780" width="25.5703125" style="75" customWidth="1"/>
    <col min="11781" max="11781" width="35.42578125" style="75" customWidth="1"/>
    <col min="11782" max="11782" width="25.140625" style="75" customWidth="1"/>
    <col min="11783" max="12030" width="9.140625" style="75"/>
    <col min="12031" max="12031" width="121.140625" style="75" customWidth="1"/>
    <col min="12032" max="12032" width="32.7109375" style="75" customWidth="1"/>
    <col min="12033" max="12034" width="32.85546875" style="75" customWidth="1"/>
    <col min="12035" max="12035" width="39.42578125" style="75" customWidth="1"/>
    <col min="12036" max="12036" width="25.5703125" style="75" customWidth="1"/>
    <col min="12037" max="12037" width="35.42578125" style="75" customWidth="1"/>
    <col min="12038" max="12038" width="25.140625" style="75" customWidth="1"/>
    <col min="12039" max="12286" width="9.140625" style="75"/>
    <col min="12287" max="12287" width="121.140625" style="75" customWidth="1"/>
    <col min="12288" max="12288" width="32.7109375" style="75" customWidth="1"/>
    <col min="12289" max="12290" width="32.85546875" style="75" customWidth="1"/>
    <col min="12291" max="12291" width="39.42578125" style="75" customWidth="1"/>
    <col min="12292" max="12292" width="25.5703125" style="75" customWidth="1"/>
    <col min="12293" max="12293" width="35.42578125" style="75" customWidth="1"/>
    <col min="12294" max="12294" width="25.140625" style="75" customWidth="1"/>
    <col min="12295" max="12542" width="9.140625" style="75"/>
    <col min="12543" max="12543" width="121.140625" style="75" customWidth="1"/>
    <col min="12544" max="12544" width="32.7109375" style="75" customWidth="1"/>
    <col min="12545" max="12546" width="32.85546875" style="75" customWidth="1"/>
    <col min="12547" max="12547" width="39.42578125" style="75" customWidth="1"/>
    <col min="12548" max="12548" width="25.5703125" style="75" customWidth="1"/>
    <col min="12549" max="12549" width="35.42578125" style="75" customWidth="1"/>
    <col min="12550" max="12550" width="25.140625" style="75" customWidth="1"/>
    <col min="12551" max="12798" width="9.140625" style="75"/>
    <col min="12799" max="12799" width="121.140625" style="75" customWidth="1"/>
    <col min="12800" max="12800" width="32.7109375" style="75" customWidth="1"/>
    <col min="12801" max="12802" width="32.85546875" style="75" customWidth="1"/>
    <col min="12803" max="12803" width="39.42578125" style="75" customWidth="1"/>
    <col min="12804" max="12804" width="25.5703125" style="75" customWidth="1"/>
    <col min="12805" max="12805" width="35.42578125" style="75" customWidth="1"/>
    <col min="12806" max="12806" width="25.140625" style="75" customWidth="1"/>
    <col min="12807" max="13054" width="9.140625" style="75"/>
    <col min="13055" max="13055" width="121.140625" style="75" customWidth="1"/>
    <col min="13056" max="13056" width="32.7109375" style="75" customWidth="1"/>
    <col min="13057" max="13058" width="32.85546875" style="75" customWidth="1"/>
    <col min="13059" max="13059" width="39.42578125" style="75" customWidth="1"/>
    <col min="13060" max="13060" width="25.5703125" style="75" customWidth="1"/>
    <col min="13061" max="13061" width="35.42578125" style="75" customWidth="1"/>
    <col min="13062" max="13062" width="25.140625" style="75" customWidth="1"/>
    <col min="13063" max="13310" width="9.140625" style="75"/>
    <col min="13311" max="13311" width="121.140625" style="75" customWidth="1"/>
    <col min="13312" max="13312" width="32.7109375" style="75" customWidth="1"/>
    <col min="13313" max="13314" width="32.85546875" style="75" customWidth="1"/>
    <col min="13315" max="13315" width="39.42578125" style="75" customWidth="1"/>
    <col min="13316" max="13316" width="25.5703125" style="75" customWidth="1"/>
    <col min="13317" max="13317" width="35.42578125" style="75" customWidth="1"/>
    <col min="13318" max="13318" width="25.140625" style="75" customWidth="1"/>
    <col min="13319" max="13566" width="9.140625" style="75"/>
    <col min="13567" max="13567" width="121.140625" style="75" customWidth="1"/>
    <col min="13568" max="13568" width="32.7109375" style="75" customWidth="1"/>
    <col min="13569" max="13570" width="32.85546875" style="75" customWidth="1"/>
    <col min="13571" max="13571" width="39.42578125" style="75" customWidth="1"/>
    <col min="13572" max="13572" width="25.5703125" style="75" customWidth="1"/>
    <col min="13573" max="13573" width="35.42578125" style="75" customWidth="1"/>
    <col min="13574" max="13574" width="25.140625" style="75" customWidth="1"/>
    <col min="13575" max="13822" width="9.140625" style="75"/>
    <col min="13823" max="13823" width="121.140625" style="75" customWidth="1"/>
    <col min="13824" max="13824" width="32.7109375" style="75" customWidth="1"/>
    <col min="13825" max="13826" width="32.85546875" style="75" customWidth="1"/>
    <col min="13827" max="13827" width="39.42578125" style="75" customWidth="1"/>
    <col min="13828" max="13828" width="25.5703125" style="75" customWidth="1"/>
    <col min="13829" max="13829" width="35.42578125" style="75" customWidth="1"/>
    <col min="13830" max="13830" width="25.140625" style="75" customWidth="1"/>
    <col min="13831" max="14078" width="9.140625" style="75"/>
    <col min="14079" max="14079" width="121.140625" style="75" customWidth="1"/>
    <col min="14080" max="14080" width="32.7109375" style="75" customWidth="1"/>
    <col min="14081" max="14082" width="32.85546875" style="75" customWidth="1"/>
    <col min="14083" max="14083" width="39.42578125" style="75" customWidth="1"/>
    <col min="14084" max="14084" width="25.5703125" style="75" customWidth="1"/>
    <col min="14085" max="14085" width="35.42578125" style="75" customWidth="1"/>
    <col min="14086" max="14086" width="25.140625" style="75" customWidth="1"/>
    <col min="14087" max="14334" width="9.140625" style="75"/>
    <col min="14335" max="14335" width="121.140625" style="75" customWidth="1"/>
    <col min="14336" max="14336" width="32.7109375" style="75" customWidth="1"/>
    <col min="14337" max="14338" width="32.85546875" style="75" customWidth="1"/>
    <col min="14339" max="14339" width="39.42578125" style="75" customWidth="1"/>
    <col min="14340" max="14340" width="25.5703125" style="75" customWidth="1"/>
    <col min="14341" max="14341" width="35.42578125" style="75" customWidth="1"/>
    <col min="14342" max="14342" width="25.140625" style="75" customWidth="1"/>
    <col min="14343" max="14590" width="9.140625" style="75"/>
    <col min="14591" max="14591" width="121.140625" style="75" customWidth="1"/>
    <col min="14592" max="14592" width="32.7109375" style="75" customWidth="1"/>
    <col min="14593" max="14594" width="32.85546875" style="75" customWidth="1"/>
    <col min="14595" max="14595" width="39.42578125" style="75" customWidth="1"/>
    <col min="14596" max="14596" width="25.5703125" style="75" customWidth="1"/>
    <col min="14597" max="14597" width="35.42578125" style="75" customWidth="1"/>
    <col min="14598" max="14598" width="25.140625" style="75" customWidth="1"/>
    <col min="14599" max="14846" width="9.140625" style="75"/>
    <col min="14847" max="14847" width="121.140625" style="75" customWidth="1"/>
    <col min="14848" max="14848" width="32.7109375" style="75" customWidth="1"/>
    <col min="14849" max="14850" width="32.85546875" style="75" customWidth="1"/>
    <col min="14851" max="14851" width="39.42578125" style="75" customWidth="1"/>
    <col min="14852" max="14852" width="25.5703125" style="75" customWidth="1"/>
    <col min="14853" max="14853" width="35.42578125" style="75" customWidth="1"/>
    <col min="14854" max="14854" width="25.140625" style="75" customWidth="1"/>
    <col min="14855" max="15102" width="9.140625" style="75"/>
    <col min="15103" max="15103" width="121.140625" style="75" customWidth="1"/>
    <col min="15104" max="15104" width="32.7109375" style="75" customWidth="1"/>
    <col min="15105" max="15106" width="32.85546875" style="75" customWidth="1"/>
    <col min="15107" max="15107" width="39.42578125" style="75" customWidth="1"/>
    <col min="15108" max="15108" width="25.5703125" style="75" customWidth="1"/>
    <col min="15109" max="15109" width="35.42578125" style="75" customWidth="1"/>
    <col min="15110" max="15110" width="25.140625" style="75" customWidth="1"/>
    <col min="15111" max="15358" width="9.140625" style="75"/>
    <col min="15359" max="15359" width="121.140625" style="75" customWidth="1"/>
    <col min="15360" max="15360" width="32.7109375" style="75" customWidth="1"/>
    <col min="15361" max="15362" width="32.85546875" style="75" customWidth="1"/>
    <col min="15363" max="15363" width="39.42578125" style="75" customWidth="1"/>
    <col min="15364" max="15364" width="25.5703125" style="75" customWidth="1"/>
    <col min="15365" max="15365" width="35.42578125" style="75" customWidth="1"/>
    <col min="15366" max="15366" width="25.140625" style="75" customWidth="1"/>
    <col min="15367" max="15614" width="9.140625" style="75"/>
    <col min="15615" max="15615" width="121.140625" style="75" customWidth="1"/>
    <col min="15616" max="15616" width="32.7109375" style="75" customWidth="1"/>
    <col min="15617" max="15618" width="32.85546875" style="75" customWidth="1"/>
    <col min="15619" max="15619" width="39.42578125" style="75" customWidth="1"/>
    <col min="15620" max="15620" width="25.5703125" style="75" customWidth="1"/>
    <col min="15621" max="15621" width="35.42578125" style="75" customWidth="1"/>
    <col min="15622" max="15622" width="25.140625" style="75" customWidth="1"/>
    <col min="15623" max="15870" width="9.140625" style="75"/>
    <col min="15871" max="15871" width="121.140625" style="75" customWidth="1"/>
    <col min="15872" max="15872" width="32.7109375" style="75" customWidth="1"/>
    <col min="15873" max="15874" width="32.85546875" style="75" customWidth="1"/>
    <col min="15875" max="15875" width="39.42578125" style="75" customWidth="1"/>
    <col min="15876" max="15876" width="25.5703125" style="75" customWidth="1"/>
    <col min="15877" max="15877" width="35.42578125" style="75" customWidth="1"/>
    <col min="15878" max="15878" width="25.140625" style="75" customWidth="1"/>
    <col min="15879" max="16126" width="9.140625" style="75"/>
    <col min="16127" max="16127" width="121.140625" style="75" customWidth="1"/>
    <col min="16128" max="16128" width="32.7109375" style="75" customWidth="1"/>
    <col min="16129" max="16130" width="32.85546875" style="75" customWidth="1"/>
    <col min="16131" max="16131" width="39.42578125" style="75" customWidth="1"/>
    <col min="16132" max="16132" width="25.5703125" style="75" customWidth="1"/>
    <col min="16133" max="16133" width="35.42578125" style="75" customWidth="1"/>
    <col min="16134" max="16134" width="25.140625" style="75" customWidth="1"/>
    <col min="16135" max="16384" width="9.140625" style="75"/>
  </cols>
  <sheetData>
    <row r="1" spans="1:6" s="69" customFormat="1" ht="46.5">
      <c r="A1" s="1" t="s">
        <v>0</v>
      </c>
      <c r="D1" s="277" t="s">
        <v>1</v>
      </c>
      <c r="E1" s="289" t="s">
        <v>115</v>
      </c>
      <c r="F1" s="281"/>
    </row>
    <row r="2" spans="1:6" s="69" customFormat="1" ht="46.5">
      <c r="A2" s="1" t="s">
        <v>2</v>
      </c>
      <c r="B2" s="2"/>
      <c r="C2" s="2"/>
      <c r="D2" s="2"/>
      <c r="E2" s="67"/>
      <c r="F2" s="67"/>
    </row>
    <row r="3" spans="1:6" s="69" customFormat="1" ht="47.25" thickBot="1">
      <c r="A3" s="7" t="s">
        <v>3</v>
      </c>
      <c r="B3" s="8"/>
      <c r="C3" s="8"/>
      <c r="D3" s="8"/>
      <c r="E3" s="67"/>
      <c r="F3" s="67"/>
    </row>
    <row r="4" spans="1:6" s="70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71" customFormat="1" ht="52.5">
      <c r="A5" s="14"/>
      <c r="B5" s="15" t="s">
        <v>9</v>
      </c>
      <c r="C5" s="15" t="s">
        <v>10</v>
      </c>
      <c r="D5" s="15" t="s">
        <v>11</v>
      </c>
      <c r="E5" s="15" t="s">
        <v>157</v>
      </c>
      <c r="F5" s="16" t="s">
        <v>12</v>
      </c>
    </row>
    <row r="6" spans="1:6" s="70" customFormat="1" ht="26.25">
      <c r="A6" s="18" t="s">
        <v>14</v>
      </c>
      <c r="B6" s="19"/>
      <c r="C6" s="19"/>
      <c r="D6" s="19"/>
      <c r="E6" s="19"/>
      <c r="F6" s="20"/>
    </row>
    <row r="7" spans="1:6" s="70" customFormat="1" ht="26.25">
      <c r="A7" s="18" t="s">
        <v>15</v>
      </c>
      <c r="B7" s="19"/>
      <c r="C7" s="19"/>
      <c r="D7" s="19"/>
      <c r="E7" s="19"/>
      <c r="F7" s="21"/>
    </row>
    <row r="8" spans="1:6" s="70" customFormat="1" ht="26.25">
      <c r="A8" s="22" t="s">
        <v>16</v>
      </c>
      <c r="B8" s="23">
        <v>9527974</v>
      </c>
      <c r="C8" s="23">
        <v>9527974</v>
      </c>
      <c r="D8" s="23">
        <v>9932501</v>
      </c>
      <c r="E8" s="23">
        <v>404527</v>
      </c>
      <c r="F8" s="24">
        <v>4.2456769928213491E-2</v>
      </c>
    </row>
    <row r="9" spans="1:6" s="70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70" customFormat="1" ht="26.25">
      <c r="A10" s="25" t="s">
        <v>18</v>
      </c>
      <c r="B10" s="298">
        <v>587760.17000000004</v>
      </c>
      <c r="C10" s="298">
        <v>589789</v>
      </c>
      <c r="D10" s="298">
        <v>584251</v>
      </c>
      <c r="E10" s="298">
        <v>-5538</v>
      </c>
      <c r="F10" s="24">
        <v>-9.3897987246286379E-3</v>
      </c>
    </row>
    <row r="11" spans="1:6" s="70" customFormat="1" ht="26.25">
      <c r="A11" s="27" t="s">
        <v>19</v>
      </c>
      <c r="B11" s="299">
        <v>9619</v>
      </c>
      <c r="C11" s="299">
        <v>9619</v>
      </c>
      <c r="D11" s="299">
        <v>0</v>
      </c>
      <c r="E11" s="298">
        <v>-9619</v>
      </c>
      <c r="F11" s="24">
        <v>-1</v>
      </c>
    </row>
    <row r="12" spans="1:6" s="70" customFormat="1" ht="26.25">
      <c r="A12" s="29" t="s">
        <v>20</v>
      </c>
      <c r="B12" s="299">
        <v>528141.17000000004</v>
      </c>
      <c r="C12" s="299">
        <v>530170</v>
      </c>
      <c r="D12" s="299">
        <v>534251</v>
      </c>
      <c r="E12" s="298">
        <v>4081</v>
      </c>
      <c r="F12" s="24">
        <v>7.6975309806288552E-3</v>
      </c>
    </row>
    <row r="13" spans="1:6" s="70" customFormat="1" ht="26.25">
      <c r="A13" s="29" t="s">
        <v>21</v>
      </c>
      <c r="B13" s="299">
        <v>0</v>
      </c>
      <c r="C13" s="299">
        <v>0</v>
      </c>
      <c r="D13" s="299">
        <v>0</v>
      </c>
      <c r="E13" s="298">
        <v>0</v>
      </c>
      <c r="F13" s="24">
        <v>0</v>
      </c>
    </row>
    <row r="14" spans="1:6" s="70" customFormat="1" ht="26.25">
      <c r="A14" s="29" t="s">
        <v>22</v>
      </c>
      <c r="B14" s="299">
        <v>0</v>
      </c>
      <c r="C14" s="299">
        <v>0</v>
      </c>
      <c r="D14" s="299">
        <v>0</v>
      </c>
      <c r="E14" s="298">
        <v>0</v>
      </c>
      <c r="F14" s="24">
        <v>0</v>
      </c>
    </row>
    <row r="15" spans="1:6" s="70" customFormat="1" ht="26.25">
      <c r="A15" s="29" t="s">
        <v>23</v>
      </c>
      <c r="B15" s="299">
        <v>0</v>
      </c>
      <c r="C15" s="299">
        <v>0</v>
      </c>
      <c r="D15" s="299">
        <v>0</v>
      </c>
      <c r="E15" s="298">
        <v>0</v>
      </c>
      <c r="F15" s="24">
        <v>0</v>
      </c>
    </row>
    <row r="16" spans="1:6" s="70" customFormat="1" ht="26.25">
      <c r="A16" s="29" t="s">
        <v>24</v>
      </c>
      <c r="B16" s="299">
        <v>50000</v>
      </c>
      <c r="C16" s="299">
        <v>50000</v>
      </c>
      <c r="D16" s="299">
        <v>50000</v>
      </c>
      <c r="E16" s="298">
        <v>0</v>
      </c>
      <c r="F16" s="24">
        <v>0</v>
      </c>
    </row>
    <row r="17" spans="1:6" s="70" customFormat="1" ht="26.25">
      <c r="A17" s="29" t="s">
        <v>25</v>
      </c>
      <c r="B17" s="299">
        <v>0</v>
      </c>
      <c r="C17" s="299">
        <v>0</v>
      </c>
      <c r="D17" s="299">
        <v>0</v>
      </c>
      <c r="E17" s="298">
        <v>0</v>
      </c>
      <c r="F17" s="24">
        <v>0</v>
      </c>
    </row>
    <row r="18" spans="1:6" s="70" customFormat="1" ht="26.25">
      <c r="A18" s="29" t="s">
        <v>26</v>
      </c>
      <c r="B18" s="299">
        <v>0</v>
      </c>
      <c r="C18" s="299">
        <v>0</v>
      </c>
      <c r="D18" s="299">
        <v>0</v>
      </c>
      <c r="E18" s="298">
        <v>0</v>
      </c>
      <c r="F18" s="24">
        <v>0</v>
      </c>
    </row>
    <row r="19" spans="1:6" s="70" customFormat="1" ht="26.25">
      <c r="A19" s="29" t="s">
        <v>27</v>
      </c>
      <c r="B19" s="299">
        <v>0</v>
      </c>
      <c r="C19" s="299">
        <v>0</v>
      </c>
      <c r="D19" s="299">
        <v>0</v>
      </c>
      <c r="E19" s="298">
        <v>0</v>
      </c>
      <c r="F19" s="24">
        <v>0</v>
      </c>
    </row>
    <row r="20" spans="1:6" s="70" customFormat="1" ht="26.25">
      <c r="A20" s="29" t="s">
        <v>28</v>
      </c>
      <c r="B20" s="299">
        <v>0</v>
      </c>
      <c r="C20" s="299">
        <v>0</v>
      </c>
      <c r="D20" s="299">
        <v>0</v>
      </c>
      <c r="E20" s="298">
        <v>0</v>
      </c>
      <c r="F20" s="24">
        <v>0</v>
      </c>
    </row>
    <row r="21" spans="1:6" s="70" customFormat="1" ht="26.25">
      <c r="A21" s="29" t="s">
        <v>29</v>
      </c>
      <c r="B21" s="299">
        <v>0</v>
      </c>
      <c r="C21" s="299">
        <v>0</v>
      </c>
      <c r="D21" s="299">
        <v>0</v>
      </c>
      <c r="E21" s="298">
        <v>0</v>
      </c>
      <c r="F21" s="24">
        <v>0</v>
      </c>
    </row>
    <row r="22" spans="1:6" s="70" customFormat="1" ht="26.25">
      <c r="A22" s="29" t="s">
        <v>30</v>
      </c>
      <c r="B22" s="299">
        <v>0</v>
      </c>
      <c r="C22" s="299">
        <v>0</v>
      </c>
      <c r="D22" s="299">
        <v>0</v>
      </c>
      <c r="E22" s="298">
        <v>0</v>
      </c>
      <c r="F22" s="24">
        <v>0</v>
      </c>
    </row>
    <row r="23" spans="1:6" s="70" customFormat="1" ht="26.25">
      <c r="A23" s="30" t="s">
        <v>31</v>
      </c>
      <c r="B23" s="299">
        <v>0</v>
      </c>
      <c r="C23" s="299">
        <v>0</v>
      </c>
      <c r="D23" s="299">
        <v>0</v>
      </c>
      <c r="E23" s="298">
        <v>0</v>
      </c>
      <c r="F23" s="24">
        <v>0</v>
      </c>
    </row>
    <row r="24" spans="1:6" s="70" customFormat="1" ht="26.25">
      <c r="A24" s="30" t="s">
        <v>32</v>
      </c>
      <c r="B24" s="299">
        <v>0</v>
      </c>
      <c r="C24" s="299">
        <v>0</v>
      </c>
      <c r="D24" s="299">
        <v>0</v>
      </c>
      <c r="E24" s="298">
        <v>0</v>
      </c>
      <c r="F24" s="24">
        <v>0</v>
      </c>
    </row>
    <row r="25" spans="1:6" s="70" customFormat="1" ht="26.25">
      <c r="A25" s="30" t="s">
        <v>33</v>
      </c>
      <c r="B25" s="299">
        <v>0</v>
      </c>
      <c r="C25" s="299">
        <v>0</v>
      </c>
      <c r="D25" s="299">
        <v>0</v>
      </c>
      <c r="E25" s="298">
        <v>0</v>
      </c>
      <c r="F25" s="24">
        <v>0</v>
      </c>
    </row>
    <row r="26" spans="1:6" s="70" customFormat="1" ht="26.25">
      <c r="A26" s="30" t="s">
        <v>34</v>
      </c>
      <c r="B26" s="299">
        <v>0</v>
      </c>
      <c r="C26" s="299">
        <v>0</v>
      </c>
      <c r="D26" s="299">
        <v>0</v>
      </c>
      <c r="E26" s="298">
        <v>0</v>
      </c>
      <c r="F26" s="24">
        <v>0</v>
      </c>
    </row>
    <row r="27" spans="1:6" s="70" customFormat="1" ht="26.25">
      <c r="A27" s="30" t="s">
        <v>35</v>
      </c>
      <c r="B27" s="299">
        <v>0</v>
      </c>
      <c r="C27" s="299">
        <v>0</v>
      </c>
      <c r="D27" s="299">
        <v>0</v>
      </c>
      <c r="E27" s="298">
        <v>0</v>
      </c>
      <c r="F27" s="24">
        <v>0</v>
      </c>
    </row>
    <row r="28" spans="1:6" s="70" customFormat="1" ht="26.25">
      <c r="A28" s="30" t="s">
        <v>36</v>
      </c>
      <c r="B28" s="299">
        <v>0</v>
      </c>
      <c r="C28" s="299">
        <v>0</v>
      </c>
      <c r="D28" s="299">
        <v>0</v>
      </c>
      <c r="E28" s="298">
        <v>0</v>
      </c>
      <c r="F28" s="24">
        <v>0</v>
      </c>
    </row>
    <row r="29" spans="1:6" s="70" customFormat="1" ht="26.25">
      <c r="A29" s="31" t="s">
        <v>37</v>
      </c>
      <c r="B29" s="299"/>
      <c r="C29" s="299"/>
      <c r="D29" s="299"/>
      <c r="E29" s="299"/>
      <c r="F29" s="305"/>
    </row>
    <row r="30" spans="1:6" s="70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70" customFormat="1" ht="26.25">
      <c r="A31" s="32" t="s">
        <v>39</v>
      </c>
      <c r="B31" s="299"/>
      <c r="C31" s="299"/>
      <c r="D31" s="299"/>
      <c r="E31" s="299"/>
      <c r="F31" s="305"/>
    </row>
    <row r="32" spans="1:6" s="70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70" customFormat="1" ht="26.25">
      <c r="A33" s="29" t="s">
        <v>40</v>
      </c>
      <c r="B33" s="299"/>
      <c r="C33" s="299"/>
      <c r="D33" s="299"/>
      <c r="E33" s="298"/>
      <c r="F33" s="24" t="s">
        <v>41</v>
      </c>
    </row>
    <row r="34" spans="1:10" s="72" customFormat="1" ht="26.25">
      <c r="A34" s="33" t="s">
        <v>42</v>
      </c>
      <c r="B34" s="300">
        <v>10115734.17</v>
      </c>
      <c r="C34" s="300">
        <v>10117763</v>
      </c>
      <c r="D34" s="300">
        <v>10516752</v>
      </c>
      <c r="E34" s="300">
        <v>398989</v>
      </c>
      <c r="F34" s="35">
        <v>3.9434507410383103E-2</v>
      </c>
    </row>
    <row r="35" spans="1:10" s="70" customFormat="1" ht="26.25">
      <c r="A35" s="31" t="s">
        <v>43</v>
      </c>
      <c r="B35" s="299"/>
      <c r="C35" s="299"/>
      <c r="D35" s="299"/>
      <c r="E35" s="299"/>
      <c r="F35" s="305"/>
    </row>
    <row r="36" spans="1:10" s="70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70" customFormat="1" ht="26.25">
      <c r="A37" s="38" t="s">
        <v>45</v>
      </c>
      <c r="B37" s="23">
        <v>0</v>
      </c>
      <c r="C37" s="23">
        <v>0</v>
      </c>
      <c r="D37" s="23">
        <v>0</v>
      </c>
      <c r="E37" s="298">
        <v>0</v>
      </c>
      <c r="F37" s="24">
        <v>0</v>
      </c>
    </row>
    <row r="38" spans="1:10" s="70" customFormat="1" ht="26.25">
      <c r="A38" s="38" t="s">
        <v>46</v>
      </c>
      <c r="B38" s="23">
        <v>951217</v>
      </c>
      <c r="C38" s="23">
        <v>0</v>
      </c>
      <c r="D38" s="23">
        <v>0</v>
      </c>
      <c r="E38" s="298">
        <v>0</v>
      </c>
      <c r="F38" s="24">
        <v>0</v>
      </c>
    </row>
    <row r="39" spans="1:10" s="70" customFormat="1" ht="26.25">
      <c r="A39" s="38" t="s">
        <v>47</v>
      </c>
      <c r="B39" s="23">
        <v>0</v>
      </c>
      <c r="C39" s="23">
        <v>0</v>
      </c>
      <c r="D39" s="23">
        <v>0</v>
      </c>
      <c r="E39" s="298">
        <v>0</v>
      </c>
      <c r="F39" s="24">
        <v>0</v>
      </c>
    </row>
    <row r="40" spans="1:10" s="70" customFormat="1" ht="26.25">
      <c r="A40" s="39" t="s">
        <v>48</v>
      </c>
      <c r="B40" s="23">
        <v>0</v>
      </c>
      <c r="C40" s="23">
        <v>0</v>
      </c>
      <c r="D40" s="23">
        <v>0</v>
      </c>
      <c r="E40" s="298">
        <v>0</v>
      </c>
      <c r="F40" s="24">
        <v>0</v>
      </c>
    </row>
    <row r="41" spans="1:10" s="72" customFormat="1" ht="26.25">
      <c r="A41" s="31" t="s">
        <v>49</v>
      </c>
      <c r="B41" s="40">
        <v>951217</v>
      </c>
      <c r="C41" s="40">
        <v>0</v>
      </c>
      <c r="D41" s="40">
        <v>0</v>
      </c>
      <c r="E41" s="40">
        <v>0</v>
      </c>
      <c r="F41" s="35">
        <v>0</v>
      </c>
      <c r="J41" s="72" t="s">
        <v>50</v>
      </c>
    </row>
    <row r="42" spans="1:10" s="70" customFormat="1" ht="26.25">
      <c r="A42" s="29" t="s">
        <v>50</v>
      </c>
      <c r="B42" s="299"/>
      <c r="C42" s="299"/>
      <c r="D42" s="299"/>
      <c r="E42" s="299"/>
      <c r="F42" s="305"/>
    </row>
    <row r="43" spans="1:10" s="72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70" customFormat="1" ht="26.25">
      <c r="A44" s="29" t="s">
        <v>50</v>
      </c>
      <c r="B44" s="299"/>
      <c r="C44" s="299"/>
      <c r="D44" s="299"/>
      <c r="E44" s="299"/>
      <c r="F44" s="305"/>
    </row>
    <row r="45" spans="1:10" s="72" customFormat="1" ht="26.25">
      <c r="A45" s="41" t="s">
        <v>52</v>
      </c>
      <c r="B45" s="42">
        <v>3428730</v>
      </c>
      <c r="C45" s="42">
        <v>3428730</v>
      </c>
      <c r="D45" s="42">
        <v>0</v>
      </c>
      <c r="E45" s="42">
        <v>-3428730</v>
      </c>
      <c r="F45" s="35">
        <v>-1</v>
      </c>
    </row>
    <row r="46" spans="1:10" s="70" customFormat="1" ht="26.25">
      <c r="A46" s="29" t="s">
        <v>50</v>
      </c>
      <c r="B46" s="299"/>
      <c r="C46" s="299"/>
      <c r="D46" s="299"/>
      <c r="E46" s="299"/>
      <c r="F46" s="305"/>
    </row>
    <row r="47" spans="1:10" s="72" customFormat="1" ht="26.25">
      <c r="A47" s="31" t="s">
        <v>53</v>
      </c>
      <c r="B47" s="40">
        <v>9365115.8800000008</v>
      </c>
      <c r="C47" s="40">
        <v>8405529</v>
      </c>
      <c r="D47" s="40">
        <v>11266139</v>
      </c>
      <c r="E47" s="40">
        <v>2860610</v>
      </c>
      <c r="F47" s="35">
        <v>0.34032480287677314</v>
      </c>
    </row>
    <row r="48" spans="1:10" s="70" customFormat="1" ht="26.25">
      <c r="A48" s="29" t="s">
        <v>50</v>
      </c>
      <c r="B48" s="299"/>
      <c r="C48" s="299"/>
      <c r="D48" s="299"/>
      <c r="E48" s="299"/>
      <c r="F48" s="305"/>
    </row>
    <row r="49" spans="1:6" s="72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70" customFormat="1" ht="26.25">
      <c r="A50" s="31"/>
      <c r="B50" s="19"/>
      <c r="C50" s="19"/>
      <c r="D50" s="19"/>
      <c r="E50" s="19"/>
      <c r="F50" s="45"/>
    </row>
    <row r="51" spans="1:6" s="72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70" customFormat="1" ht="26.25">
      <c r="A52" s="29"/>
      <c r="B52" s="299"/>
      <c r="C52" s="299"/>
      <c r="D52" s="299"/>
      <c r="E52" s="299"/>
      <c r="F52" s="305"/>
    </row>
    <row r="53" spans="1:6" s="72" customFormat="1" ht="26.25">
      <c r="A53" s="46" t="s">
        <v>56</v>
      </c>
      <c r="B53" s="40">
        <v>21958363.050000001</v>
      </c>
      <c r="C53" s="40">
        <v>21952022</v>
      </c>
      <c r="D53" s="40">
        <v>21782891</v>
      </c>
      <c r="E53" s="40">
        <v>-169131</v>
      </c>
      <c r="F53" s="35">
        <v>-7.704575004525779E-3</v>
      </c>
    </row>
    <row r="54" spans="1:6" s="70" customFormat="1" ht="26.25">
      <c r="A54" s="47"/>
      <c r="B54" s="299"/>
      <c r="C54" s="299"/>
      <c r="D54" s="299"/>
      <c r="E54" s="299"/>
      <c r="F54" s="305" t="s">
        <v>50</v>
      </c>
    </row>
    <row r="55" spans="1:6" s="70" customFormat="1" ht="26.25">
      <c r="A55" s="48"/>
      <c r="B55" s="19"/>
      <c r="C55" s="19"/>
      <c r="D55" s="19"/>
      <c r="E55" s="19"/>
      <c r="F55" s="21" t="s">
        <v>50</v>
      </c>
    </row>
    <row r="56" spans="1:6" s="70" customFormat="1" ht="26.25">
      <c r="A56" s="46" t="s">
        <v>57</v>
      </c>
      <c r="B56" s="19"/>
      <c r="C56" s="19"/>
      <c r="D56" s="19"/>
      <c r="E56" s="19"/>
      <c r="F56" s="21"/>
    </row>
    <row r="57" spans="1:6" s="70" customFormat="1" ht="26.25">
      <c r="A57" s="27" t="s">
        <v>58</v>
      </c>
      <c r="B57" s="19">
        <v>8672077.0199999996</v>
      </c>
      <c r="C57" s="19">
        <v>8373401</v>
      </c>
      <c r="D57" s="19">
        <v>7644159</v>
      </c>
      <c r="E57" s="19">
        <v>-729242</v>
      </c>
      <c r="F57" s="24">
        <v>-8.7090299389698408E-2</v>
      </c>
    </row>
    <row r="58" spans="1:6" s="70" customFormat="1" ht="26.25">
      <c r="A58" s="29" t="s">
        <v>59</v>
      </c>
      <c r="B58" s="299">
        <v>9541.6700000000019</v>
      </c>
      <c r="C58" s="299">
        <v>0</v>
      </c>
      <c r="D58" s="299">
        <v>0</v>
      </c>
      <c r="E58" s="299">
        <v>0</v>
      </c>
      <c r="F58" s="24">
        <v>0</v>
      </c>
    </row>
    <row r="59" spans="1:6" s="70" customFormat="1" ht="26.25">
      <c r="A59" s="29" t="s">
        <v>60</v>
      </c>
      <c r="B59" s="299">
        <v>12230.119999999999</v>
      </c>
      <c r="C59" s="299">
        <v>0</v>
      </c>
      <c r="D59" s="299">
        <v>0</v>
      </c>
      <c r="E59" s="299">
        <v>0</v>
      </c>
      <c r="F59" s="24">
        <v>0</v>
      </c>
    </row>
    <row r="60" spans="1:6" s="70" customFormat="1" ht="26.25">
      <c r="A60" s="29" t="s">
        <v>61</v>
      </c>
      <c r="B60" s="299">
        <v>1592955.7099999997</v>
      </c>
      <c r="C60" s="299">
        <v>2216690</v>
      </c>
      <c r="D60" s="299">
        <v>3369540</v>
      </c>
      <c r="E60" s="299">
        <v>1152850</v>
      </c>
      <c r="F60" s="24">
        <v>0.52007723226973546</v>
      </c>
    </row>
    <row r="61" spans="1:6" s="70" customFormat="1" ht="26.25">
      <c r="A61" s="29" t="s">
        <v>62</v>
      </c>
      <c r="B61" s="299">
        <v>1220989.6099999999</v>
      </c>
      <c r="C61" s="299">
        <v>877447</v>
      </c>
      <c r="D61" s="299">
        <v>862139</v>
      </c>
      <c r="E61" s="299">
        <v>-15308</v>
      </c>
      <c r="F61" s="24">
        <v>-1.7446067967637931E-2</v>
      </c>
    </row>
    <row r="62" spans="1:6" s="70" customFormat="1" ht="26.25">
      <c r="A62" s="29" t="s">
        <v>63</v>
      </c>
      <c r="B62" s="299">
        <v>6443423.0700000012</v>
      </c>
      <c r="C62" s="299">
        <v>6552072</v>
      </c>
      <c r="D62" s="299">
        <v>6333228</v>
      </c>
      <c r="E62" s="299">
        <v>-218844</v>
      </c>
      <c r="F62" s="24">
        <v>-3.3400731860089447E-2</v>
      </c>
    </row>
    <row r="63" spans="1:6" s="70" customFormat="1" ht="26.25">
      <c r="A63" s="29" t="s">
        <v>64</v>
      </c>
      <c r="B63" s="299">
        <v>512031.97</v>
      </c>
      <c r="C63" s="299">
        <v>800000</v>
      </c>
      <c r="D63" s="299">
        <v>515372</v>
      </c>
      <c r="E63" s="299">
        <v>-284628</v>
      </c>
      <c r="F63" s="24">
        <v>-0.35578500000000002</v>
      </c>
    </row>
    <row r="64" spans="1:6" s="70" customFormat="1" ht="26.25">
      <c r="A64" s="29" t="s">
        <v>65</v>
      </c>
      <c r="B64" s="299">
        <v>2464165.0700000003</v>
      </c>
      <c r="C64" s="299">
        <v>1799459</v>
      </c>
      <c r="D64" s="299">
        <v>1759529</v>
      </c>
      <c r="E64" s="299">
        <v>-39930</v>
      </c>
      <c r="F64" s="24">
        <v>-2.2190002661911162E-2</v>
      </c>
    </row>
    <row r="65" spans="1:6" s="72" customFormat="1" ht="26.25">
      <c r="A65" s="49" t="s">
        <v>66</v>
      </c>
      <c r="B65" s="300">
        <v>20927414.239999998</v>
      </c>
      <c r="C65" s="300">
        <v>20619069</v>
      </c>
      <c r="D65" s="300">
        <v>20483967</v>
      </c>
      <c r="E65" s="300">
        <v>-135102</v>
      </c>
      <c r="F65" s="35">
        <v>-6.5522841986706574E-3</v>
      </c>
    </row>
    <row r="66" spans="1:6" s="70" customFormat="1" ht="26.25">
      <c r="A66" s="29" t="s">
        <v>67</v>
      </c>
      <c r="B66" s="299">
        <v>0</v>
      </c>
      <c r="C66" s="299">
        <v>0</v>
      </c>
      <c r="D66" s="299">
        <v>0</v>
      </c>
      <c r="E66" s="299">
        <v>0</v>
      </c>
      <c r="F66" s="24">
        <v>0</v>
      </c>
    </row>
    <row r="67" spans="1:6" s="70" customFormat="1" ht="26.25">
      <c r="A67" s="29" t="s">
        <v>68</v>
      </c>
      <c r="B67" s="299">
        <v>487737</v>
      </c>
      <c r="C67" s="299">
        <v>800664</v>
      </c>
      <c r="D67" s="299">
        <v>854091.84</v>
      </c>
      <c r="E67" s="299">
        <v>53427.839999999967</v>
      </c>
      <c r="F67" s="24">
        <v>6.6729414585893668E-2</v>
      </c>
    </row>
    <row r="68" spans="1:6" s="70" customFormat="1" ht="26.25">
      <c r="A68" s="29" t="s">
        <v>69</v>
      </c>
      <c r="B68" s="299">
        <v>543212</v>
      </c>
      <c r="C68" s="299">
        <v>532289</v>
      </c>
      <c r="D68" s="299">
        <v>444832</v>
      </c>
      <c r="E68" s="299">
        <v>-87457</v>
      </c>
      <c r="F68" s="24">
        <v>-0.16430360199064795</v>
      </c>
    </row>
    <row r="69" spans="1:6" s="70" customFormat="1" ht="26.25">
      <c r="A69" s="29" t="s">
        <v>70</v>
      </c>
      <c r="B69" s="299">
        <v>0</v>
      </c>
      <c r="C69" s="299">
        <v>0</v>
      </c>
      <c r="D69" s="299">
        <v>0</v>
      </c>
      <c r="E69" s="299">
        <v>0</v>
      </c>
      <c r="F69" s="24">
        <v>0</v>
      </c>
    </row>
    <row r="70" spans="1:6" s="72" customFormat="1" ht="26.25">
      <c r="A70" s="50" t="s">
        <v>71</v>
      </c>
      <c r="B70" s="301">
        <v>21958363.239999998</v>
      </c>
      <c r="C70" s="301">
        <v>21952022</v>
      </c>
      <c r="D70" s="301">
        <v>21782890.84</v>
      </c>
      <c r="E70" s="301">
        <v>-169131.16000000015</v>
      </c>
      <c r="F70" s="35">
        <v>-7.704582293148219E-3</v>
      </c>
    </row>
    <row r="71" spans="1:6" s="70" customFormat="1" ht="26.25">
      <c r="A71" s="48"/>
      <c r="B71" s="19"/>
      <c r="C71" s="19"/>
      <c r="D71" s="19"/>
      <c r="E71" s="19"/>
      <c r="F71" s="21"/>
    </row>
    <row r="72" spans="1:6" s="70" customFormat="1" ht="26.25">
      <c r="A72" s="46" t="s">
        <v>72</v>
      </c>
      <c r="B72" s="19"/>
      <c r="C72" s="19"/>
      <c r="D72" s="19"/>
      <c r="E72" s="19"/>
      <c r="F72" s="21"/>
    </row>
    <row r="73" spans="1:6" s="70" customFormat="1" ht="26.25">
      <c r="A73" s="27" t="s">
        <v>73</v>
      </c>
      <c r="B73" s="23">
        <v>11814890.350000001</v>
      </c>
      <c r="C73" s="23">
        <v>12530914</v>
      </c>
      <c r="D73" s="23">
        <v>12802162</v>
      </c>
      <c r="E73" s="19">
        <v>271248</v>
      </c>
      <c r="F73" s="24">
        <v>2.1646306087488909E-2</v>
      </c>
    </row>
    <row r="74" spans="1:6" s="70" customFormat="1" ht="26.25">
      <c r="A74" s="29" t="s">
        <v>74</v>
      </c>
      <c r="B74" s="298">
        <v>636963.1</v>
      </c>
      <c r="C74" s="23">
        <v>20000</v>
      </c>
      <c r="D74" s="23">
        <v>0</v>
      </c>
      <c r="E74" s="299">
        <v>-20000</v>
      </c>
      <c r="F74" s="24">
        <v>-1</v>
      </c>
    </row>
    <row r="75" spans="1:6" s="70" customFormat="1" ht="26.25">
      <c r="A75" s="29" t="s">
        <v>75</v>
      </c>
      <c r="B75" s="19">
        <v>4591362.9800000004</v>
      </c>
      <c r="C75" s="23">
        <v>4693265</v>
      </c>
      <c r="D75" s="23">
        <v>4718672</v>
      </c>
      <c r="E75" s="299">
        <v>25407</v>
      </c>
      <c r="F75" s="24">
        <v>5.413502114199816E-3</v>
      </c>
    </row>
    <row r="76" spans="1:6" s="72" customFormat="1" ht="26.25">
      <c r="A76" s="49" t="s">
        <v>76</v>
      </c>
      <c r="B76" s="301">
        <v>17043216.43</v>
      </c>
      <c r="C76" s="301">
        <v>17244179</v>
      </c>
      <c r="D76" s="301">
        <v>17520834</v>
      </c>
      <c r="E76" s="300">
        <v>276655</v>
      </c>
      <c r="F76" s="35">
        <v>1.604338484308241E-2</v>
      </c>
    </row>
    <row r="77" spans="1:6" s="70" customFormat="1" ht="26.25">
      <c r="A77" s="29" t="s">
        <v>77</v>
      </c>
      <c r="B77" s="298">
        <v>49196.51999999999</v>
      </c>
      <c r="C77" s="298">
        <v>35500</v>
      </c>
      <c r="D77" s="298">
        <v>0</v>
      </c>
      <c r="E77" s="299">
        <v>-35500</v>
      </c>
      <c r="F77" s="24">
        <v>-1</v>
      </c>
    </row>
    <row r="78" spans="1:6" s="70" customFormat="1" ht="26.25">
      <c r="A78" s="29" t="s">
        <v>78</v>
      </c>
      <c r="B78" s="23">
        <v>1957955.34</v>
      </c>
      <c r="C78" s="23">
        <v>1909500</v>
      </c>
      <c r="D78" s="23">
        <v>1781269</v>
      </c>
      <c r="E78" s="299">
        <v>-128231</v>
      </c>
      <c r="F78" s="24">
        <v>-6.7154228855721393E-2</v>
      </c>
    </row>
    <row r="79" spans="1:6" s="70" customFormat="1" ht="26.25">
      <c r="A79" s="29" t="s">
        <v>79</v>
      </c>
      <c r="B79" s="19">
        <v>351098.17</v>
      </c>
      <c r="C79" s="19">
        <v>246946</v>
      </c>
      <c r="D79" s="19">
        <v>144666</v>
      </c>
      <c r="E79" s="299">
        <v>-102280</v>
      </c>
      <c r="F79" s="24">
        <v>-0.4141796182161282</v>
      </c>
    </row>
    <row r="80" spans="1:6" s="72" customFormat="1" ht="26.25">
      <c r="A80" s="32" t="s">
        <v>80</v>
      </c>
      <c r="B80" s="301">
        <v>2358250.0300000003</v>
      </c>
      <c r="C80" s="301">
        <v>2191946</v>
      </c>
      <c r="D80" s="301">
        <v>1925935</v>
      </c>
      <c r="E80" s="300">
        <v>-266011</v>
      </c>
      <c r="F80" s="35">
        <v>-0.12135837287962387</v>
      </c>
    </row>
    <row r="81" spans="1:6" s="70" customFormat="1" ht="26.25">
      <c r="A81" s="29" t="s">
        <v>81</v>
      </c>
      <c r="B81" s="19">
        <v>130036.62</v>
      </c>
      <c r="C81" s="19">
        <v>4000</v>
      </c>
      <c r="D81" s="19">
        <v>0</v>
      </c>
      <c r="E81" s="299">
        <v>-4000</v>
      </c>
      <c r="F81" s="24">
        <v>-1</v>
      </c>
    </row>
    <row r="82" spans="1:6" s="70" customFormat="1" ht="26.25">
      <c r="A82" s="29" t="s">
        <v>82</v>
      </c>
      <c r="B82" s="299">
        <v>1909001.33</v>
      </c>
      <c r="C82" s="299">
        <v>1636233</v>
      </c>
      <c r="D82" s="299">
        <v>1462030</v>
      </c>
      <c r="E82" s="299">
        <v>-174203</v>
      </c>
      <c r="F82" s="24">
        <v>-0.1064658884156474</v>
      </c>
    </row>
    <row r="83" spans="1:6" s="70" customFormat="1" ht="26.25">
      <c r="A83" s="29" t="s">
        <v>83</v>
      </c>
      <c r="B83" s="299">
        <v>0</v>
      </c>
      <c r="C83" s="299">
        <v>0</v>
      </c>
      <c r="D83" s="299">
        <v>0</v>
      </c>
      <c r="E83" s="299">
        <v>0</v>
      </c>
      <c r="F83" s="24">
        <v>0</v>
      </c>
    </row>
    <row r="84" spans="1:6" s="70" customFormat="1" ht="26.25">
      <c r="A84" s="29" t="s">
        <v>84</v>
      </c>
      <c r="B84" s="299">
        <v>487737</v>
      </c>
      <c r="C84" s="299">
        <v>800664</v>
      </c>
      <c r="D84" s="299">
        <v>854091.84</v>
      </c>
      <c r="E84" s="299">
        <v>53427.839999999967</v>
      </c>
      <c r="F84" s="24">
        <v>6.6729414585893668E-2</v>
      </c>
    </row>
    <row r="85" spans="1:6" s="72" customFormat="1" ht="26.25">
      <c r="A85" s="32" t="s">
        <v>85</v>
      </c>
      <c r="B85" s="300">
        <v>2526774.9500000002</v>
      </c>
      <c r="C85" s="300">
        <v>2440897</v>
      </c>
      <c r="D85" s="300">
        <v>2316121.84</v>
      </c>
      <c r="E85" s="300">
        <v>-124775.16000000015</v>
      </c>
      <c r="F85" s="35">
        <v>-5.1118568296818816E-2</v>
      </c>
    </row>
    <row r="86" spans="1:6" s="70" customFormat="1" ht="26.25">
      <c r="A86" s="29" t="s">
        <v>86</v>
      </c>
      <c r="B86" s="299">
        <v>0</v>
      </c>
      <c r="C86" s="299">
        <v>0</v>
      </c>
      <c r="D86" s="299">
        <v>0</v>
      </c>
      <c r="E86" s="299">
        <v>0</v>
      </c>
      <c r="F86" s="24">
        <v>0</v>
      </c>
    </row>
    <row r="87" spans="1:6" s="70" customFormat="1" ht="26.25">
      <c r="A87" s="29" t="s">
        <v>87</v>
      </c>
      <c r="B87" s="299">
        <v>0</v>
      </c>
      <c r="C87" s="299">
        <v>75000</v>
      </c>
      <c r="D87" s="299">
        <v>20000</v>
      </c>
      <c r="E87" s="299">
        <v>-55000</v>
      </c>
      <c r="F87" s="24">
        <v>-0.73333333333333328</v>
      </c>
    </row>
    <row r="88" spans="1:6" s="70" customFormat="1" ht="26.25">
      <c r="A88" s="38" t="s">
        <v>88</v>
      </c>
      <c r="B88" s="299">
        <v>30121.83</v>
      </c>
      <c r="C88" s="299">
        <v>0</v>
      </c>
      <c r="D88" s="299">
        <v>0</v>
      </c>
      <c r="E88" s="299">
        <v>0</v>
      </c>
      <c r="F88" s="24">
        <v>0</v>
      </c>
    </row>
    <row r="89" spans="1:6" s="72" customFormat="1" ht="26.25">
      <c r="A89" s="52" t="s">
        <v>89</v>
      </c>
      <c r="B89" s="301">
        <v>30121.83</v>
      </c>
      <c r="C89" s="301">
        <v>75000</v>
      </c>
      <c r="D89" s="301">
        <v>20000</v>
      </c>
      <c r="E89" s="301">
        <v>-55000</v>
      </c>
      <c r="F89" s="35">
        <v>-0.73333333333333328</v>
      </c>
    </row>
    <row r="90" spans="1:6" s="70" customFormat="1" ht="26.25">
      <c r="A90" s="38" t="s">
        <v>90</v>
      </c>
      <c r="B90" s="299">
        <v>0</v>
      </c>
      <c r="C90" s="299">
        <v>0</v>
      </c>
      <c r="D90" s="298">
        <v>0</v>
      </c>
      <c r="E90" s="299">
        <v>0</v>
      </c>
      <c r="F90" s="24">
        <v>0</v>
      </c>
    </row>
    <row r="91" spans="1:6" s="72" customFormat="1" ht="27" thickBot="1">
      <c r="A91" s="53" t="s">
        <v>71</v>
      </c>
      <c r="B91" s="302">
        <v>21958363.240000002</v>
      </c>
      <c r="C91" s="302">
        <v>21952022</v>
      </c>
      <c r="D91" s="55">
        <v>21782890.84</v>
      </c>
      <c r="E91" s="302">
        <v>-169131.16000000015</v>
      </c>
      <c r="F91" s="56">
        <v>-7.704582293148219E-3</v>
      </c>
    </row>
    <row r="92" spans="1:6" s="74" customFormat="1" ht="31.5">
      <c r="A92" s="57"/>
      <c r="B92" s="58"/>
      <c r="C92" s="58"/>
      <c r="D92" s="58"/>
      <c r="E92" s="73"/>
      <c r="F92" s="73"/>
    </row>
    <row r="93" spans="1:6" s="74" customFormat="1" ht="31.5">
      <c r="A93" s="61" t="s">
        <v>91</v>
      </c>
      <c r="B93" s="62"/>
      <c r="C93" s="62"/>
      <c r="D93" s="62"/>
      <c r="E93" s="73"/>
    </row>
    <row r="94" spans="1:6" s="74" customFormat="1" ht="31.5">
      <c r="A94" s="61" t="s">
        <v>92</v>
      </c>
      <c r="B94" s="62"/>
      <c r="C94" s="62"/>
      <c r="D94" s="62"/>
      <c r="E94" s="73"/>
      <c r="F94" s="73" t="s">
        <v>114</v>
      </c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topLeftCell="A4" zoomScale="50" zoomScaleNormal="50" workbookViewId="0">
      <selection activeCell="M46" sqref="M46"/>
    </sheetView>
  </sheetViews>
  <sheetFormatPr defaultRowHeight="15.75"/>
  <cols>
    <col min="1" max="1" width="121.140625" style="75" customWidth="1"/>
    <col min="2" max="2" width="32.7109375" style="76" customWidth="1"/>
    <col min="3" max="4" width="32.85546875" style="76" customWidth="1"/>
    <col min="5" max="5" width="32.85546875" style="75" customWidth="1"/>
    <col min="6" max="6" width="28" style="75" customWidth="1"/>
    <col min="7" max="254" width="9.140625" style="75"/>
    <col min="255" max="255" width="121.140625" style="75" customWidth="1"/>
    <col min="256" max="256" width="32.7109375" style="75" customWidth="1"/>
    <col min="257" max="259" width="32.85546875" style="75" customWidth="1"/>
    <col min="260" max="260" width="25.5703125" style="75" customWidth="1"/>
    <col min="261" max="261" width="30.28515625" style="75" customWidth="1"/>
    <col min="262" max="262" width="25.140625" style="75" customWidth="1"/>
    <col min="263" max="510" width="9.140625" style="75"/>
    <col min="511" max="511" width="121.140625" style="75" customWidth="1"/>
    <col min="512" max="512" width="32.7109375" style="75" customWidth="1"/>
    <col min="513" max="515" width="32.85546875" style="75" customWidth="1"/>
    <col min="516" max="516" width="25.5703125" style="75" customWidth="1"/>
    <col min="517" max="517" width="30.28515625" style="75" customWidth="1"/>
    <col min="518" max="518" width="25.140625" style="75" customWidth="1"/>
    <col min="519" max="766" width="9.140625" style="75"/>
    <col min="767" max="767" width="121.140625" style="75" customWidth="1"/>
    <col min="768" max="768" width="32.7109375" style="75" customWidth="1"/>
    <col min="769" max="771" width="32.85546875" style="75" customWidth="1"/>
    <col min="772" max="772" width="25.5703125" style="75" customWidth="1"/>
    <col min="773" max="773" width="30.28515625" style="75" customWidth="1"/>
    <col min="774" max="774" width="25.140625" style="75" customWidth="1"/>
    <col min="775" max="1022" width="9.140625" style="75"/>
    <col min="1023" max="1023" width="121.140625" style="75" customWidth="1"/>
    <col min="1024" max="1024" width="32.7109375" style="75" customWidth="1"/>
    <col min="1025" max="1027" width="32.85546875" style="75" customWidth="1"/>
    <col min="1028" max="1028" width="25.5703125" style="75" customWidth="1"/>
    <col min="1029" max="1029" width="30.28515625" style="75" customWidth="1"/>
    <col min="1030" max="1030" width="25.140625" style="75" customWidth="1"/>
    <col min="1031" max="1278" width="9.140625" style="75"/>
    <col min="1279" max="1279" width="121.140625" style="75" customWidth="1"/>
    <col min="1280" max="1280" width="32.7109375" style="75" customWidth="1"/>
    <col min="1281" max="1283" width="32.85546875" style="75" customWidth="1"/>
    <col min="1284" max="1284" width="25.5703125" style="75" customWidth="1"/>
    <col min="1285" max="1285" width="30.28515625" style="75" customWidth="1"/>
    <col min="1286" max="1286" width="25.140625" style="75" customWidth="1"/>
    <col min="1287" max="1534" width="9.140625" style="75"/>
    <col min="1535" max="1535" width="121.140625" style="75" customWidth="1"/>
    <col min="1536" max="1536" width="32.7109375" style="75" customWidth="1"/>
    <col min="1537" max="1539" width="32.85546875" style="75" customWidth="1"/>
    <col min="1540" max="1540" width="25.5703125" style="75" customWidth="1"/>
    <col min="1541" max="1541" width="30.28515625" style="75" customWidth="1"/>
    <col min="1542" max="1542" width="25.140625" style="75" customWidth="1"/>
    <col min="1543" max="1790" width="9.140625" style="75"/>
    <col min="1791" max="1791" width="121.140625" style="75" customWidth="1"/>
    <col min="1792" max="1792" width="32.7109375" style="75" customWidth="1"/>
    <col min="1793" max="1795" width="32.85546875" style="75" customWidth="1"/>
    <col min="1796" max="1796" width="25.5703125" style="75" customWidth="1"/>
    <col min="1797" max="1797" width="30.28515625" style="75" customWidth="1"/>
    <col min="1798" max="1798" width="25.140625" style="75" customWidth="1"/>
    <col min="1799" max="2046" width="9.140625" style="75"/>
    <col min="2047" max="2047" width="121.140625" style="75" customWidth="1"/>
    <col min="2048" max="2048" width="32.7109375" style="75" customWidth="1"/>
    <col min="2049" max="2051" width="32.85546875" style="75" customWidth="1"/>
    <col min="2052" max="2052" width="25.5703125" style="75" customWidth="1"/>
    <col min="2053" max="2053" width="30.28515625" style="75" customWidth="1"/>
    <col min="2054" max="2054" width="25.140625" style="75" customWidth="1"/>
    <col min="2055" max="2302" width="9.140625" style="75"/>
    <col min="2303" max="2303" width="121.140625" style="75" customWidth="1"/>
    <col min="2304" max="2304" width="32.7109375" style="75" customWidth="1"/>
    <col min="2305" max="2307" width="32.85546875" style="75" customWidth="1"/>
    <col min="2308" max="2308" width="25.5703125" style="75" customWidth="1"/>
    <col min="2309" max="2309" width="30.28515625" style="75" customWidth="1"/>
    <col min="2310" max="2310" width="25.140625" style="75" customWidth="1"/>
    <col min="2311" max="2558" width="9.140625" style="75"/>
    <col min="2559" max="2559" width="121.140625" style="75" customWidth="1"/>
    <col min="2560" max="2560" width="32.7109375" style="75" customWidth="1"/>
    <col min="2561" max="2563" width="32.85546875" style="75" customWidth="1"/>
    <col min="2564" max="2564" width="25.5703125" style="75" customWidth="1"/>
    <col min="2565" max="2565" width="30.28515625" style="75" customWidth="1"/>
    <col min="2566" max="2566" width="25.140625" style="75" customWidth="1"/>
    <col min="2567" max="2814" width="9.140625" style="75"/>
    <col min="2815" max="2815" width="121.140625" style="75" customWidth="1"/>
    <col min="2816" max="2816" width="32.7109375" style="75" customWidth="1"/>
    <col min="2817" max="2819" width="32.85546875" style="75" customWidth="1"/>
    <col min="2820" max="2820" width="25.5703125" style="75" customWidth="1"/>
    <col min="2821" max="2821" width="30.28515625" style="75" customWidth="1"/>
    <col min="2822" max="2822" width="25.140625" style="75" customWidth="1"/>
    <col min="2823" max="3070" width="9.140625" style="75"/>
    <col min="3071" max="3071" width="121.140625" style="75" customWidth="1"/>
    <col min="3072" max="3072" width="32.7109375" style="75" customWidth="1"/>
    <col min="3073" max="3075" width="32.85546875" style="75" customWidth="1"/>
    <col min="3076" max="3076" width="25.5703125" style="75" customWidth="1"/>
    <col min="3077" max="3077" width="30.28515625" style="75" customWidth="1"/>
    <col min="3078" max="3078" width="25.140625" style="75" customWidth="1"/>
    <col min="3079" max="3326" width="9.140625" style="75"/>
    <col min="3327" max="3327" width="121.140625" style="75" customWidth="1"/>
    <col min="3328" max="3328" width="32.7109375" style="75" customWidth="1"/>
    <col min="3329" max="3331" width="32.85546875" style="75" customWidth="1"/>
    <col min="3332" max="3332" width="25.5703125" style="75" customWidth="1"/>
    <col min="3333" max="3333" width="30.28515625" style="75" customWidth="1"/>
    <col min="3334" max="3334" width="25.140625" style="75" customWidth="1"/>
    <col min="3335" max="3582" width="9.140625" style="75"/>
    <col min="3583" max="3583" width="121.140625" style="75" customWidth="1"/>
    <col min="3584" max="3584" width="32.7109375" style="75" customWidth="1"/>
    <col min="3585" max="3587" width="32.85546875" style="75" customWidth="1"/>
    <col min="3588" max="3588" width="25.5703125" style="75" customWidth="1"/>
    <col min="3589" max="3589" width="30.28515625" style="75" customWidth="1"/>
    <col min="3590" max="3590" width="25.140625" style="75" customWidth="1"/>
    <col min="3591" max="3838" width="9.140625" style="75"/>
    <col min="3839" max="3839" width="121.140625" style="75" customWidth="1"/>
    <col min="3840" max="3840" width="32.7109375" style="75" customWidth="1"/>
    <col min="3841" max="3843" width="32.85546875" style="75" customWidth="1"/>
    <col min="3844" max="3844" width="25.5703125" style="75" customWidth="1"/>
    <col min="3845" max="3845" width="30.28515625" style="75" customWidth="1"/>
    <col min="3846" max="3846" width="25.140625" style="75" customWidth="1"/>
    <col min="3847" max="4094" width="9.140625" style="75"/>
    <col min="4095" max="4095" width="121.140625" style="75" customWidth="1"/>
    <col min="4096" max="4096" width="32.7109375" style="75" customWidth="1"/>
    <col min="4097" max="4099" width="32.85546875" style="75" customWidth="1"/>
    <col min="4100" max="4100" width="25.5703125" style="75" customWidth="1"/>
    <col min="4101" max="4101" width="30.28515625" style="75" customWidth="1"/>
    <col min="4102" max="4102" width="25.140625" style="75" customWidth="1"/>
    <col min="4103" max="4350" width="9.140625" style="75"/>
    <col min="4351" max="4351" width="121.140625" style="75" customWidth="1"/>
    <col min="4352" max="4352" width="32.7109375" style="75" customWidth="1"/>
    <col min="4353" max="4355" width="32.85546875" style="75" customWidth="1"/>
    <col min="4356" max="4356" width="25.5703125" style="75" customWidth="1"/>
    <col min="4357" max="4357" width="30.28515625" style="75" customWidth="1"/>
    <col min="4358" max="4358" width="25.140625" style="75" customWidth="1"/>
    <col min="4359" max="4606" width="9.140625" style="75"/>
    <col min="4607" max="4607" width="121.140625" style="75" customWidth="1"/>
    <col min="4608" max="4608" width="32.7109375" style="75" customWidth="1"/>
    <col min="4609" max="4611" width="32.85546875" style="75" customWidth="1"/>
    <col min="4612" max="4612" width="25.5703125" style="75" customWidth="1"/>
    <col min="4613" max="4613" width="30.28515625" style="75" customWidth="1"/>
    <col min="4614" max="4614" width="25.140625" style="75" customWidth="1"/>
    <col min="4615" max="4862" width="9.140625" style="75"/>
    <col min="4863" max="4863" width="121.140625" style="75" customWidth="1"/>
    <col min="4864" max="4864" width="32.7109375" style="75" customWidth="1"/>
    <col min="4865" max="4867" width="32.85546875" style="75" customWidth="1"/>
    <col min="4868" max="4868" width="25.5703125" style="75" customWidth="1"/>
    <col min="4869" max="4869" width="30.28515625" style="75" customWidth="1"/>
    <col min="4870" max="4870" width="25.140625" style="75" customWidth="1"/>
    <col min="4871" max="5118" width="9.140625" style="75"/>
    <col min="5119" max="5119" width="121.140625" style="75" customWidth="1"/>
    <col min="5120" max="5120" width="32.7109375" style="75" customWidth="1"/>
    <col min="5121" max="5123" width="32.85546875" style="75" customWidth="1"/>
    <col min="5124" max="5124" width="25.5703125" style="75" customWidth="1"/>
    <col min="5125" max="5125" width="30.28515625" style="75" customWidth="1"/>
    <col min="5126" max="5126" width="25.140625" style="75" customWidth="1"/>
    <col min="5127" max="5374" width="9.140625" style="75"/>
    <col min="5375" max="5375" width="121.140625" style="75" customWidth="1"/>
    <col min="5376" max="5376" width="32.7109375" style="75" customWidth="1"/>
    <col min="5377" max="5379" width="32.85546875" style="75" customWidth="1"/>
    <col min="5380" max="5380" width="25.5703125" style="75" customWidth="1"/>
    <col min="5381" max="5381" width="30.28515625" style="75" customWidth="1"/>
    <col min="5382" max="5382" width="25.140625" style="75" customWidth="1"/>
    <col min="5383" max="5630" width="9.140625" style="75"/>
    <col min="5631" max="5631" width="121.140625" style="75" customWidth="1"/>
    <col min="5632" max="5632" width="32.7109375" style="75" customWidth="1"/>
    <col min="5633" max="5635" width="32.85546875" style="75" customWidth="1"/>
    <col min="5636" max="5636" width="25.5703125" style="75" customWidth="1"/>
    <col min="5637" max="5637" width="30.28515625" style="75" customWidth="1"/>
    <col min="5638" max="5638" width="25.140625" style="75" customWidth="1"/>
    <col min="5639" max="5886" width="9.140625" style="75"/>
    <col min="5887" max="5887" width="121.140625" style="75" customWidth="1"/>
    <col min="5888" max="5888" width="32.7109375" style="75" customWidth="1"/>
    <col min="5889" max="5891" width="32.85546875" style="75" customWidth="1"/>
    <col min="5892" max="5892" width="25.5703125" style="75" customWidth="1"/>
    <col min="5893" max="5893" width="30.28515625" style="75" customWidth="1"/>
    <col min="5894" max="5894" width="25.140625" style="75" customWidth="1"/>
    <col min="5895" max="6142" width="9.140625" style="75"/>
    <col min="6143" max="6143" width="121.140625" style="75" customWidth="1"/>
    <col min="6144" max="6144" width="32.7109375" style="75" customWidth="1"/>
    <col min="6145" max="6147" width="32.85546875" style="75" customWidth="1"/>
    <col min="6148" max="6148" width="25.5703125" style="75" customWidth="1"/>
    <col min="6149" max="6149" width="30.28515625" style="75" customWidth="1"/>
    <col min="6150" max="6150" width="25.140625" style="75" customWidth="1"/>
    <col min="6151" max="6398" width="9.140625" style="75"/>
    <col min="6399" max="6399" width="121.140625" style="75" customWidth="1"/>
    <col min="6400" max="6400" width="32.7109375" style="75" customWidth="1"/>
    <col min="6401" max="6403" width="32.85546875" style="75" customWidth="1"/>
    <col min="6404" max="6404" width="25.5703125" style="75" customWidth="1"/>
    <col min="6405" max="6405" width="30.28515625" style="75" customWidth="1"/>
    <col min="6406" max="6406" width="25.140625" style="75" customWidth="1"/>
    <col min="6407" max="6654" width="9.140625" style="75"/>
    <col min="6655" max="6655" width="121.140625" style="75" customWidth="1"/>
    <col min="6656" max="6656" width="32.7109375" style="75" customWidth="1"/>
    <col min="6657" max="6659" width="32.85546875" style="75" customWidth="1"/>
    <col min="6660" max="6660" width="25.5703125" style="75" customWidth="1"/>
    <col min="6661" max="6661" width="30.28515625" style="75" customWidth="1"/>
    <col min="6662" max="6662" width="25.140625" style="75" customWidth="1"/>
    <col min="6663" max="6910" width="9.140625" style="75"/>
    <col min="6911" max="6911" width="121.140625" style="75" customWidth="1"/>
    <col min="6912" max="6912" width="32.7109375" style="75" customWidth="1"/>
    <col min="6913" max="6915" width="32.85546875" style="75" customWidth="1"/>
    <col min="6916" max="6916" width="25.5703125" style="75" customWidth="1"/>
    <col min="6917" max="6917" width="30.28515625" style="75" customWidth="1"/>
    <col min="6918" max="6918" width="25.140625" style="75" customWidth="1"/>
    <col min="6919" max="7166" width="9.140625" style="75"/>
    <col min="7167" max="7167" width="121.140625" style="75" customWidth="1"/>
    <col min="7168" max="7168" width="32.7109375" style="75" customWidth="1"/>
    <col min="7169" max="7171" width="32.85546875" style="75" customWidth="1"/>
    <col min="7172" max="7172" width="25.5703125" style="75" customWidth="1"/>
    <col min="7173" max="7173" width="30.28515625" style="75" customWidth="1"/>
    <col min="7174" max="7174" width="25.140625" style="75" customWidth="1"/>
    <col min="7175" max="7422" width="9.140625" style="75"/>
    <col min="7423" max="7423" width="121.140625" style="75" customWidth="1"/>
    <col min="7424" max="7424" width="32.7109375" style="75" customWidth="1"/>
    <col min="7425" max="7427" width="32.85546875" style="75" customWidth="1"/>
    <col min="7428" max="7428" width="25.5703125" style="75" customWidth="1"/>
    <col min="7429" max="7429" width="30.28515625" style="75" customWidth="1"/>
    <col min="7430" max="7430" width="25.140625" style="75" customWidth="1"/>
    <col min="7431" max="7678" width="9.140625" style="75"/>
    <col min="7679" max="7679" width="121.140625" style="75" customWidth="1"/>
    <col min="7680" max="7680" width="32.7109375" style="75" customWidth="1"/>
    <col min="7681" max="7683" width="32.85546875" style="75" customWidth="1"/>
    <col min="7684" max="7684" width="25.5703125" style="75" customWidth="1"/>
    <col min="7685" max="7685" width="30.28515625" style="75" customWidth="1"/>
    <col min="7686" max="7686" width="25.140625" style="75" customWidth="1"/>
    <col min="7687" max="7934" width="9.140625" style="75"/>
    <col min="7935" max="7935" width="121.140625" style="75" customWidth="1"/>
    <col min="7936" max="7936" width="32.7109375" style="75" customWidth="1"/>
    <col min="7937" max="7939" width="32.85546875" style="75" customWidth="1"/>
    <col min="7940" max="7940" width="25.5703125" style="75" customWidth="1"/>
    <col min="7941" max="7941" width="30.28515625" style="75" customWidth="1"/>
    <col min="7942" max="7942" width="25.140625" style="75" customWidth="1"/>
    <col min="7943" max="8190" width="9.140625" style="75"/>
    <col min="8191" max="8191" width="121.140625" style="75" customWidth="1"/>
    <col min="8192" max="8192" width="32.7109375" style="75" customWidth="1"/>
    <col min="8193" max="8195" width="32.85546875" style="75" customWidth="1"/>
    <col min="8196" max="8196" width="25.5703125" style="75" customWidth="1"/>
    <col min="8197" max="8197" width="30.28515625" style="75" customWidth="1"/>
    <col min="8198" max="8198" width="25.140625" style="75" customWidth="1"/>
    <col min="8199" max="8446" width="9.140625" style="75"/>
    <col min="8447" max="8447" width="121.140625" style="75" customWidth="1"/>
    <col min="8448" max="8448" width="32.7109375" style="75" customWidth="1"/>
    <col min="8449" max="8451" width="32.85546875" style="75" customWidth="1"/>
    <col min="8452" max="8452" width="25.5703125" style="75" customWidth="1"/>
    <col min="8453" max="8453" width="30.28515625" style="75" customWidth="1"/>
    <col min="8454" max="8454" width="25.140625" style="75" customWidth="1"/>
    <col min="8455" max="8702" width="9.140625" style="75"/>
    <col min="8703" max="8703" width="121.140625" style="75" customWidth="1"/>
    <col min="8704" max="8704" width="32.7109375" style="75" customWidth="1"/>
    <col min="8705" max="8707" width="32.85546875" style="75" customWidth="1"/>
    <col min="8708" max="8708" width="25.5703125" style="75" customWidth="1"/>
    <col min="8709" max="8709" width="30.28515625" style="75" customWidth="1"/>
    <col min="8710" max="8710" width="25.140625" style="75" customWidth="1"/>
    <col min="8711" max="8958" width="9.140625" style="75"/>
    <col min="8959" max="8959" width="121.140625" style="75" customWidth="1"/>
    <col min="8960" max="8960" width="32.7109375" style="75" customWidth="1"/>
    <col min="8961" max="8963" width="32.85546875" style="75" customWidth="1"/>
    <col min="8964" max="8964" width="25.5703125" style="75" customWidth="1"/>
    <col min="8965" max="8965" width="30.28515625" style="75" customWidth="1"/>
    <col min="8966" max="8966" width="25.140625" style="75" customWidth="1"/>
    <col min="8967" max="9214" width="9.140625" style="75"/>
    <col min="9215" max="9215" width="121.140625" style="75" customWidth="1"/>
    <col min="9216" max="9216" width="32.7109375" style="75" customWidth="1"/>
    <col min="9217" max="9219" width="32.85546875" style="75" customWidth="1"/>
    <col min="9220" max="9220" width="25.5703125" style="75" customWidth="1"/>
    <col min="9221" max="9221" width="30.28515625" style="75" customWidth="1"/>
    <col min="9222" max="9222" width="25.140625" style="75" customWidth="1"/>
    <col min="9223" max="9470" width="9.140625" style="75"/>
    <col min="9471" max="9471" width="121.140625" style="75" customWidth="1"/>
    <col min="9472" max="9472" width="32.7109375" style="75" customWidth="1"/>
    <col min="9473" max="9475" width="32.85546875" style="75" customWidth="1"/>
    <col min="9476" max="9476" width="25.5703125" style="75" customWidth="1"/>
    <col min="9477" max="9477" width="30.28515625" style="75" customWidth="1"/>
    <col min="9478" max="9478" width="25.140625" style="75" customWidth="1"/>
    <col min="9479" max="9726" width="9.140625" style="75"/>
    <col min="9727" max="9727" width="121.140625" style="75" customWidth="1"/>
    <col min="9728" max="9728" width="32.7109375" style="75" customWidth="1"/>
    <col min="9729" max="9731" width="32.85546875" style="75" customWidth="1"/>
    <col min="9732" max="9732" width="25.5703125" style="75" customWidth="1"/>
    <col min="9733" max="9733" width="30.28515625" style="75" customWidth="1"/>
    <col min="9734" max="9734" width="25.140625" style="75" customWidth="1"/>
    <col min="9735" max="9982" width="9.140625" style="75"/>
    <col min="9983" max="9983" width="121.140625" style="75" customWidth="1"/>
    <col min="9984" max="9984" width="32.7109375" style="75" customWidth="1"/>
    <col min="9985" max="9987" width="32.85546875" style="75" customWidth="1"/>
    <col min="9988" max="9988" width="25.5703125" style="75" customWidth="1"/>
    <col min="9989" max="9989" width="30.28515625" style="75" customWidth="1"/>
    <col min="9990" max="9990" width="25.140625" style="75" customWidth="1"/>
    <col min="9991" max="10238" width="9.140625" style="75"/>
    <col min="10239" max="10239" width="121.140625" style="75" customWidth="1"/>
    <col min="10240" max="10240" width="32.7109375" style="75" customWidth="1"/>
    <col min="10241" max="10243" width="32.85546875" style="75" customWidth="1"/>
    <col min="10244" max="10244" width="25.5703125" style="75" customWidth="1"/>
    <col min="10245" max="10245" width="30.28515625" style="75" customWidth="1"/>
    <col min="10246" max="10246" width="25.140625" style="75" customWidth="1"/>
    <col min="10247" max="10494" width="9.140625" style="75"/>
    <col min="10495" max="10495" width="121.140625" style="75" customWidth="1"/>
    <col min="10496" max="10496" width="32.7109375" style="75" customWidth="1"/>
    <col min="10497" max="10499" width="32.85546875" style="75" customWidth="1"/>
    <col min="10500" max="10500" width="25.5703125" style="75" customWidth="1"/>
    <col min="10501" max="10501" width="30.28515625" style="75" customWidth="1"/>
    <col min="10502" max="10502" width="25.140625" style="75" customWidth="1"/>
    <col min="10503" max="10750" width="9.140625" style="75"/>
    <col min="10751" max="10751" width="121.140625" style="75" customWidth="1"/>
    <col min="10752" max="10752" width="32.7109375" style="75" customWidth="1"/>
    <col min="10753" max="10755" width="32.85546875" style="75" customWidth="1"/>
    <col min="10756" max="10756" width="25.5703125" style="75" customWidth="1"/>
    <col min="10757" max="10757" width="30.28515625" style="75" customWidth="1"/>
    <col min="10758" max="10758" width="25.140625" style="75" customWidth="1"/>
    <col min="10759" max="11006" width="9.140625" style="75"/>
    <col min="11007" max="11007" width="121.140625" style="75" customWidth="1"/>
    <col min="11008" max="11008" width="32.7109375" style="75" customWidth="1"/>
    <col min="11009" max="11011" width="32.85546875" style="75" customWidth="1"/>
    <col min="11012" max="11012" width="25.5703125" style="75" customWidth="1"/>
    <col min="11013" max="11013" width="30.28515625" style="75" customWidth="1"/>
    <col min="11014" max="11014" width="25.140625" style="75" customWidth="1"/>
    <col min="11015" max="11262" width="9.140625" style="75"/>
    <col min="11263" max="11263" width="121.140625" style="75" customWidth="1"/>
    <col min="11264" max="11264" width="32.7109375" style="75" customWidth="1"/>
    <col min="11265" max="11267" width="32.85546875" style="75" customWidth="1"/>
    <col min="11268" max="11268" width="25.5703125" style="75" customWidth="1"/>
    <col min="11269" max="11269" width="30.28515625" style="75" customWidth="1"/>
    <col min="11270" max="11270" width="25.140625" style="75" customWidth="1"/>
    <col min="11271" max="11518" width="9.140625" style="75"/>
    <col min="11519" max="11519" width="121.140625" style="75" customWidth="1"/>
    <col min="11520" max="11520" width="32.7109375" style="75" customWidth="1"/>
    <col min="11521" max="11523" width="32.85546875" style="75" customWidth="1"/>
    <col min="11524" max="11524" width="25.5703125" style="75" customWidth="1"/>
    <col min="11525" max="11525" width="30.28515625" style="75" customWidth="1"/>
    <col min="11526" max="11526" width="25.140625" style="75" customWidth="1"/>
    <col min="11527" max="11774" width="9.140625" style="75"/>
    <col min="11775" max="11775" width="121.140625" style="75" customWidth="1"/>
    <col min="11776" max="11776" width="32.7109375" style="75" customWidth="1"/>
    <col min="11777" max="11779" width="32.85546875" style="75" customWidth="1"/>
    <col min="11780" max="11780" width="25.5703125" style="75" customWidth="1"/>
    <col min="11781" max="11781" width="30.28515625" style="75" customWidth="1"/>
    <col min="11782" max="11782" width="25.140625" style="75" customWidth="1"/>
    <col min="11783" max="12030" width="9.140625" style="75"/>
    <col min="12031" max="12031" width="121.140625" style="75" customWidth="1"/>
    <col min="12032" max="12032" width="32.7109375" style="75" customWidth="1"/>
    <col min="12033" max="12035" width="32.85546875" style="75" customWidth="1"/>
    <col min="12036" max="12036" width="25.5703125" style="75" customWidth="1"/>
    <col min="12037" max="12037" width="30.28515625" style="75" customWidth="1"/>
    <col min="12038" max="12038" width="25.140625" style="75" customWidth="1"/>
    <col min="12039" max="12286" width="9.140625" style="75"/>
    <col min="12287" max="12287" width="121.140625" style="75" customWidth="1"/>
    <col min="12288" max="12288" width="32.7109375" style="75" customWidth="1"/>
    <col min="12289" max="12291" width="32.85546875" style="75" customWidth="1"/>
    <col min="12292" max="12292" width="25.5703125" style="75" customWidth="1"/>
    <col min="12293" max="12293" width="30.28515625" style="75" customWidth="1"/>
    <col min="12294" max="12294" width="25.140625" style="75" customWidth="1"/>
    <col min="12295" max="12542" width="9.140625" style="75"/>
    <col min="12543" max="12543" width="121.140625" style="75" customWidth="1"/>
    <col min="12544" max="12544" width="32.7109375" style="75" customWidth="1"/>
    <col min="12545" max="12547" width="32.85546875" style="75" customWidth="1"/>
    <col min="12548" max="12548" width="25.5703125" style="75" customWidth="1"/>
    <col min="12549" max="12549" width="30.28515625" style="75" customWidth="1"/>
    <col min="12550" max="12550" width="25.140625" style="75" customWidth="1"/>
    <col min="12551" max="12798" width="9.140625" style="75"/>
    <col min="12799" max="12799" width="121.140625" style="75" customWidth="1"/>
    <col min="12800" max="12800" width="32.7109375" style="75" customWidth="1"/>
    <col min="12801" max="12803" width="32.85546875" style="75" customWidth="1"/>
    <col min="12804" max="12804" width="25.5703125" style="75" customWidth="1"/>
    <col min="12805" max="12805" width="30.28515625" style="75" customWidth="1"/>
    <col min="12806" max="12806" width="25.140625" style="75" customWidth="1"/>
    <col min="12807" max="13054" width="9.140625" style="75"/>
    <col min="13055" max="13055" width="121.140625" style="75" customWidth="1"/>
    <col min="13056" max="13056" width="32.7109375" style="75" customWidth="1"/>
    <col min="13057" max="13059" width="32.85546875" style="75" customWidth="1"/>
    <col min="13060" max="13060" width="25.5703125" style="75" customWidth="1"/>
    <col min="13061" max="13061" width="30.28515625" style="75" customWidth="1"/>
    <col min="13062" max="13062" width="25.140625" style="75" customWidth="1"/>
    <col min="13063" max="13310" width="9.140625" style="75"/>
    <col min="13311" max="13311" width="121.140625" style="75" customWidth="1"/>
    <col min="13312" max="13312" width="32.7109375" style="75" customWidth="1"/>
    <col min="13313" max="13315" width="32.85546875" style="75" customWidth="1"/>
    <col min="13316" max="13316" width="25.5703125" style="75" customWidth="1"/>
    <col min="13317" max="13317" width="30.28515625" style="75" customWidth="1"/>
    <col min="13318" max="13318" width="25.140625" style="75" customWidth="1"/>
    <col min="13319" max="13566" width="9.140625" style="75"/>
    <col min="13567" max="13567" width="121.140625" style="75" customWidth="1"/>
    <col min="13568" max="13568" width="32.7109375" style="75" customWidth="1"/>
    <col min="13569" max="13571" width="32.85546875" style="75" customWidth="1"/>
    <col min="13572" max="13572" width="25.5703125" style="75" customWidth="1"/>
    <col min="13573" max="13573" width="30.28515625" style="75" customWidth="1"/>
    <col min="13574" max="13574" width="25.140625" style="75" customWidth="1"/>
    <col min="13575" max="13822" width="9.140625" style="75"/>
    <col min="13823" max="13823" width="121.140625" style="75" customWidth="1"/>
    <col min="13824" max="13824" width="32.7109375" style="75" customWidth="1"/>
    <col min="13825" max="13827" width="32.85546875" style="75" customWidth="1"/>
    <col min="13828" max="13828" width="25.5703125" style="75" customWidth="1"/>
    <col min="13829" max="13829" width="30.28515625" style="75" customWidth="1"/>
    <col min="13830" max="13830" width="25.140625" style="75" customWidth="1"/>
    <col min="13831" max="14078" width="9.140625" style="75"/>
    <col min="14079" max="14079" width="121.140625" style="75" customWidth="1"/>
    <col min="14080" max="14080" width="32.7109375" style="75" customWidth="1"/>
    <col min="14081" max="14083" width="32.85546875" style="75" customWidth="1"/>
    <col min="14084" max="14084" width="25.5703125" style="75" customWidth="1"/>
    <col min="14085" max="14085" width="30.28515625" style="75" customWidth="1"/>
    <col min="14086" max="14086" width="25.140625" style="75" customWidth="1"/>
    <col min="14087" max="14334" width="9.140625" style="75"/>
    <col min="14335" max="14335" width="121.140625" style="75" customWidth="1"/>
    <col min="14336" max="14336" width="32.7109375" style="75" customWidth="1"/>
    <col min="14337" max="14339" width="32.85546875" style="75" customWidth="1"/>
    <col min="14340" max="14340" width="25.5703125" style="75" customWidth="1"/>
    <col min="14341" max="14341" width="30.28515625" style="75" customWidth="1"/>
    <col min="14342" max="14342" width="25.140625" style="75" customWidth="1"/>
    <col min="14343" max="14590" width="9.140625" style="75"/>
    <col min="14591" max="14591" width="121.140625" style="75" customWidth="1"/>
    <col min="14592" max="14592" width="32.7109375" style="75" customWidth="1"/>
    <col min="14593" max="14595" width="32.85546875" style="75" customWidth="1"/>
    <col min="14596" max="14596" width="25.5703125" style="75" customWidth="1"/>
    <col min="14597" max="14597" width="30.28515625" style="75" customWidth="1"/>
    <col min="14598" max="14598" width="25.140625" style="75" customWidth="1"/>
    <col min="14599" max="14846" width="9.140625" style="75"/>
    <col min="14847" max="14847" width="121.140625" style="75" customWidth="1"/>
    <col min="14848" max="14848" width="32.7109375" style="75" customWidth="1"/>
    <col min="14849" max="14851" width="32.85546875" style="75" customWidth="1"/>
    <col min="14852" max="14852" width="25.5703125" style="75" customWidth="1"/>
    <col min="14853" max="14853" width="30.28515625" style="75" customWidth="1"/>
    <col min="14854" max="14854" width="25.140625" style="75" customWidth="1"/>
    <col min="14855" max="15102" width="9.140625" style="75"/>
    <col min="15103" max="15103" width="121.140625" style="75" customWidth="1"/>
    <col min="15104" max="15104" width="32.7109375" style="75" customWidth="1"/>
    <col min="15105" max="15107" width="32.85546875" style="75" customWidth="1"/>
    <col min="15108" max="15108" width="25.5703125" style="75" customWidth="1"/>
    <col min="15109" max="15109" width="30.28515625" style="75" customWidth="1"/>
    <col min="15110" max="15110" width="25.140625" style="75" customWidth="1"/>
    <col min="15111" max="15358" width="9.140625" style="75"/>
    <col min="15359" max="15359" width="121.140625" style="75" customWidth="1"/>
    <col min="15360" max="15360" width="32.7109375" style="75" customWidth="1"/>
    <col min="15361" max="15363" width="32.85546875" style="75" customWidth="1"/>
    <col min="15364" max="15364" width="25.5703125" style="75" customWidth="1"/>
    <col min="15365" max="15365" width="30.28515625" style="75" customWidth="1"/>
    <col min="15366" max="15366" width="25.140625" style="75" customWidth="1"/>
    <col min="15367" max="15614" width="9.140625" style="75"/>
    <col min="15615" max="15615" width="121.140625" style="75" customWidth="1"/>
    <col min="15616" max="15616" width="32.7109375" style="75" customWidth="1"/>
    <col min="15617" max="15619" width="32.85546875" style="75" customWidth="1"/>
    <col min="15620" max="15620" width="25.5703125" style="75" customWidth="1"/>
    <col min="15621" max="15621" width="30.28515625" style="75" customWidth="1"/>
    <col min="15622" max="15622" width="25.140625" style="75" customWidth="1"/>
    <col min="15623" max="15870" width="9.140625" style="75"/>
    <col min="15871" max="15871" width="121.140625" style="75" customWidth="1"/>
    <col min="15872" max="15872" width="32.7109375" style="75" customWidth="1"/>
    <col min="15873" max="15875" width="32.85546875" style="75" customWidth="1"/>
    <col min="15876" max="15876" width="25.5703125" style="75" customWidth="1"/>
    <col min="15877" max="15877" width="30.28515625" style="75" customWidth="1"/>
    <col min="15878" max="15878" width="25.140625" style="75" customWidth="1"/>
    <col min="15879" max="16126" width="9.140625" style="75"/>
    <col min="16127" max="16127" width="121.140625" style="75" customWidth="1"/>
    <col min="16128" max="16128" width="32.7109375" style="75" customWidth="1"/>
    <col min="16129" max="16131" width="32.85546875" style="75" customWidth="1"/>
    <col min="16132" max="16132" width="25.5703125" style="75" customWidth="1"/>
    <col min="16133" max="16133" width="30.28515625" style="75" customWidth="1"/>
    <col min="16134" max="16134" width="25.140625" style="75" customWidth="1"/>
    <col min="16135" max="16384" width="9.140625" style="75"/>
  </cols>
  <sheetData>
    <row r="1" spans="1:6" s="69" customFormat="1" ht="46.5">
      <c r="A1" s="1" t="s">
        <v>0</v>
      </c>
      <c r="D1" s="277" t="s">
        <v>1</v>
      </c>
      <c r="E1" s="289" t="s">
        <v>116</v>
      </c>
      <c r="F1" s="281"/>
    </row>
    <row r="2" spans="1:6" s="69" customFormat="1" ht="46.5">
      <c r="A2" s="1" t="s">
        <v>2</v>
      </c>
      <c r="B2" s="2"/>
      <c r="C2" s="2"/>
      <c r="D2" s="2"/>
      <c r="E2" s="67"/>
      <c r="F2" s="67"/>
    </row>
    <row r="3" spans="1:6" s="69" customFormat="1" ht="47.25" thickBot="1">
      <c r="A3" s="7" t="s">
        <v>3</v>
      </c>
      <c r="B3" s="8"/>
      <c r="C3" s="8"/>
      <c r="D3" s="8"/>
      <c r="E3" s="67"/>
      <c r="F3" s="67"/>
    </row>
    <row r="4" spans="1:6" s="70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71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70" customFormat="1" ht="26.25">
      <c r="A6" s="18" t="s">
        <v>14</v>
      </c>
      <c r="B6" s="19"/>
      <c r="C6" s="19"/>
      <c r="D6" s="19"/>
      <c r="E6" s="19"/>
      <c r="F6" s="20"/>
    </row>
    <row r="7" spans="1:6" s="70" customFormat="1" ht="26.25">
      <c r="A7" s="18" t="s">
        <v>15</v>
      </c>
      <c r="B7" s="19"/>
      <c r="C7" s="19"/>
      <c r="D7" s="19"/>
      <c r="E7" s="19"/>
      <c r="F7" s="21"/>
    </row>
    <row r="8" spans="1:6" s="70" customFormat="1" ht="26.25">
      <c r="A8" s="22" t="s">
        <v>16</v>
      </c>
      <c r="B8" s="23">
        <v>7337707</v>
      </c>
      <c r="C8" s="23">
        <v>7337707</v>
      </c>
      <c r="D8" s="23">
        <v>6686136</v>
      </c>
      <c r="E8" s="23">
        <v>-651571</v>
      </c>
      <c r="F8" s="24">
        <v>-8.8797631194595258E-2</v>
      </c>
    </row>
    <row r="9" spans="1:6" s="70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70" customFormat="1" ht="26.25">
      <c r="A10" s="25" t="s">
        <v>18</v>
      </c>
      <c r="B10" s="298">
        <v>518463</v>
      </c>
      <c r="C10" s="26">
        <v>519189</v>
      </c>
      <c r="D10" s="26">
        <v>191210</v>
      </c>
      <c r="E10" s="26">
        <v>-327979</v>
      </c>
      <c r="F10" s="24">
        <v>-0.63171407714724315</v>
      </c>
    </row>
    <row r="11" spans="1:6" s="70" customFormat="1" ht="26.25">
      <c r="A11" s="27" t="s">
        <v>19</v>
      </c>
      <c r="B11" s="299">
        <v>4440</v>
      </c>
      <c r="C11" s="28">
        <v>4440</v>
      </c>
      <c r="D11" s="28">
        <v>0</v>
      </c>
      <c r="E11" s="26">
        <v>-4440</v>
      </c>
      <c r="F11" s="24">
        <v>-1</v>
      </c>
    </row>
    <row r="12" spans="1:6" s="70" customFormat="1" ht="26.25">
      <c r="A12" s="29" t="s">
        <v>20</v>
      </c>
      <c r="B12" s="299">
        <v>189023</v>
      </c>
      <c r="C12" s="28">
        <v>189749</v>
      </c>
      <c r="D12" s="28">
        <v>191210</v>
      </c>
      <c r="E12" s="26">
        <v>1461</v>
      </c>
      <c r="F12" s="24">
        <v>7.6996453209239573E-3</v>
      </c>
    </row>
    <row r="13" spans="1:6" s="70" customFormat="1" ht="26.25">
      <c r="A13" s="29" t="s">
        <v>21</v>
      </c>
      <c r="B13" s="299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70" customFormat="1" ht="26.25">
      <c r="A14" s="29" t="s">
        <v>22</v>
      </c>
      <c r="B14" s="299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70" customFormat="1" ht="26.25">
      <c r="A15" s="29" t="s">
        <v>23</v>
      </c>
      <c r="B15" s="299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70" customFormat="1" ht="26.25">
      <c r="A16" s="29" t="s">
        <v>24</v>
      </c>
      <c r="B16" s="299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70" customFormat="1" ht="26.25">
      <c r="A17" s="29" t="s">
        <v>25</v>
      </c>
      <c r="B17" s="299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70" customFormat="1" ht="26.25">
      <c r="A18" s="29" t="s">
        <v>26</v>
      </c>
      <c r="B18" s="299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70" customFormat="1" ht="26.25">
      <c r="A19" s="29" t="s">
        <v>27</v>
      </c>
      <c r="B19" s="299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70" customFormat="1" ht="26.25">
      <c r="A20" s="29" t="s">
        <v>28</v>
      </c>
      <c r="B20" s="299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70" customFormat="1" ht="26.25">
      <c r="A21" s="29" t="s">
        <v>29</v>
      </c>
      <c r="B21" s="299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70" customFormat="1" ht="26.25">
      <c r="A22" s="29" t="s">
        <v>30</v>
      </c>
      <c r="B22" s="299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70" customFormat="1" ht="26.25">
      <c r="A23" s="30" t="s">
        <v>31</v>
      </c>
      <c r="B23" s="299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70" customFormat="1" ht="26.25">
      <c r="A24" s="30" t="s">
        <v>32</v>
      </c>
      <c r="B24" s="299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70" customFormat="1" ht="26.25">
      <c r="A25" s="30" t="s">
        <v>33</v>
      </c>
      <c r="B25" s="299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70" customFormat="1" ht="26.25">
      <c r="A26" s="30" t="s">
        <v>34</v>
      </c>
      <c r="B26" s="299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70" customFormat="1" ht="26.25">
      <c r="A27" s="30" t="s">
        <v>35</v>
      </c>
      <c r="B27" s="299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70" customFormat="1" ht="26.25">
      <c r="A28" s="30" t="s">
        <v>36</v>
      </c>
      <c r="B28" s="299">
        <v>325000</v>
      </c>
      <c r="C28" s="28">
        <v>325000</v>
      </c>
      <c r="D28" s="28">
        <v>0</v>
      </c>
      <c r="E28" s="26">
        <v>-325000</v>
      </c>
      <c r="F28" s="24">
        <v>-1</v>
      </c>
    </row>
    <row r="29" spans="1:6" s="70" customFormat="1" ht="26.25">
      <c r="A29" s="31" t="s">
        <v>37</v>
      </c>
      <c r="B29" s="299"/>
      <c r="C29" s="28"/>
      <c r="D29" s="28"/>
      <c r="E29" s="28"/>
      <c r="F29" s="20"/>
    </row>
    <row r="30" spans="1:6" s="70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70" customFormat="1" ht="26.25">
      <c r="A31" s="32" t="s">
        <v>39</v>
      </c>
      <c r="B31" s="299"/>
      <c r="C31" s="28"/>
      <c r="D31" s="28"/>
      <c r="E31" s="28"/>
      <c r="F31" s="20"/>
    </row>
    <row r="32" spans="1:6" s="70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70" customFormat="1" ht="26.25">
      <c r="A33" s="29" t="s">
        <v>40</v>
      </c>
      <c r="B33" s="299"/>
      <c r="C33" s="28"/>
      <c r="D33" s="28"/>
      <c r="E33" s="26"/>
      <c r="F33" s="24" t="s">
        <v>41</v>
      </c>
    </row>
    <row r="34" spans="1:10" s="72" customFormat="1" ht="26.25">
      <c r="A34" s="33" t="s">
        <v>42</v>
      </c>
      <c r="B34" s="300">
        <v>7856170</v>
      </c>
      <c r="C34" s="34">
        <v>7856896</v>
      </c>
      <c r="D34" s="34">
        <v>6877346</v>
      </c>
      <c r="E34" s="34">
        <v>-979550</v>
      </c>
      <c r="F34" s="35">
        <v>-0.12467391702779317</v>
      </c>
    </row>
    <row r="35" spans="1:10" s="70" customFormat="1" ht="26.25">
      <c r="A35" s="31" t="s">
        <v>43</v>
      </c>
      <c r="B35" s="299"/>
      <c r="C35" s="28"/>
      <c r="D35" s="28"/>
      <c r="E35" s="28"/>
      <c r="F35" s="20"/>
    </row>
    <row r="36" spans="1:10" s="70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70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70" customFormat="1" ht="26.25">
      <c r="A38" s="38" t="s">
        <v>46</v>
      </c>
      <c r="B38" s="23">
        <v>645071</v>
      </c>
      <c r="C38" s="23">
        <v>0</v>
      </c>
      <c r="D38" s="23">
        <v>0</v>
      </c>
      <c r="E38" s="26">
        <v>0</v>
      </c>
      <c r="F38" s="24">
        <v>0</v>
      </c>
    </row>
    <row r="39" spans="1:10" s="70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70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72" customFormat="1" ht="26.25">
      <c r="A41" s="31" t="s">
        <v>49</v>
      </c>
      <c r="B41" s="40">
        <v>645071</v>
      </c>
      <c r="C41" s="40">
        <v>0</v>
      </c>
      <c r="D41" s="40">
        <v>0</v>
      </c>
      <c r="E41" s="40">
        <v>0</v>
      </c>
      <c r="F41" s="35">
        <v>0</v>
      </c>
      <c r="J41" s="72" t="s">
        <v>50</v>
      </c>
    </row>
    <row r="42" spans="1:10" s="70" customFormat="1" ht="26.25">
      <c r="A42" s="29" t="s">
        <v>50</v>
      </c>
      <c r="B42" s="299"/>
      <c r="C42" s="28"/>
      <c r="D42" s="28"/>
      <c r="E42" s="28"/>
      <c r="F42" s="20"/>
    </row>
    <row r="43" spans="1:10" s="72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70" customFormat="1" ht="26.25">
      <c r="A44" s="29" t="s">
        <v>50</v>
      </c>
      <c r="B44" s="299"/>
      <c r="C44" s="28"/>
      <c r="D44" s="28"/>
      <c r="E44" s="28"/>
      <c r="F44" s="20"/>
    </row>
    <row r="45" spans="1:10" s="72" customFormat="1" ht="26.25">
      <c r="A45" s="41" t="s">
        <v>52</v>
      </c>
      <c r="B45" s="42">
        <v>1867259</v>
      </c>
      <c r="C45" s="42">
        <v>1867259</v>
      </c>
      <c r="D45" s="42">
        <v>0</v>
      </c>
      <c r="E45" s="42">
        <v>-1867259</v>
      </c>
      <c r="F45" s="35">
        <v>-1</v>
      </c>
    </row>
    <row r="46" spans="1:10" s="70" customFormat="1" ht="26.25">
      <c r="A46" s="29" t="s">
        <v>50</v>
      </c>
      <c r="B46" s="299"/>
      <c r="C46" s="28"/>
      <c r="D46" s="28"/>
      <c r="E46" s="28"/>
      <c r="F46" s="20"/>
    </row>
    <row r="47" spans="1:10" s="72" customFormat="1" ht="26.25">
      <c r="A47" s="31" t="s">
        <v>53</v>
      </c>
      <c r="B47" s="40">
        <v>5526138</v>
      </c>
      <c r="C47" s="40">
        <v>5067377</v>
      </c>
      <c r="D47" s="40">
        <v>6968300</v>
      </c>
      <c r="E47" s="40">
        <v>1900923</v>
      </c>
      <c r="F47" s="35">
        <v>0.37512957887285669</v>
      </c>
    </row>
    <row r="48" spans="1:10" s="70" customFormat="1" ht="26.25">
      <c r="A48" s="29" t="s">
        <v>50</v>
      </c>
      <c r="B48" s="299"/>
      <c r="C48" s="28"/>
      <c r="D48" s="28"/>
      <c r="E48" s="28"/>
      <c r="F48" s="20"/>
    </row>
    <row r="49" spans="1:6" s="72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70" customFormat="1" ht="26.25">
      <c r="A50" s="31"/>
      <c r="B50" s="19"/>
      <c r="C50" s="19"/>
      <c r="D50" s="19"/>
      <c r="E50" s="19"/>
      <c r="F50" s="45"/>
    </row>
    <row r="51" spans="1:6" s="72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70" customFormat="1" ht="26.25">
      <c r="A52" s="29"/>
      <c r="B52" s="299"/>
      <c r="C52" s="28"/>
      <c r="D52" s="28"/>
      <c r="E52" s="28"/>
      <c r="F52" s="20"/>
    </row>
    <row r="53" spans="1:6" s="72" customFormat="1" ht="26.25">
      <c r="A53" s="46" t="s">
        <v>56</v>
      </c>
      <c r="B53" s="40">
        <v>14604496</v>
      </c>
      <c r="C53" s="40">
        <v>14791532</v>
      </c>
      <c r="D53" s="40">
        <v>13845646</v>
      </c>
      <c r="E53" s="40">
        <v>-945886</v>
      </c>
      <c r="F53" s="35">
        <v>-6.3947804730436306E-2</v>
      </c>
    </row>
    <row r="54" spans="1:6" s="70" customFormat="1" ht="26.25">
      <c r="A54" s="47"/>
      <c r="B54" s="299"/>
      <c r="C54" s="28"/>
      <c r="D54" s="28"/>
      <c r="E54" s="28"/>
      <c r="F54" s="20" t="s">
        <v>50</v>
      </c>
    </row>
    <row r="55" spans="1:6" s="70" customFormat="1" ht="26.25">
      <c r="A55" s="48"/>
      <c r="B55" s="19"/>
      <c r="C55" s="19"/>
      <c r="D55" s="19"/>
      <c r="E55" s="19"/>
      <c r="F55" s="21" t="s">
        <v>50</v>
      </c>
    </row>
    <row r="56" spans="1:6" s="70" customFormat="1" ht="26.25">
      <c r="A56" s="46" t="s">
        <v>57</v>
      </c>
      <c r="B56" s="19"/>
      <c r="C56" s="19"/>
      <c r="D56" s="19"/>
      <c r="E56" s="19"/>
      <c r="F56" s="21"/>
    </row>
    <row r="57" spans="1:6" s="70" customFormat="1" ht="26.25">
      <c r="A57" s="27" t="s">
        <v>58</v>
      </c>
      <c r="B57" s="19">
        <v>5381073</v>
      </c>
      <c r="C57" s="19">
        <v>5081443</v>
      </c>
      <c r="D57" s="19">
        <v>5107703</v>
      </c>
      <c r="E57" s="19">
        <v>26260</v>
      </c>
      <c r="F57" s="24">
        <v>5.1678233918987185E-3</v>
      </c>
    </row>
    <row r="58" spans="1:6" s="70" customFormat="1" ht="26.25">
      <c r="A58" s="29" t="s">
        <v>59</v>
      </c>
      <c r="B58" s="299">
        <v>0</v>
      </c>
      <c r="C58" s="28">
        <v>0</v>
      </c>
      <c r="D58" s="28">
        <v>0</v>
      </c>
      <c r="E58" s="28">
        <v>0</v>
      </c>
      <c r="F58" s="24">
        <v>0</v>
      </c>
    </row>
    <row r="59" spans="1:6" s="70" customFormat="1" ht="26.25">
      <c r="A59" s="29" t="s">
        <v>60</v>
      </c>
      <c r="B59" s="299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70" customFormat="1" ht="26.25">
      <c r="A60" s="29" t="s">
        <v>61</v>
      </c>
      <c r="B60" s="299">
        <v>796514</v>
      </c>
      <c r="C60" s="28">
        <v>1265937</v>
      </c>
      <c r="D60" s="28">
        <v>1012207</v>
      </c>
      <c r="E60" s="28">
        <v>-253730</v>
      </c>
      <c r="F60" s="24">
        <v>-0.20042861532603914</v>
      </c>
    </row>
    <row r="61" spans="1:6" s="70" customFormat="1" ht="26.25">
      <c r="A61" s="29" t="s">
        <v>62</v>
      </c>
      <c r="B61" s="299">
        <v>878557</v>
      </c>
      <c r="C61" s="28">
        <v>945028</v>
      </c>
      <c r="D61" s="28">
        <v>970716</v>
      </c>
      <c r="E61" s="28">
        <v>25688</v>
      </c>
      <c r="F61" s="24">
        <v>2.718226338267226E-2</v>
      </c>
    </row>
    <row r="62" spans="1:6" s="70" customFormat="1" ht="26.25">
      <c r="A62" s="29" t="s">
        <v>63</v>
      </c>
      <c r="B62" s="299">
        <v>5100762</v>
      </c>
      <c r="C62" s="28">
        <v>5180887</v>
      </c>
      <c r="D62" s="28">
        <v>4563925</v>
      </c>
      <c r="E62" s="28">
        <v>-616962</v>
      </c>
      <c r="F62" s="24">
        <v>-0.1190842417524258</v>
      </c>
    </row>
    <row r="63" spans="1:6" s="70" customFormat="1" ht="26.25">
      <c r="A63" s="29" t="s">
        <v>64</v>
      </c>
      <c r="B63" s="299">
        <v>189730</v>
      </c>
      <c r="C63" s="28">
        <v>100000</v>
      </c>
      <c r="D63" s="28">
        <v>100000</v>
      </c>
      <c r="E63" s="28">
        <v>0</v>
      </c>
      <c r="F63" s="24">
        <v>0</v>
      </c>
    </row>
    <row r="64" spans="1:6" s="70" customFormat="1" ht="26.25">
      <c r="A64" s="29" t="s">
        <v>65</v>
      </c>
      <c r="B64" s="299">
        <v>2257860</v>
      </c>
      <c r="C64" s="28">
        <v>2218237</v>
      </c>
      <c r="D64" s="28">
        <v>2091095</v>
      </c>
      <c r="E64" s="28">
        <v>-127142</v>
      </c>
      <c r="F64" s="24">
        <v>-5.731668888401014E-2</v>
      </c>
    </row>
    <row r="65" spans="1:6" s="72" customFormat="1" ht="26.25">
      <c r="A65" s="49" t="s">
        <v>66</v>
      </c>
      <c r="B65" s="300">
        <v>14604496</v>
      </c>
      <c r="C65" s="34">
        <v>14791532</v>
      </c>
      <c r="D65" s="34">
        <v>13845646</v>
      </c>
      <c r="E65" s="34">
        <v>-945886</v>
      </c>
      <c r="F65" s="35">
        <v>-6.3947804730436306E-2</v>
      </c>
    </row>
    <row r="66" spans="1:6" s="70" customFormat="1" ht="26.25">
      <c r="A66" s="29" t="s">
        <v>67</v>
      </c>
      <c r="B66" s="299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70" customFormat="1" ht="26.25">
      <c r="A67" s="29" t="s">
        <v>68</v>
      </c>
      <c r="B67" s="299">
        <v>0</v>
      </c>
      <c r="C67" s="28">
        <v>0</v>
      </c>
      <c r="D67" s="28">
        <v>0</v>
      </c>
      <c r="E67" s="28">
        <v>0</v>
      </c>
      <c r="F67" s="24">
        <v>0</v>
      </c>
    </row>
    <row r="68" spans="1:6" s="70" customFormat="1" ht="26.25">
      <c r="A68" s="29" t="s">
        <v>69</v>
      </c>
      <c r="B68" s="299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70" customFormat="1" ht="26.25">
      <c r="A69" s="29" t="s">
        <v>70</v>
      </c>
      <c r="B69" s="299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72" customFormat="1" ht="26.25">
      <c r="A70" s="50" t="s">
        <v>71</v>
      </c>
      <c r="B70" s="301">
        <v>14604496</v>
      </c>
      <c r="C70" s="51">
        <v>14791532</v>
      </c>
      <c r="D70" s="51">
        <v>13845646</v>
      </c>
      <c r="E70" s="51">
        <v>-945886</v>
      </c>
      <c r="F70" s="35">
        <v>-6.3947804730436306E-2</v>
      </c>
    </row>
    <row r="71" spans="1:6" s="70" customFormat="1" ht="26.25">
      <c r="A71" s="48"/>
      <c r="B71" s="19"/>
      <c r="C71" s="19"/>
      <c r="D71" s="19"/>
      <c r="E71" s="19"/>
      <c r="F71" s="21"/>
    </row>
    <row r="72" spans="1:6" s="70" customFormat="1" ht="26.25">
      <c r="A72" s="46" t="s">
        <v>72</v>
      </c>
      <c r="B72" s="19"/>
      <c r="C72" s="19"/>
      <c r="D72" s="19"/>
      <c r="E72" s="19"/>
      <c r="F72" s="21"/>
    </row>
    <row r="73" spans="1:6" s="70" customFormat="1" ht="26.25">
      <c r="A73" s="27" t="s">
        <v>73</v>
      </c>
      <c r="B73" s="23">
        <v>8124724</v>
      </c>
      <c r="C73" s="23">
        <v>8007624</v>
      </c>
      <c r="D73" s="23">
        <v>7852434</v>
      </c>
      <c r="E73" s="19">
        <v>-155190</v>
      </c>
      <c r="F73" s="24">
        <v>-1.9380280592595257E-2</v>
      </c>
    </row>
    <row r="74" spans="1:6" s="70" customFormat="1" ht="26.25">
      <c r="A74" s="29" t="s">
        <v>74</v>
      </c>
      <c r="B74" s="298">
        <v>0</v>
      </c>
      <c r="C74" s="23">
        <v>0</v>
      </c>
      <c r="D74" s="23">
        <v>0</v>
      </c>
      <c r="E74" s="28">
        <v>0</v>
      </c>
      <c r="F74" s="24">
        <v>0</v>
      </c>
    </row>
    <row r="75" spans="1:6" s="70" customFormat="1" ht="26.25">
      <c r="A75" s="29" t="s">
        <v>75</v>
      </c>
      <c r="B75" s="19">
        <v>2578510</v>
      </c>
      <c r="C75" s="23">
        <v>2741036</v>
      </c>
      <c r="D75" s="23">
        <v>2718546</v>
      </c>
      <c r="E75" s="28">
        <v>-22490</v>
      </c>
      <c r="F75" s="24">
        <v>-8.2049268962538259E-3</v>
      </c>
    </row>
    <row r="76" spans="1:6" s="72" customFormat="1" ht="26.25">
      <c r="A76" s="49" t="s">
        <v>76</v>
      </c>
      <c r="B76" s="301">
        <v>10703234</v>
      </c>
      <c r="C76" s="51">
        <v>10748660</v>
      </c>
      <c r="D76" s="51">
        <v>10570980</v>
      </c>
      <c r="E76" s="34">
        <v>-177680</v>
      </c>
      <c r="F76" s="35">
        <v>-1.6530432630672103E-2</v>
      </c>
    </row>
    <row r="77" spans="1:6" s="70" customFormat="1" ht="26.25">
      <c r="A77" s="29" t="s">
        <v>77</v>
      </c>
      <c r="B77" s="298">
        <v>43084</v>
      </c>
      <c r="C77" s="26">
        <v>65392</v>
      </c>
      <c r="D77" s="26">
        <v>48675</v>
      </c>
      <c r="E77" s="28">
        <v>-16717</v>
      </c>
      <c r="F77" s="24">
        <v>-0.25564289209689256</v>
      </c>
    </row>
    <row r="78" spans="1:6" s="70" customFormat="1" ht="26.25">
      <c r="A78" s="29" t="s">
        <v>78</v>
      </c>
      <c r="B78" s="23">
        <v>1574675</v>
      </c>
      <c r="C78" s="23">
        <v>1846001</v>
      </c>
      <c r="D78" s="23">
        <v>1822930</v>
      </c>
      <c r="E78" s="28">
        <v>-23071</v>
      </c>
      <c r="F78" s="24">
        <v>-1.2497826382542588E-2</v>
      </c>
    </row>
    <row r="79" spans="1:6" s="70" customFormat="1" ht="26.25">
      <c r="A79" s="29" t="s">
        <v>79</v>
      </c>
      <c r="B79" s="19">
        <v>112169</v>
      </c>
      <c r="C79" s="19">
        <v>75644</v>
      </c>
      <c r="D79" s="19">
        <v>111107</v>
      </c>
      <c r="E79" s="28">
        <v>35463</v>
      </c>
      <c r="F79" s="24">
        <v>0.46881444661837024</v>
      </c>
    </row>
    <row r="80" spans="1:6" s="72" customFormat="1" ht="26.25">
      <c r="A80" s="32" t="s">
        <v>80</v>
      </c>
      <c r="B80" s="301">
        <v>1729928</v>
      </c>
      <c r="C80" s="51">
        <v>1987037</v>
      </c>
      <c r="D80" s="51">
        <v>1982712</v>
      </c>
      <c r="E80" s="34">
        <v>-4325</v>
      </c>
      <c r="F80" s="35">
        <v>-2.1766076826953903E-3</v>
      </c>
    </row>
    <row r="81" spans="1:6" s="70" customFormat="1" ht="26.25">
      <c r="A81" s="29" t="s">
        <v>81</v>
      </c>
      <c r="B81" s="19">
        <v>189090</v>
      </c>
      <c r="C81" s="19">
        <v>63733</v>
      </c>
      <c r="D81" s="19">
        <v>55233</v>
      </c>
      <c r="E81" s="28">
        <v>-8500</v>
      </c>
      <c r="F81" s="24">
        <v>-0.13336889837289945</v>
      </c>
    </row>
    <row r="82" spans="1:6" s="70" customFormat="1" ht="26.25">
      <c r="A82" s="29" t="s">
        <v>82</v>
      </c>
      <c r="B82" s="299">
        <v>464262</v>
      </c>
      <c r="C82" s="28">
        <v>1089250</v>
      </c>
      <c r="D82" s="28">
        <v>717250</v>
      </c>
      <c r="E82" s="28">
        <v>-372000</v>
      </c>
      <c r="F82" s="24">
        <v>-0.34151939407849435</v>
      </c>
    </row>
    <row r="83" spans="1:6" s="70" customFormat="1" ht="26.25">
      <c r="A83" s="29" t="s">
        <v>83</v>
      </c>
      <c r="B83" s="299">
        <v>0</v>
      </c>
      <c r="C83" s="28">
        <v>75542</v>
      </c>
      <c r="D83" s="28">
        <v>75542</v>
      </c>
      <c r="E83" s="28">
        <v>0</v>
      </c>
      <c r="F83" s="24">
        <v>0</v>
      </c>
    </row>
    <row r="84" spans="1:6" s="70" customFormat="1" ht="26.25">
      <c r="A84" s="29" t="s">
        <v>84</v>
      </c>
      <c r="B84" s="299">
        <v>1444553</v>
      </c>
      <c r="C84" s="28">
        <v>700000</v>
      </c>
      <c r="D84" s="28">
        <v>388632</v>
      </c>
      <c r="E84" s="28">
        <v>-311368</v>
      </c>
      <c r="F84" s="24">
        <v>-0.44481142857142858</v>
      </c>
    </row>
    <row r="85" spans="1:6" s="72" customFormat="1" ht="26.25">
      <c r="A85" s="32" t="s">
        <v>85</v>
      </c>
      <c r="B85" s="300">
        <v>2097905</v>
      </c>
      <c r="C85" s="34">
        <v>1928525</v>
      </c>
      <c r="D85" s="34">
        <v>1236657</v>
      </c>
      <c r="E85" s="34">
        <v>-691868</v>
      </c>
      <c r="F85" s="35">
        <v>-0.35875500706498492</v>
      </c>
    </row>
    <row r="86" spans="1:6" s="70" customFormat="1" ht="26.25">
      <c r="A86" s="29" t="s">
        <v>86</v>
      </c>
      <c r="B86" s="299">
        <v>19779</v>
      </c>
      <c r="C86" s="28">
        <v>20000</v>
      </c>
      <c r="D86" s="28">
        <v>1000</v>
      </c>
      <c r="E86" s="28">
        <v>-19000</v>
      </c>
      <c r="F86" s="24">
        <v>-0.95</v>
      </c>
    </row>
    <row r="87" spans="1:6" s="70" customFormat="1" ht="26.25">
      <c r="A87" s="29" t="s">
        <v>87</v>
      </c>
      <c r="B87" s="299">
        <v>53650</v>
      </c>
      <c r="C87" s="28">
        <v>54297</v>
      </c>
      <c r="D87" s="28">
        <v>54297</v>
      </c>
      <c r="E87" s="28">
        <v>0</v>
      </c>
      <c r="F87" s="24">
        <v>0</v>
      </c>
    </row>
    <row r="88" spans="1:6" s="70" customFormat="1" ht="26.25">
      <c r="A88" s="38" t="s">
        <v>88</v>
      </c>
      <c r="B88" s="299">
        <v>0</v>
      </c>
      <c r="C88" s="28">
        <v>53013</v>
      </c>
      <c r="D88" s="28">
        <v>0</v>
      </c>
      <c r="E88" s="28">
        <v>-53013</v>
      </c>
      <c r="F88" s="24">
        <v>-1</v>
      </c>
    </row>
    <row r="89" spans="1:6" s="72" customFormat="1" ht="26.25">
      <c r="A89" s="52" t="s">
        <v>89</v>
      </c>
      <c r="B89" s="301">
        <v>73429</v>
      </c>
      <c r="C89" s="51">
        <v>127310</v>
      </c>
      <c r="D89" s="51">
        <v>55297</v>
      </c>
      <c r="E89" s="51">
        <v>-72013</v>
      </c>
      <c r="F89" s="35">
        <v>-0.56565077370198724</v>
      </c>
    </row>
    <row r="90" spans="1:6" s="70" customFormat="1" ht="26.25">
      <c r="A90" s="38" t="s">
        <v>90</v>
      </c>
      <c r="B90" s="299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72" customFormat="1" ht="27" thickBot="1">
      <c r="A91" s="53" t="s">
        <v>71</v>
      </c>
      <c r="B91" s="302">
        <v>14604496</v>
      </c>
      <c r="C91" s="54">
        <v>14791532</v>
      </c>
      <c r="D91" s="55">
        <v>13845646</v>
      </c>
      <c r="E91" s="54">
        <v>-945886</v>
      </c>
      <c r="F91" s="56">
        <v>-6.3947804730436306E-2</v>
      </c>
    </row>
    <row r="92" spans="1:6" s="74" customFormat="1" ht="31.5">
      <c r="A92" s="57"/>
      <c r="B92" s="58"/>
      <c r="C92" s="58"/>
      <c r="D92" s="58"/>
      <c r="E92" s="73"/>
      <c r="F92" s="73"/>
    </row>
    <row r="93" spans="1:6" s="74" customFormat="1" ht="31.5">
      <c r="A93" s="61" t="s">
        <v>91</v>
      </c>
      <c r="B93" s="62"/>
      <c r="C93" s="62"/>
      <c r="D93" s="62"/>
      <c r="E93" s="73"/>
      <c r="F93" s="73"/>
    </row>
    <row r="94" spans="1:6" s="74" customFormat="1" ht="31.5">
      <c r="A94" s="61" t="s">
        <v>92</v>
      </c>
      <c r="B94" s="62"/>
      <c r="C94" s="62"/>
      <c r="D94" s="62"/>
      <c r="E94" s="73"/>
      <c r="F94" s="73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topLeftCell="A16" zoomScale="50" zoomScaleNormal="50" workbookViewId="0">
      <selection activeCell="M46" sqref="M46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5.42578125" style="65" customWidth="1"/>
    <col min="6" max="6" width="25.140625" style="65" customWidth="1"/>
    <col min="7" max="254" width="9.140625" style="65"/>
    <col min="255" max="255" width="121.140625" style="65" customWidth="1"/>
    <col min="256" max="256" width="32.7109375" style="65" customWidth="1"/>
    <col min="257" max="258" width="32.85546875" style="65" customWidth="1"/>
    <col min="259" max="259" width="29.7109375" style="65" customWidth="1"/>
    <col min="260" max="260" width="25.5703125" style="65" customWidth="1"/>
    <col min="261" max="261" width="35.42578125" style="65" customWidth="1"/>
    <col min="262" max="262" width="25.140625" style="65" customWidth="1"/>
    <col min="263" max="510" width="9.140625" style="65"/>
    <col min="511" max="511" width="121.140625" style="65" customWidth="1"/>
    <col min="512" max="512" width="32.7109375" style="65" customWidth="1"/>
    <col min="513" max="514" width="32.85546875" style="65" customWidth="1"/>
    <col min="515" max="515" width="29.7109375" style="65" customWidth="1"/>
    <col min="516" max="516" width="25.5703125" style="65" customWidth="1"/>
    <col min="517" max="517" width="35.42578125" style="65" customWidth="1"/>
    <col min="518" max="518" width="25.140625" style="65" customWidth="1"/>
    <col min="519" max="766" width="9.140625" style="65"/>
    <col min="767" max="767" width="121.140625" style="65" customWidth="1"/>
    <col min="768" max="768" width="32.7109375" style="65" customWidth="1"/>
    <col min="769" max="770" width="32.85546875" style="65" customWidth="1"/>
    <col min="771" max="771" width="29.7109375" style="65" customWidth="1"/>
    <col min="772" max="772" width="25.5703125" style="65" customWidth="1"/>
    <col min="773" max="773" width="35.42578125" style="65" customWidth="1"/>
    <col min="774" max="774" width="25.140625" style="65" customWidth="1"/>
    <col min="775" max="1022" width="9.140625" style="65"/>
    <col min="1023" max="1023" width="121.140625" style="65" customWidth="1"/>
    <col min="1024" max="1024" width="32.7109375" style="65" customWidth="1"/>
    <col min="1025" max="1026" width="32.85546875" style="65" customWidth="1"/>
    <col min="1027" max="1027" width="29.7109375" style="65" customWidth="1"/>
    <col min="1028" max="1028" width="25.5703125" style="65" customWidth="1"/>
    <col min="1029" max="1029" width="35.42578125" style="65" customWidth="1"/>
    <col min="1030" max="1030" width="25.140625" style="65" customWidth="1"/>
    <col min="1031" max="1278" width="9.140625" style="65"/>
    <col min="1279" max="1279" width="121.140625" style="65" customWidth="1"/>
    <col min="1280" max="1280" width="32.7109375" style="65" customWidth="1"/>
    <col min="1281" max="1282" width="32.85546875" style="65" customWidth="1"/>
    <col min="1283" max="1283" width="29.7109375" style="65" customWidth="1"/>
    <col min="1284" max="1284" width="25.5703125" style="65" customWidth="1"/>
    <col min="1285" max="1285" width="35.42578125" style="65" customWidth="1"/>
    <col min="1286" max="1286" width="25.140625" style="65" customWidth="1"/>
    <col min="1287" max="1534" width="9.140625" style="65"/>
    <col min="1535" max="1535" width="121.140625" style="65" customWidth="1"/>
    <col min="1536" max="1536" width="32.7109375" style="65" customWidth="1"/>
    <col min="1537" max="1538" width="32.85546875" style="65" customWidth="1"/>
    <col min="1539" max="1539" width="29.7109375" style="65" customWidth="1"/>
    <col min="1540" max="1540" width="25.5703125" style="65" customWidth="1"/>
    <col min="1541" max="1541" width="35.42578125" style="65" customWidth="1"/>
    <col min="1542" max="1542" width="25.140625" style="65" customWidth="1"/>
    <col min="1543" max="1790" width="9.140625" style="65"/>
    <col min="1791" max="1791" width="121.140625" style="65" customWidth="1"/>
    <col min="1792" max="1792" width="32.7109375" style="65" customWidth="1"/>
    <col min="1793" max="1794" width="32.85546875" style="65" customWidth="1"/>
    <col min="1795" max="1795" width="29.7109375" style="65" customWidth="1"/>
    <col min="1796" max="1796" width="25.5703125" style="65" customWidth="1"/>
    <col min="1797" max="1797" width="35.42578125" style="65" customWidth="1"/>
    <col min="1798" max="1798" width="25.140625" style="65" customWidth="1"/>
    <col min="1799" max="2046" width="9.140625" style="65"/>
    <col min="2047" max="2047" width="121.140625" style="65" customWidth="1"/>
    <col min="2048" max="2048" width="32.7109375" style="65" customWidth="1"/>
    <col min="2049" max="2050" width="32.85546875" style="65" customWidth="1"/>
    <col min="2051" max="2051" width="29.7109375" style="65" customWidth="1"/>
    <col min="2052" max="2052" width="25.5703125" style="65" customWidth="1"/>
    <col min="2053" max="2053" width="35.42578125" style="65" customWidth="1"/>
    <col min="2054" max="2054" width="25.140625" style="65" customWidth="1"/>
    <col min="2055" max="2302" width="9.140625" style="65"/>
    <col min="2303" max="2303" width="121.140625" style="65" customWidth="1"/>
    <col min="2304" max="2304" width="32.7109375" style="65" customWidth="1"/>
    <col min="2305" max="2306" width="32.85546875" style="65" customWidth="1"/>
    <col min="2307" max="2307" width="29.7109375" style="65" customWidth="1"/>
    <col min="2308" max="2308" width="25.5703125" style="65" customWidth="1"/>
    <col min="2309" max="2309" width="35.42578125" style="65" customWidth="1"/>
    <col min="2310" max="2310" width="25.140625" style="65" customWidth="1"/>
    <col min="2311" max="2558" width="9.140625" style="65"/>
    <col min="2559" max="2559" width="121.140625" style="65" customWidth="1"/>
    <col min="2560" max="2560" width="32.7109375" style="65" customWidth="1"/>
    <col min="2561" max="2562" width="32.85546875" style="65" customWidth="1"/>
    <col min="2563" max="2563" width="29.7109375" style="65" customWidth="1"/>
    <col min="2564" max="2564" width="25.5703125" style="65" customWidth="1"/>
    <col min="2565" max="2565" width="35.42578125" style="65" customWidth="1"/>
    <col min="2566" max="2566" width="25.140625" style="65" customWidth="1"/>
    <col min="2567" max="2814" width="9.140625" style="65"/>
    <col min="2815" max="2815" width="121.140625" style="65" customWidth="1"/>
    <col min="2816" max="2816" width="32.7109375" style="65" customWidth="1"/>
    <col min="2817" max="2818" width="32.85546875" style="65" customWidth="1"/>
    <col min="2819" max="2819" width="29.7109375" style="65" customWidth="1"/>
    <col min="2820" max="2820" width="25.5703125" style="65" customWidth="1"/>
    <col min="2821" max="2821" width="35.42578125" style="65" customWidth="1"/>
    <col min="2822" max="2822" width="25.140625" style="65" customWidth="1"/>
    <col min="2823" max="3070" width="9.140625" style="65"/>
    <col min="3071" max="3071" width="121.140625" style="65" customWidth="1"/>
    <col min="3072" max="3072" width="32.7109375" style="65" customWidth="1"/>
    <col min="3073" max="3074" width="32.85546875" style="65" customWidth="1"/>
    <col min="3075" max="3075" width="29.7109375" style="65" customWidth="1"/>
    <col min="3076" max="3076" width="25.5703125" style="65" customWidth="1"/>
    <col min="3077" max="3077" width="35.42578125" style="65" customWidth="1"/>
    <col min="3078" max="3078" width="25.140625" style="65" customWidth="1"/>
    <col min="3079" max="3326" width="9.140625" style="65"/>
    <col min="3327" max="3327" width="121.140625" style="65" customWidth="1"/>
    <col min="3328" max="3328" width="32.7109375" style="65" customWidth="1"/>
    <col min="3329" max="3330" width="32.85546875" style="65" customWidth="1"/>
    <col min="3331" max="3331" width="29.7109375" style="65" customWidth="1"/>
    <col min="3332" max="3332" width="25.5703125" style="65" customWidth="1"/>
    <col min="3333" max="3333" width="35.42578125" style="65" customWidth="1"/>
    <col min="3334" max="3334" width="25.140625" style="65" customWidth="1"/>
    <col min="3335" max="3582" width="9.140625" style="65"/>
    <col min="3583" max="3583" width="121.140625" style="65" customWidth="1"/>
    <col min="3584" max="3584" width="32.7109375" style="65" customWidth="1"/>
    <col min="3585" max="3586" width="32.85546875" style="65" customWidth="1"/>
    <col min="3587" max="3587" width="29.7109375" style="65" customWidth="1"/>
    <col min="3588" max="3588" width="25.5703125" style="65" customWidth="1"/>
    <col min="3589" max="3589" width="35.42578125" style="65" customWidth="1"/>
    <col min="3590" max="3590" width="25.140625" style="65" customWidth="1"/>
    <col min="3591" max="3838" width="9.140625" style="65"/>
    <col min="3839" max="3839" width="121.140625" style="65" customWidth="1"/>
    <col min="3840" max="3840" width="32.7109375" style="65" customWidth="1"/>
    <col min="3841" max="3842" width="32.85546875" style="65" customWidth="1"/>
    <col min="3843" max="3843" width="29.7109375" style="65" customWidth="1"/>
    <col min="3844" max="3844" width="25.5703125" style="65" customWidth="1"/>
    <col min="3845" max="3845" width="35.42578125" style="65" customWidth="1"/>
    <col min="3846" max="3846" width="25.140625" style="65" customWidth="1"/>
    <col min="3847" max="4094" width="9.140625" style="65"/>
    <col min="4095" max="4095" width="121.140625" style="65" customWidth="1"/>
    <col min="4096" max="4096" width="32.7109375" style="65" customWidth="1"/>
    <col min="4097" max="4098" width="32.85546875" style="65" customWidth="1"/>
    <col min="4099" max="4099" width="29.7109375" style="65" customWidth="1"/>
    <col min="4100" max="4100" width="25.5703125" style="65" customWidth="1"/>
    <col min="4101" max="4101" width="35.42578125" style="65" customWidth="1"/>
    <col min="4102" max="4102" width="25.140625" style="65" customWidth="1"/>
    <col min="4103" max="4350" width="9.140625" style="65"/>
    <col min="4351" max="4351" width="121.140625" style="65" customWidth="1"/>
    <col min="4352" max="4352" width="32.7109375" style="65" customWidth="1"/>
    <col min="4353" max="4354" width="32.85546875" style="65" customWidth="1"/>
    <col min="4355" max="4355" width="29.7109375" style="65" customWidth="1"/>
    <col min="4356" max="4356" width="25.5703125" style="65" customWidth="1"/>
    <col min="4357" max="4357" width="35.42578125" style="65" customWidth="1"/>
    <col min="4358" max="4358" width="25.140625" style="65" customWidth="1"/>
    <col min="4359" max="4606" width="9.140625" style="65"/>
    <col min="4607" max="4607" width="121.140625" style="65" customWidth="1"/>
    <col min="4608" max="4608" width="32.7109375" style="65" customWidth="1"/>
    <col min="4609" max="4610" width="32.85546875" style="65" customWidth="1"/>
    <col min="4611" max="4611" width="29.7109375" style="65" customWidth="1"/>
    <col min="4612" max="4612" width="25.5703125" style="65" customWidth="1"/>
    <col min="4613" max="4613" width="35.42578125" style="65" customWidth="1"/>
    <col min="4614" max="4614" width="25.140625" style="65" customWidth="1"/>
    <col min="4615" max="4862" width="9.140625" style="65"/>
    <col min="4863" max="4863" width="121.140625" style="65" customWidth="1"/>
    <col min="4864" max="4864" width="32.7109375" style="65" customWidth="1"/>
    <col min="4865" max="4866" width="32.85546875" style="65" customWidth="1"/>
    <col min="4867" max="4867" width="29.7109375" style="65" customWidth="1"/>
    <col min="4868" max="4868" width="25.5703125" style="65" customWidth="1"/>
    <col min="4869" max="4869" width="35.42578125" style="65" customWidth="1"/>
    <col min="4870" max="4870" width="25.140625" style="65" customWidth="1"/>
    <col min="4871" max="5118" width="9.140625" style="65"/>
    <col min="5119" max="5119" width="121.140625" style="65" customWidth="1"/>
    <col min="5120" max="5120" width="32.7109375" style="65" customWidth="1"/>
    <col min="5121" max="5122" width="32.85546875" style="65" customWidth="1"/>
    <col min="5123" max="5123" width="29.7109375" style="65" customWidth="1"/>
    <col min="5124" max="5124" width="25.5703125" style="65" customWidth="1"/>
    <col min="5125" max="5125" width="35.42578125" style="65" customWidth="1"/>
    <col min="5126" max="5126" width="25.140625" style="65" customWidth="1"/>
    <col min="5127" max="5374" width="9.140625" style="65"/>
    <col min="5375" max="5375" width="121.140625" style="65" customWidth="1"/>
    <col min="5376" max="5376" width="32.7109375" style="65" customWidth="1"/>
    <col min="5377" max="5378" width="32.85546875" style="65" customWidth="1"/>
    <col min="5379" max="5379" width="29.7109375" style="65" customWidth="1"/>
    <col min="5380" max="5380" width="25.5703125" style="65" customWidth="1"/>
    <col min="5381" max="5381" width="35.42578125" style="65" customWidth="1"/>
    <col min="5382" max="5382" width="25.140625" style="65" customWidth="1"/>
    <col min="5383" max="5630" width="9.140625" style="65"/>
    <col min="5631" max="5631" width="121.140625" style="65" customWidth="1"/>
    <col min="5632" max="5632" width="32.7109375" style="65" customWidth="1"/>
    <col min="5633" max="5634" width="32.85546875" style="65" customWidth="1"/>
    <col min="5635" max="5635" width="29.7109375" style="65" customWidth="1"/>
    <col min="5636" max="5636" width="25.5703125" style="65" customWidth="1"/>
    <col min="5637" max="5637" width="35.42578125" style="65" customWidth="1"/>
    <col min="5638" max="5638" width="25.140625" style="65" customWidth="1"/>
    <col min="5639" max="5886" width="9.140625" style="65"/>
    <col min="5887" max="5887" width="121.140625" style="65" customWidth="1"/>
    <col min="5888" max="5888" width="32.7109375" style="65" customWidth="1"/>
    <col min="5889" max="5890" width="32.85546875" style="65" customWidth="1"/>
    <col min="5891" max="5891" width="29.7109375" style="65" customWidth="1"/>
    <col min="5892" max="5892" width="25.5703125" style="65" customWidth="1"/>
    <col min="5893" max="5893" width="35.42578125" style="65" customWidth="1"/>
    <col min="5894" max="5894" width="25.140625" style="65" customWidth="1"/>
    <col min="5895" max="6142" width="9.140625" style="65"/>
    <col min="6143" max="6143" width="121.140625" style="65" customWidth="1"/>
    <col min="6144" max="6144" width="32.7109375" style="65" customWidth="1"/>
    <col min="6145" max="6146" width="32.85546875" style="65" customWidth="1"/>
    <col min="6147" max="6147" width="29.7109375" style="65" customWidth="1"/>
    <col min="6148" max="6148" width="25.5703125" style="65" customWidth="1"/>
    <col min="6149" max="6149" width="35.42578125" style="65" customWidth="1"/>
    <col min="6150" max="6150" width="25.140625" style="65" customWidth="1"/>
    <col min="6151" max="6398" width="9.140625" style="65"/>
    <col min="6399" max="6399" width="121.140625" style="65" customWidth="1"/>
    <col min="6400" max="6400" width="32.7109375" style="65" customWidth="1"/>
    <col min="6401" max="6402" width="32.85546875" style="65" customWidth="1"/>
    <col min="6403" max="6403" width="29.7109375" style="65" customWidth="1"/>
    <col min="6404" max="6404" width="25.5703125" style="65" customWidth="1"/>
    <col min="6405" max="6405" width="35.42578125" style="65" customWidth="1"/>
    <col min="6406" max="6406" width="25.140625" style="65" customWidth="1"/>
    <col min="6407" max="6654" width="9.140625" style="65"/>
    <col min="6655" max="6655" width="121.140625" style="65" customWidth="1"/>
    <col min="6656" max="6656" width="32.7109375" style="65" customWidth="1"/>
    <col min="6657" max="6658" width="32.85546875" style="65" customWidth="1"/>
    <col min="6659" max="6659" width="29.7109375" style="65" customWidth="1"/>
    <col min="6660" max="6660" width="25.5703125" style="65" customWidth="1"/>
    <col min="6661" max="6661" width="35.42578125" style="65" customWidth="1"/>
    <col min="6662" max="6662" width="25.140625" style="65" customWidth="1"/>
    <col min="6663" max="6910" width="9.140625" style="65"/>
    <col min="6911" max="6911" width="121.140625" style="65" customWidth="1"/>
    <col min="6912" max="6912" width="32.7109375" style="65" customWidth="1"/>
    <col min="6913" max="6914" width="32.85546875" style="65" customWidth="1"/>
    <col min="6915" max="6915" width="29.7109375" style="65" customWidth="1"/>
    <col min="6916" max="6916" width="25.5703125" style="65" customWidth="1"/>
    <col min="6917" max="6917" width="35.42578125" style="65" customWidth="1"/>
    <col min="6918" max="6918" width="25.140625" style="65" customWidth="1"/>
    <col min="6919" max="7166" width="9.140625" style="65"/>
    <col min="7167" max="7167" width="121.140625" style="65" customWidth="1"/>
    <col min="7168" max="7168" width="32.7109375" style="65" customWidth="1"/>
    <col min="7169" max="7170" width="32.85546875" style="65" customWidth="1"/>
    <col min="7171" max="7171" width="29.7109375" style="65" customWidth="1"/>
    <col min="7172" max="7172" width="25.5703125" style="65" customWidth="1"/>
    <col min="7173" max="7173" width="35.42578125" style="65" customWidth="1"/>
    <col min="7174" max="7174" width="25.140625" style="65" customWidth="1"/>
    <col min="7175" max="7422" width="9.140625" style="65"/>
    <col min="7423" max="7423" width="121.140625" style="65" customWidth="1"/>
    <col min="7424" max="7424" width="32.7109375" style="65" customWidth="1"/>
    <col min="7425" max="7426" width="32.85546875" style="65" customWidth="1"/>
    <col min="7427" max="7427" width="29.7109375" style="65" customWidth="1"/>
    <col min="7428" max="7428" width="25.5703125" style="65" customWidth="1"/>
    <col min="7429" max="7429" width="35.42578125" style="65" customWidth="1"/>
    <col min="7430" max="7430" width="25.140625" style="65" customWidth="1"/>
    <col min="7431" max="7678" width="9.140625" style="65"/>
    <col min="7679" max="7679" width="121.140625" style="65" customWidth="1"/>
    <col min="7680" max="7680" width="32.7109375" style="65" customWidth="1"/>
    <col min="7681" max="7682" width="32.85546875" style="65" customWidth="1"/>
    <col min="7683" max="7683" width="29.7109375" style="65" customWidth="1"/>
    <col min="7684" max="7684" width="25.5703125" style="65" customWidth="1"/>
    <col min="7685" max="7685" width="35.42578125" style="65" customWidth="1"/>
    <col min="7686" max="7686" width="25.140625" style="65" customWidth="1"/>
    <col min="7687" max="7934" width="9.140625" style="65"/>
    <col min="7935" max="7935" width="121.140625" style="65" customWidth="1"/>
    <col min="7936" max="7936" width="32.7109375" style="65" customWidth="1"/>
    <col min="7937" max="7938" width="32.85546875" style="65" customWidth="1"/>
    <col min="7939" max="7939" width="29.7109375" style="65" customWidth="1"/>
    <col min="7940" max="7940" width="25.5703125" style="65" customWidth="1"/>
    <col min="7941" max="7941" width="35.42578125" style="65" customWidth="1"/>
    <col min="7942" max="7942" width="25.140625" style="65" customWidth="1"/>
    <col min="7943" max="8190" width="9.140625" style="65"/>
    <col min="8191" max="8191" width="121.140625" style="65" customWidth="1"/>
    <col min="8192" max="8192" width="32.7109375" style="65" customWidth="1"/>
    <col min="8193" max="8194" width="32.85546875" style="65" customWidth="1"/>
    <col min="8195" max="8195" width="29.7109375" style="65" customWidth="1"/>
    <col min="8196" max="8196" width="25.5703125" style="65" customWidth="1"/>
    <col min="8197" max="8197" width="35.42578125" style="65" customWidth="1"/>
    <col min="8198" max="8198" width="25.140625" style="65" customWidth="1"/>
    <col min="8199" max="8446" width="9.140625" style="65"/>
    <col min="8447" max="8447" width="121.140625" style="65" customWidth="1"/>
    <col min="8448" max="8448" width="32.7109375" style="65" customWidth="1"/>
    <col min="8449" max="8450" width="32.85546875" style="65" customWidth="1"/>
    <col min="8451" max="8451" width="29.7109375" style="65" customWidth="1"/>
    <col min="8452" max="8452" width="25.5703125" style="65" customWidth="1"/>
    <col min="8453" max="8453" width="35.42578125" style="65" customWidth="1"/>
    <col min="8454" max="8454" width="25.140625" style="65" customWidth="1"/>
    <col min="8455" max="8702" width="9.140625" style="65"/>
    <col min="8703" max="8703" width="121.140625" style="65" customWidth="1"/>
    <col min="8704" max="8704" width="32.7109375" style="65" customWidth="1"/>
    <col min="8705" max="8706" width="32.85546875" style="65" customWidth="1"/>
    <col min="8707" max="8707" width="29.7109375" style="65" customWidth="1"/>
    <col min="8708" max="8708" width="25.5703125" style="65" customWidth="1"/>
    <col min="8709" max="8709" width="35.42578125" style="65" customWidth="1"/>
    <col min="8710" max="8710" width="25.140625" style="65" customWidth="1"/>
    <col min="8711" max="8958" width="9.140625" style="65"/>
    <col min="8959" max="8959" width="121.140625" style="65" customWidth="1"/>
    <col min="8960" max="8960" width="32.7109375" style="65" customWidth="1"/>
    <col min="8961" max="8962" width="32.85546875" style="65" customWidth="1"/>
    <col min="8963" max="8963" width="29.7109375" style="65" customWidth="1"/>
    <col min="8964" max="8964" width="25.5703125" style="65" customWidth="1"/>
    <col min="8965" max="8965" width="35.42578125" style="65" customWidth="1"/>
    <col min="8966" max="8966" width="25.140625" style="65" customWidth="1"/>
    <col min="8967" max="9214" width="9.140625" style="65"/>
    <col min="9215" max="9215" width="121.140625" style="65" customWidth="1"/>
    <col min="9216" max="9216" width="32.7109375" style="65" customWidth="1"/>
    <col min="9217" max="9218" width="32.85546875" style="65" customWidth="1"/>
    <col min="9219" max="9219" width="29.7109375" style="65" customWidth="1"/>
    <col min="9220" max="9220" width="25.5703125" style="65" customWidth="1"/>
    <col min="9221" max="9221" width="35.42578125" style="65" customWidth="1"/>
    <col min="9222" max="9222" width="25.140625" style="65" customWidth="1"/>
    <col min="9223" max="9470" width="9.140625" style="65"/>
    <col min="9471" max="9471" width="121.140625" style="65" customWidth="1"/>
    <col min="9472" max="9472" width="32.7109375" style="65" customWidth="1"/>
    <col min="9473" max="9474" width="32.85546875" style="65" customWidth="1"/>
    <col min="9475" max="9475" width="29.7109375" style="65" customWidth="1"/>
    <col min="9476" max="9476" width="25.5703125" style="65" customWidth="1"/>
    <col min="9477" max="9477" width="35.42578125" style="65" customWidth="1"/>
    <col min="9478" max="9478" width="25.140625" style="65" customWidth="1"/>
    <col min="9479" max="9726" width="9.140625" style="65"/>
    <col min="9727" max="9727" width="121.140625" style="65" customWidth="1"/>
    <col min="9728" max="9728" width="32.7109375" style="65" customWidth="1"/>
    <col min="9729" max="9730" width="32.85546875" style="65" customWidth="1"/>
    <col min="9731" max="9731" width="29.7109375" style="65" customWidth="1"/>
    <col min="9732" max="9732" width="25.5703125" style="65" customWidth="1"/>
    <col min="9733" max="9733" width="35.42578125" style="65" customWidth="1"/>
    <col min="9734" max="9734" width="25.140625" style="65" customWidth="1"/>
    <col min="9735" max="9982" width="9.140625" style="65"/>
    <col min="9983" max="9983" width="121.140625" style="65" customWidth="1"/>
    <col min="9984" max="9984" width="32.7109375" style="65" customWidth="1"/>
    <col min="9985" max="9986" width="32.85546875" style="65" customWidth="1"/>
    <col min="9987" max="9987" width="29.7109375" style="65" customWidth="1"/>
    <col min="9988" max="9988" width="25.5703125" style="65" customWidth="1"/>
    <col min="9989" max="9989" width="35.42578125" style="65" customWidth="1"/>
    <col min="9990" max="9990" width="25.140625" style="65" customWidth="1"/>
    <col min="9991" max="10238" width="9.140625" style="65"/>
    <col min="10239" max="10239" width="121.140625" style="65" customWidth="1"/>
    <col min="10240" max="10240" width="32.7109375" style="65" customWidth="1"/>
    <col min="10241" max="10242" width="32.85546875" style="65" customWidth="1"/>
    <col min="10243" max="10243" width="29.7109375" style="65" customWidth="1"/>
    <col min="10244" max="10244" width="25.5703125" style="65" customWidth="1"/>
    <col min="10245" max="10245" width="35.42578125" style="65" customWidth="1"/>
    <col min="10246" max="10246" width="25.140625" style="65" customWidth="1"/>
    <col min="10247" max="10494" width="9.140625" style="65"/>
    <col min="10495" max="10495" width="121.140625" style="65" customWidth="1"/>
    <col min="10496" max="10496" width="32.7109375" style="65" customWidth="1"/>
    <col min="10497" max="10498" width="32.85546875" style="65" customWidth="1"/>
    <col min="10499" max="10499" width="29.7109375" style="65" customWidth="1"/>
    <col min="10500" max="10500" width="25.5703125" style="65" customWidth="1"/>
    <col min="10501" max="10501" width="35.42578125" style="65" customWidth="1"/>
    <col min="10502" max="10502" width="25.140625" style="65" customWidth="1"/>
    <col min="10503" max="10750" width="9.140625" style="65"/>
    <col min="10751" max="10751" width="121.140625" style="65" customWidth="1"/>
    <col min="10752" max="10752" width="32.7109375" style="65" customWidth="1"/>
    <col min="10753" max="10754" width="32.85546875" style="65" customWidth="1"/>
    <col min="10755" max="10755" width="29.7109375" style="65" customWidth="1"/>
    <col min="10756" max="10756" width="25.5703125" style="65" customWidth="1"/>
    <col min="10757" max="10757" width="35.42578125" style="65" customWidth="1"/>
    <col min="10758" max="10758" width="25.140625" style="65" customWidth="1"/>
    <col min="10759" max="11006" width="9.140625" style="65"/>
    <col min="11007" max="11007" width="121.140625" style="65" customWidth="1"/>
    <col min="11008" max="11008" width="32.7109375" style="65" customWidth="1"/>
    <col min="11009" max="11010" width="32.85546875" style="65" customWidth="1"/>
    <col min="11011" max="11011" width="29.7109375" style="65" customWidth="1"/>
    <col min="11012" max="11012" width="25.5703125" style="65" customWidth="1"/>
    <col min="11013" max="11013" width="35.42578125" style="65" customWidth="1"/>
    <col min="11014" max="11014" width="25.140625" style="65" customWidth="1"/>
    <col min="11015" max="11262" width="9.140625" style="65"/>
    <col min="11263" max="11263" width="121.140625" style="65" customWidth="1"/>
    <col min="11264" max="11264" width="32.7109375" style="65" customWidth="1"/>
    <col min="11265" max="11266" width="32.85546875" style="65" customWidth="1"/>
    <col min="11267" max="11267" width="29.7109375" style="65" customWidth="1"/>
    <col min="11268" max="11268" width="25.5703125" style="65" customWidth="1"/>
    <col min="11269" max="11269" width="35.42578125" style="65" customWidth="1"/>
    <col min="11270" max="11270" width="25.140625" style="65" customWidth="1"/>
    <col min="11271" max="11518" width="9.140625" style="65"/>
    <col min="11519" max="11519" width="121.140625" style="65" customWidth="1"/>
    <col min="11520" max="11520" width="32.7109375" style="65" customWidth="1"/>
    <col min="11521" max="11522" width="32.85546875" style="65" customWidth="1"/>
    <col min="11523" max="11523" width="29.7109375" style="65" customWidth="1"/>
    <col min="11524" max="11524" width="25.5703125" style="65" customWidth="1"/>
    <col min="11525" max="11525" width="35.42578125" style="65" customWidth="1"/>
    <col min="11526" max="11526" width="25.140625" style="65" customWidth="1"/>
    <col min="11527" max="11774" width="9.140625" style="65"/>
    <col min="11775" max="11775" width="121.140625" style="65" customWidth="1"/>
    <col min="11776" max="11776" width="32.7109375" style="65" customWidth="1"/>
    <col min="11777" max="11778" width="32.85546875" style="65" customWidth="1"/>
    <col min="11779" max="11779" width="29.7109375" style="65" customWidth="1"/>
    <col min="11780" max="11780" width="25.5703125" style="65" customWidth="1"/>
    <col min="11781" max="11781" width="35.42578125" style="65" customWidth="1"/>
    <col min="11782" max="11782" width="25.140625" style="65" customWidth="1"/>
    <col min="11783" max="12030" width="9.140625" style="65"/>
    <col min="12031" max="12031" width="121.140625" style="65" customWidth="1"/>
    <col min="12032" max="12032" width="32.7109375" style="65" customWidth="1"/>
    <col min="12033" max="12034" width="32.85546875" style="65" customWidth="1"/>
    <col min="12035" max="12035" width="29.7109375" style="65" customWidth="1"/>
    <col min="12036" max="12036" width="25.5703125" style="65" customWidth="1"/>
    <col min="12037" max="12037" width="35.42578125" style="65" customWidth="1"/>
    <col min="12038" max="12038" width="25.140625" style="65" customWidth="1"/>
    <col min="12039" max="12286" width="9.140625" style="65"/>
    <col min="12287" max="12287" width="121.140625" style="65" customWidth="1"/>
    <col min="12288" max="12288" width="32.7109375" style="65" customWidth="1"/>
    <col min="12289" max="12290" width="32.85546875" style="65" customWidth="1"/>
    <col min="12291" max="12291" width="29.7109375" style="65" customWidth="1"/>
    <col min="12292" max="12292" width="25.5703125" style="65" customWidth="1"/>
    <col min="12293" max="12293" width="35.42578125" style="65" customWidth="1"/>
    <col min="12294" max="12294" width="25.140625" style="65" customWidth="1"/>
    <col min="12295" max="12542" width="9.140625" style="65"/>
    <col min="12543" max="12543" width="121.140625" style="65" customWidth="1"/>
    <col min="12544" max="12544" width="32.7109375" style="65" customWidth="1"/>
    <col min="12545" max="12546" width="32.85546875" style="65" customWidth="1"/>
    <col min="12547" max="12547" width="29.7109375" style="65" customWidth="1"/>
    <col min="12548" max="12548" width="25.5703125" style="65" customWidth="1"/>
    <col min="12549" max="12549" width="35.42578125" style="65" customWidth="1"/>
    <col min="12550" max="12550" width="25.140625" style="65" customWidth="1"/>
    <col min="12551" max="12798" width="9.140625" style="65"/>
    <col min="12799" max="12799" width="121.140625" style="65" customWidth="1"/>
    <col min="12800" max="12800" width="32.7109375" style="65" customWidth="1"/>
    <col min="12801" max="12802" width="32.85546875" style="65" customWidth="1"/>
    <col min="12803" max="12803" width="29.7109375" style="65" customWidth="1"/>
    <col min="12804" max="12804" width="25.5703125" style="65" customWidth="1"/>
    <col min="12805" max="12805" width="35.42578125" style="65" customWidth="1"/>
    <col min="12806" max="12806" width="25.140625" style="65" customWidth="1"/>
    <col min="12807" max="13054" width="9.140625" style="65"/>
    <col min="13055" max="13055" width="121.140625" style="65" customWidth="1"/>
    <col min="13056" max="13056" width="32.7109375" style="65" customWidth="1"/>
    <col min="13057" max="13058" width="32.85546875" style="65" customWidth="1"/>
    <col min="13059" max="13059" width="29.7109375" style="65" customWidth="1"/>
    <col min="13060" max="13060" width="25.5703125" style="65" customWidth="1"/>
    <col min="13061" max="13061" width="35.42578125" style="65" customWidth="1"/>
    <col min="13062" max="13062" width="25.140625" style="65" customWidth="1"/>
    <col min="13063" max="13310" width="9.140625" style="65"/>
    <col min="13311" max="13311" width="121.140625" style="65" customWidth="1"/>
    <col min="13312" max="13312" width="32.7109375" style="65" customWidth="1"/>
    <col min="13313" max="13314" width="32.85546875" style="65" customWidth="1"/>
    <col min="13315" max="13315" width="29.7109375" style="65" customWidth="1"/>
    <col min="13316" max="13316" width="25.5703125" style="65" customWidth="1"/>
    <col min="13317" max="13317" width="35.42578125" style="65" customWidth="1"/>
    <col min="13318" max="13318" width="25.140625" style="65" customWidth="1"/>
    <col min="13319" max="13566" width="9.140625" style="65"/>
    <col min="13567" max="13567" width="121.140625" style="65" customWidth="1"/>
    <col min="13568" max="13568" width="32.7109375" style="65" customWidth="1"/>
    <col min="13569" max="13570" width="32.85546875" style="65" customWidth="1"/>
    <col min="13571" max="13571" width="29.7109375" style="65" customWidth="1"/>
    <col min="13572" max="13572" width="25.5703125" style="65" customWidth="1"/>
    <col min="13573" max="13573" width="35.42578125" style="65" customWidth="1"/>
    <col min="13574" max="13574" width="25.140625" style="65" customWidth="1"/>
    <col min="13575" max="13822" width="9.140625" style="65"/>
    <col min="13823" max="13823" width="121.140625" style="65" customWidth="1"/>
    <col min="13824" max="13824" width="32.7109375" style="65" customWidth="1"/>
    <col min="13825" max="13826" width="32.85546875" style="65" customWidth="1"/>
    <col min="13827" max="13827" width="29.7109375" style="65" customWidth="1"/>
    <col min="13828" max="13828" width="25.5703125" style="65" customWidth="1"/>
    <col min="13829" max="13829" width="35.42578125" style="65" customWidth="1"/>
    <col min="13830" max="13830" width="25.140625" style="65" customWidth="1"/>
    <col min="13831" max="14078" width="9.140625" style="65"/>
    <col min="14079" max="14079" width="121.140625" style="65" customWidth="1"/>
    <col min="14080" max="14080" width="32.7109375" style="65" customWidth="1"/>
    <col min="14081" max="14082" width="32.85546875" style="65" customWidth="1"/>
    <col min="14083" max="14083" width="29.7109375" style="65" customWidth="1"/>
    <col min="14084" max="14084" width="25.5703125" style="65" customWidth="1"/>
    <col min="14085" max="14085" width="35.42578125" style="65" customWidth="1"/>
    <col min="14086" max="14086" width="25.140625" style="65" customWidth="1"/>
    <col min="14087" max="14334" width="9.140625" style="65"/>
    <col min="14335" max="14335" width="121.140625" style="65" customWidth="1"/>
    <col min="14336" max="14336" width="32.7109375" style="65" customWidth="1"/>
    <col min="14337" max="14338" width="32.85546875" style="65" customWidth="1"/>
    <col min="14339" max="14339" width="29.7109375" style="65" customWidth="1"/>
    <col min="14340" max="14340" width="25.5703125" style="65" customWidth="1"/>
    <col min="14341" max="14341" width="35.42578125" style="65" customWidth="1"/>
    <col min="14342" max="14342" width="25.140625" style="65" customWidth="1"/>
    <col min="14343" max="14590" width="9.140625" style="65"/>
    <col min="14591" max="14591" width="121.140625" style="65" customWidth="1"/>
    <col min="14592" max="14592" width="32.7109375" style="65" customWidth="1"/>
    <col min="14593" max="14594" width="32.85546875" style="65" customWidth="1"/>
    <col min="14595" max="14595" width="29.7109375" style="65" customWidth="1"/>
    <col min="14596" max="14596" width="25.5703125" style="65" customWidth="1"/>
    <col min="14597" max="14597" width="35.42578125" style="65" customWidth="1"/>
    <col min="14598" max="14598" width="25.140625" style="65" customWidth="1"/>
    <col min="14599" max="14846" width="9.140625" style="65"/>
    <col min="14847" max="14847" width="121.140625" style="65" customWidth="1"/>
    <col min="14848" max="14848" width="32.7109375" style="65" customWidth="1"/>
    <col min="14849" max="14850" width="32.85546875" style="65" customWidth="1"/>
    <col min="14851" max="14851" width="29.7109375" style="65" customWidth="1"/>
    <col min="14852" max="14852" width="25.5703125" style="65" customWidth="1"/>
    <col min="14853" max="14853" width="35.42578125" style="65" customWidth="1"/>
    <col min="14854" max="14854" width="25.140625" style="65" customWidth="1"/>
    <col min="14855" max="15102" width="9.140625" style="65"/>
    <col min="15103" max="15103" width="121.140625" style="65" customWidth="1"/>
    <col min="15104" max="15104" width="32.7109375" style="65" customWidth="1"/>
    <col min="15105" max="15106" width="32.85546875" style="65" customWidth="1"/>
    <col min="15107" max="15107" width="29.7109375" style="65" customWidth="1"/>
    <col min="15108" max="15108" width="25.5703125" style="65" customWidth="1"/>
    <col min="15109" max="15109" width="35.42578125" style="65" customWidth="1"/>
    <col min="15110" max="15110" width="25.140625" style="65" customWidth="1"/>
    <col min="15111" max="15358" width="9.140625" style="65"/>
    <col min="15359" max="15359" width="121.140625" style="65" customWidth="1"/>
    <col min="15360" max="15360" width="32.7109375" style="65" customWidth="1"/>
    <col min="15361" max="15362" width="32.85546875" style="65" customWidth="1"/>
    <col min="15363" max="15363" width="29.7109375" style="65" customWidth="1"/>
    <col min="15364" max="15364" width="25.5703125" style="65" customWidth="1"/>
    <col min="15365" max="15365" width="35.42578125" style="65" customWidth="1"/>
    <col min="15366" max="15366" width="25.140625" style="65" customWidth="1"/>
    <col min="15367" max="15614" width="9.140625" style="65"/>
    <col min="15615" max="15615" width="121.140625" style="65" customWidth="1"/>
    <col min="15616" max="15616" width="32.7109375" style="65" customWidth="1"/>
    <col min="15617" max="15618" width="32.85546875" style="65" customWidth="1"/>
    <col min="15619" max="15619" width="29.7109375" style="65" customWidth="1"/>
    <col min="15620" max="15620" width="25.5703125" style="65" customWidth="1"/>
    <col min="15621" max="15621" width="35.42578125" style="65" customWidth="1"/>
    <col min="15622" max="15622" width="25.140625" style="65" customWidth="1"/>
    <col min="15623" max="15870" width="9.140625" style="65"/>
    <col min="15871" max="15871" width="121.140625" style="65" customWidth="1"/>
    <col min="15872" max="15872" width="32.7109375" style="65" customWidth="1"/>
    <col min="15873" max="15874" width="32.85546875" style="65" customWidth="1"/>
    <col min="15875" max="15875" width="29.7109375" style="65" customWidth="1"/>
    <col min="15876" max="15876" width="25.5703125" style="65" customWidth="1"/>
    <col min="15877" max="15877" width="35.42578125" style="65" customWidth="1"/>
    <col min="15878" max="15878" width="25.140625" style="65" customWidth="1"/>
    <col min="15879" max="16126" width="9.140625" style="65"/>
    <col min="16127" max="16127" width="121.140625" style="65" customWidth="1"/>
    <col min="16128" max="16128" width="32.7109375" style="65" customWidth="1"/>
    <col min="16129" max="16130" width="32.85546875" style="65" customWidth="1"/>
    <col min="16131" max="16131" width="29.7109375" style="65" customWidth="1"/>
    <col min="16132" max="16132" width="25.5703125" style="65" customWidth="1"/>
    <col min="16133" max="16133" width="35.42578125" style="65" customWidth="1"/>
    <col min="16134" max="16134" width="25.140625" style="65" customWidth="1"/>
    <col min="16135" max="16384" width="9.140625" style="65"/>
  </cols>
  <sheetData>
    <row r="1" spans="1:6" s="6" customFormat="1" ht="46.5">
      <c r="A1" s="1" t="s">
        <v>0</v>
      </c>
      <c r="D1" s="283" t="s">
        <v>1</v>
      </c>
      <c r="E1" s="289" t="s">
        <v>146</v>
      </c>
      <c r="F1" s="5"/>
    </row>
    <row r="2" spans="1:6" s="6" customFormat="1" ht="46.5">
      <c r="A2" s="1" t="s">
        <v>2</v>
      </c>
      <c r="B2" s="2"/>
      <c r="C2" s="2"/>
      <c r="D2" s="124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104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2249368</v>
      </c>
      <c r="C8" s="23">
        <v>2249368</v>
      </c>
      <c r="D8" s="23">
        <v>2695128</v>
      </c>
      <c r="E8" s="23">
        <v>445760</v>
      </c>
      <c r="F8" s="24">
        <v>0.19817121964925258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98">
        <v>1805370</v>
      </c>
      <c r="C10" s="298">
        <v>1805582</v>
      </c>
      <c r="D10" s="298">
        <v>1906010</v>
      </c>
      <c r="E10" s="298">
        <v>100428</v>
      </c>
      <c r="F10" s="24">
        <v>5.5620846906980687E-2</v>
      </c>
    </row>
    <row r="11" spans="1:6" s="13" customFormat="1" ht="26.25">
      <c r="A11" s="27" t="s">
        <v>19</v>
      </c>
      <c r="B11" s="299">
        <v>0</v>
      </c>
      <c r="C11" s="299">
        <v>0</v>
      </c>
      <c r="D11" s="299">
        <v>0</v>
      </c>
      <c r="E11" s="298">
        <v>0</v>
      </c>
      <c r="F11" s="24">
        <v>0</v>
      </c>
    </row>
    <row r="12" spans="1:6" s="13" customFormat="1" ht="26.25">
      <c r="A12" s="29" t="s">
        <v>20</v>
      </c>
      <c r="B12" s="299">
        <v>55370</v>
      </c>
      <c r="C12" s="299">
        <v>55582</v>
      </c>
      <c r="D12" s="299">
        <v>56010</v>
      </c>
      <c r="E12" s="298">
        <v>428</v>
      </c>
      <c r="F12" s="24">
        <v>7.7003346407110212E-3</v>
      </c>
    </row>
    <row r="13" spans="1:6" s="13" customFormat="1" ht="26.25">
      <c r="A13" s="29" t="s">
        <v>21</v>
      </c>
      <c r="B13" s="299">
        <v>1000000</v>
      </c>
      <c r="C13" s="299">
        <v>1000000</v>
      </c>
      <c r="D13" s="299">
        <v>1000000</v>
      </c>
      <c r="E13" s="298">
        <v>0</v>
      </c>
      <c r="F13" s="24">
        <v>0</v>
      </c>
    </row>
    <row r="14" spans="1:6" s="13" customFormat="1" ht="26.25">
      <c r="A14" s="29" t="s">
        <v>22</v>
      </c>
      <c r="B14" s="299">
        <v>0</v>
      </c>
      <c r="C14" s="299">
        <v>0</v>
      </c>
      <c r="D14" s="299">
        <v>0</v>
      </c>
      <c r="E14" s="298">
        <v>0</v>
      </c>
      <c r="F14" s="24">
        <v>0</v>
      </c>
    </row>
    <row r="15" spans="1:6" s="13" customFormat="1" ht="26.25">
      <c r="A15" s="29" t="s">
        <v>23</v>
      </c>
      <c r="B15" s="299">
        <v>0</v>
      </c>
      <c r="C15" s="299">
        <v>0</v>
      </c>
      <c r="D15" s="299">
        <v>0</v>
      </c>
      <c r="E15" s="298">
        <v>0</v>
      </c>
      <c r="F15" s="24">
        <v>0</v>
      </c>
    </row>
    <row r="16" spans="1:6" s="13" customFormat="1" ht="26.25">
      <c r="A16" s="29" t="s">
        <v>24</v>
      </c>
      <c r="B16" s="299">
        <v>0</v>
      </c>
      <c r="C16" s="299">
        <v>0</v>
      </c>
      <c r="D16" s="299">
        <v>0</v>
      </c>
      <c r="E16" s="298">
        <v>0</v>
      </c>
      <c r="F16" s="24">
        <v>0</v>
      </c>
    </row>
    <row r="17" spans="1:6" s="13" customFormat="1" ht="26.25">
      <c r="A17" s="29" t="s">
        <v>25</v>
      </c>
      <c r="B17" s="299">
        <v>750000</v>
      </c>
      <c r="C17" s="299">
        <v>750000</v>
      </c>
      <c r="D17" s="299">
        <v>750000</v>
      </c>
      <c r="E17" s="298">
        <v>0</v>
      </c>
      <c r="F17" s="24">
        <v>0</v>
      </c>
    </row>
    <row r="18" spans="1:6" s="13" customFormat="1" ht="26.25">
      <c r="A18" s="29" t="s">
        <v>26</v>
      </c>
      <c r="B18" s="299">
        <v>0</v>
      </c>
      <c r="C18" s="299">
        <v>0</v>
      </c>
      <c r="D18" s="299">
        <v>0</v>
      </c>
      <c r="E18" s="298">
        <v>0</v>
      </c>
      <c r="F18" s="24">
        <v>0</v>
      </c>
    </row>
    <row r="19" spans="1:6" s="13" customFormat="1" ht="26.25">
      <c r="A19" s="29" t="s">
        <v>27</v>
      </c>
      <c r="B19" s="299">
        <v>0</v>
      </c>
      <c r="C19" s="299">
        <v>0</v>
      </c>
      <c r="D19" s="299">
        <v>0</v>
      </c>
      <c r="E19" s="298">
        <v>0</v>
      </c>
      <c r="F19" s="24">
        <v>0</v>
      </c>
    </row>
    <row r="20" spans="1:6" s="13" customFormat="1" ht="26.25">
      <c r="A20" s="29" t="s">
        <v>28</v>
      </c>
      <c r="B20" s="299">
        <v>0</v>
      </c>
      <c r="C20" s="299">
        <v>0</v>
      </c>
      <c r="D20" s="299">
        <v>0</v>
      </c>
      <c r="E20" s="298">
        <v>0</v>
      </c>
      <c r="F20" s="24">
        <v>0</v>
      </c>
    </row>
    <row r="21" spans="1:6" s="13" customFormat="1" ht="26.25">
      <c r="A21" s="29" t="s">
        <v>29</v>
      </c>
      <c r="B21" s="299">
        <v>0</v>
      </c>
      <c r="C21" s="299">
        <v>0</v>
      </c>
      <c r="D21" s="299">
        <v>0</v>
      </c>
      <c r="E21" s="298">
        <v>0</v>
      </c>
      <c r="F21" s="24">
        <v>0</v>
      </c>
    </row>
    <row r="22" spans="1:6" s="13" customFormat="1" ht="26.25">
      <c r="A22" s="29" t="s">
        <v>30</v>
      </c>
      <c r="B22" s="299">
        <v>0</v>
      </c>
      <c r="C22" s="299">
        <v>0</v>
      </c>
      <c r="D22" s="299">
        <v>0</v>
      </c>
      <c r="E22" s="298">
        <v>0</v>
      </c>
      <c r="F22" s="24">
        <v>0</v>
      </c>
    </row>
    <row r="23" spans="1:6" s="13" customFormat="1" ht="26.25">
      <c r="A23" s="30" t="s">
        <v>31</v>
      </c>
      <c r="B23" s="299">
        <v>0</v>
      </c>
      <c r="C23" s="299">
        <v>0</v>
      </c>
      <c r="D23" s="299">
        <v>0</v>
      </c>
      <c r="E23" s="298">
        <v>0</v>
      </c>
      <c r="F23" s="24">
        <v>0</v>
      </c>
    </row>
    <row r="24" spans="1:6" s="13" customFormat="1" ht="26.25">
      <c r="A24" s="30" t="s">
        <v>32</v>
      </c>
      <c r="B24" s="299">
        <v>0</v>
      </c>
      <c r="C24" s="299">
        <v>0</v>
      </c>
      <c r="D24" s="299">
        <v>0</v>
      </c>
      <c r="E24" s="298">
        <v>0</v>
      </c>
      <c r="F24" s="24">
        <v>0</v>
      </c>
    </row>
    <row r="25" spans="1:6" s="13" customFormat="1" ht="26.25">
      <c r="A25" s="30" t="s">
        <v>33</v>
      </c>
      <c r="B25" s="299">
        <v>0</v>
      </c>
      <c r="C25" s="299">
        <v>0</v>
      </c>
      <c r="D25" s="299">
        <v>0</v>
      </c>
      <c r="E25" s="298">
        <v>0</v>
      </c>
      <c r="F25" s="24">
        <v>0</v>
      </c>
    </row>
    <row r="26" spans="1:6" s="13" customFormat="1" ht="26.25">
      <c r="A26" s="30" t="s">
        <v>34</v>
      </c>
      <c r="B26" s="299">
        <v>0</v>
      </c>
      <c r="C26" s="299">
        <v>0</v>
      </c>
      <c r="D26" s="299">
        <v>0</v>
      </c>
      <c r="E26" s="298">
        <v>0</v>
      </c>
      <c r="F26" s="24">
        <v>0</v>
      </c>
    </row>
    <row r="27" spans="1:6" s="13" customFormat="1" ht="26.25">
      <c r="A27" s="30" t="s">
        <v>35</v>
      </c>
      <c r="B27" s="299">
        <v>0</v>
      </c>
      <c r="C27" s="299">
        <v>0</v>
      </c>
      <c r="D27" s="299">
        <v>0</v>
      </c>
      <c r="E27" s="298">
        <v>0</v>
      </c>
      <c r="F27" s="24">
        <v>0</v>
      </c>
    </row>
    <row r="28" spans="1:6" s="13" customFormat="1" ht="26.25">
      <c r="A28" s="30" t="s">
        <v>36</v>
      </c>
      <c r="B28" s="299">
        <v>0</v>
      </c>
      <c r="C28" s="299">
        <v>0</v>
      </c>
      <c r="D28" s="299">
        <v>100000</v>
      </c>
      <c r="E28" s="298">
        <v>100000</v>
      </c>
      <c r="F28" s="24">
        <v>1</v>
      </c>
    </row>
    <row r="29" spans="1:6" s="13" customFormat="1" ht="26.25">
      <c r="A29" s="31" t="s">
        <v>37</v>
      </c>
      <c r="B29" s="299"/>
      <c r="C29" s="299"/>
      <c r="D29" s="299"/>
      <c r="E29" s="299"/>
      <c r="F29" s="305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99"/>
      <c r="C31" s="299"/>
      <c r="D31" s="299"/>
      <c r="E31" s="299"/>
      <c r="F31" s="305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99"/>
      <c r="C33" s="299"/>
      <c r="D33" s="299"/>
      <c r="E33" s="298"/>
      <c r="F33" s="24" t="s">
        <v>41</v>
      </c>
    </row>
    <row r="34" spans="1:10" s="36" customFormat="1" ht="26.25">
      <c r="A34" s="33" t="s">
        <v>42</v>
      </c>
      <c r="B34" s="300">
        <v>4054738</v>
      </c>
      <c r="C34" s="300">
        <v>4054950</v>
      </c>
      <c r="D34" s="300">
        <v>4601138</v>
      </c>
      <c r="E34" s="300">
        <v>546188</v>
      </c>
      <c r="F34" s="35">
        <v>0.13469660538354358</v>
      </c>
    </row>
    <row r="35" spans="1:10" s="13" customFormat="1" ht="26.25">
      <c r="A35" s="31" t="s">
        <v>43</v>
      </c>
      <c r="B35" s="299"/>
      <c r="C35" s="299"/>
      <c r="D35" s="299"/>
      <c r="E35" s="299"/>
      <c r="F35" s="305"/>
    </row>
    <row r="36" spans="1:10" s="13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13" customFormat="1" ht="26.25">
      <c r="A37" s="38" t="s">
        <v>45</v>
      </c>
      <c r="B37" s="23">
        <v>0</v>
      </c>
      <c r="C37" s="23">
        <v>0</v>
      </c>
      <c r="D37" s="23">
        <v>0</v>
      </c>
      <c r="E37" s="298">
        <v>0</v>
      </c>
      <c r="F37" s="24">
        <v>0</v>
      </c>
    </row>
    <row r="38" spans="1:10" s="13" customFormat="1" ht="26.25">
      <c r="A38" s="38" t="s">
        <v>46</v>
      </c>
      <c r="B38" s="23">
        <v>0</v>
      </c>
      <c r="C38" s="23">
        <v>0</v>
      </c>
      <c r="D38" s="23">
        <v>0</v>
      </c>
      <c r="E38" s="298">
        <v>0</v>
      </c>
      <c r="F38" s="24">
        <v>0</v>
      </c>
    </row>
    <row r="39" spans="1:10" s="13" customFormat="1" ht="26.25">
      <c r="A39" s="38" t="s">
        <v>47</v>
      </c>
      <c r="B39" s="23">
        <v>0</v>
      </c>
      <c r="C39" s="23">
        <v>0</v>
      </c>
      <c r="D39" s="23">
        <v>0</v>
      </c>
      <c r="E39" s="298">
        <v>0</v>
      </c>
      <c r="F39" s="24">
        <v>0</v>
      </c>
    </row>
    <row r="40" spans="1:10" s="13" customFormat="1" ht="26.25">
      <c r="A40" s="39" t="s">
        <v>48</v>
      </c>
      <c r="B40" s="23">
        <v>0</v>
      </c>
      <c r="C40" s="23">
        <v>0</v>
      </c>
      <c r="D40" s="23">
        <v>0</v>
      </c>
      <c r="E40" s="298">
        <v>0</v>
      </c>
      <c r="F40" s="24">
        <v>0</v>
      </c>
    </row>
    <row r="41" spans="1:10" s="36" customFormat="1" ht="26.25">
      <c r="A41" s="31" t="s">
        <v>49</v>
      </c>
      <c r="B41" s="40">
        <v>0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99"/>
      <c r="C42" s="299"/>
      <c r="D42" s="299"/>
      <c r="E42" s="299"/>
      <c r="F42" s="305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99"/>
      <c r="C44" s="299"/>
      <c r="D44" s="299"/>
      <c r="E44" s="299"/>
      <c r="F44" s="305"/>
    </row>
    <row r="45" spans="1:10" s="36" customFormat="1" ht="26.25">
      <c r="A45" s="41" t="s">
        <v>52</v>
      </c>
      <c r="B45" s="42">
        <v>0</v>
      </c>
      <c r="C45" s="42">
        <v>0</v>
      </c>
      <c r="D45" s="42">
        <v>0</v>
      </c>
      <c r="E45" s="42">
        <v>0</v>
      </c>
      <c r="F45" s="35">
        <v>0</v>
      </c>
    </row>
    <row r="46" spans="1:10" s="13" customFormat="1" ht="26.25">
      <c r="A46" s="29" t="s">
        <v>50</v>
      </c>
      <c r="B46" s="299"/>
      <c r="C46" s="299"/>
      <c r="D46" s="299"/>
      <c r="E46" s="299"/>
      <c r="F46" s="305"/>
    </row>
    <row r="47" spans="1:10" s="36" customFormat="1" ht="26.25">
      <c r="A47" s="31" t="s">
        <v>53</v>
      </c>
      <c r="B47" s="40">
        <v>0</v>
      </c>
      <c r="C47" s="40">
        <v>0</v>
      </c>
      <c r="D47" s="40">
        <v>0</v>
      </c>
      <c r="E47" s="40">
        <v>0</v>
      </c>
      <c r="F47" s="35">
        <v>0</v>
      </c>
    </row>
    <row r="48" spans="1:10" s="13" customFormat="1" ht="26.25">
      <c r="A48" s="29" t="s">
        <v>50</v>
      </c>
      <c r="B48" s="299"/>
      <c r="C48" s="299"/>
      <c r="D48" s="299"/>
      <c r="E48" s="299"/>
      <c r="F48" s="305"/>
    </row>
    <row r="49" spans="1:6" s="36" customFormat="1" ht="26.25">
      <c r="A49" s="43" t="s">
        <v>54</v>
      </c>
      <c r="B49" s="44">
        <v>3379752</v>
      </c>
      <c r="C49" s="44">
        <v>3379752</v>
      </c>
      <c r="D49" s="44">
        <v>3379752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99"/>
      <c r="C52" s="299"/>
      <c r="D52" s="299"/>
      <c r="E52" s="299"/>
      <c r="F52" s="305"/>
    </row>
    <row r="53" spans="1:6" s="36" customFormat="1" ht="26.25">
      <c r="A53" s="46" t="s">
        <v>56</v>
      </c>
      <c r="B53" s="40">
        <v>7434490</v>
      </c>
      <c r="C53" s="40">
        <v>7434702</v>
      </c>
      <c r="D53" s="40">
        <v>7980890</v>
      </c>
      <c r="E53" s="40">
        <v>546188</v>
      </c>
      <c r="F53" s="35">
        <v>7.346467955272451E-2</v>
      </c>
    </row>
    <row r="54" spans="1:6" s="13" customFormat="1" ht="26.25">
      <c r="A54" s="47"/>
      <c r="B54" s="299"/>
      <c r="C54" s="299"/>
      <c r="D54" s="299"/>
      <c r="E54" s="299"/>
      <c r="F54" s="305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0</v>
      </c>
      <c r="C57" s="19">
        <v>0</v>
      </c>
      <c r="D57" s="19">
        <v>0</v>
      </c>
      <c r="E57" s="19">
        <v>0</v>
      </c>
      <c r="F57" s="24">
        <v>0</v>
      </c>
    </row>
    <row r="58" spans="1:6" s="13" customFormat="1" ht="26.25">
      <c r="A58" s="29" t="s">
        <v>59</v>
      </c>
      <c r="B58" s="299">
        <v>2100376.5</v>
      </c>
      <c r="C58" s="299">
        <v>2284967</v>
      </c>
      <c r="D58" s="299">
        <v>2249722.4</v>
      </c>
      <c r="E58" s="299">
        <v>-35244.600000000093</v>
      </c>
      <c r="F58" s="24">
        <v>-1.5424555365569873E-2</v>
      </c>
    </row>
    <row r="59" spans="1:6" s="13" customFormat="1" ht="26.25">
      <c r="A59" s="29" t="s">
        <v>60</v>
      </c>
      <c r="B59" s="299">
        <v>3442787</v>
      </c>
      <c r="C59" s="299">
        <v>3381398</v>
      </c>
      <c r="D59" s="299">
        <v>3545838.5</v>
      </c>
      <c r="E59" s="299">
        <v>164440.5</v>
      </c>
      <c r="F59" s="24">
        <v>4.8630921293500502E-2</v>
      </c>
    </row>
    <row r="60" spans="1:6" s="13" customFormat="1" ht="26.25">
      <c r="A60" s="29" t="s">
        <v>61</v>
      </c>
      <c r="B60" s="299">
        <v>67902</v>
      </c>
      <c r="C60" s="299">
        <v>59387</v>
      </c>
      <c r="D60" s="299">
        <v>56010</v>
      </c>
      <c r="E60" s="299">
        <v>-3377</v>
      </c>
      <c r="F60" s="24">
        <v>-5.6864296899994948E-2</v>
      </c>
    </row>
    <row r="61" spans="1:6" s="13" customFormat="1" ht="26.25">
      <c r="A61" s="29" t="s">
        <v>62</v>
      </c>
      <c r="B61" s="299">
        <v>0</v>
      </c>
      <c r="C61" s="299">
        <v>0</v>
      </c>
      <c r="D61" s="299">
        <v>0</v>
      </c>
      <c r="E61" s="299">
        <v>0</v>
      </c>
      <c r="F61" s="24">
        <v>0</v>
      </c>
    </row>
    <row r="62" spans="1:6" s="13" customFormat="1" ht="26.25">
      <c r="A62" s="29" t="s">
        <v>63</v>
      </c>
      <c r="B62" s="299">
        <v>907603.4</v>
      </c>
      <c r="C62" s="299">
        <v>742437</v>
      </c>
      <c r="D62" s="299">
        <v>1480657.1400000001</v>
      </c>
      <c r="E62" s="299">
        <v>738220.14000000013</v>
      </c>
      <c r="F62" s="24">
        <v>0.99432024535415142</v>
      </c>
    </row>
    <row r="63" spans="1:6" s="13" customFormat="1" ht="26.25">
      <c r="A63" s="29" t="s">
        <v>64</v>
      </c>
      <c r="B63" s="299">
        <v>0</v>
      </c>
      <c r="C63" s="299">
        <v>0</v>
      </c>
      <c r="D63" s="299">
        <v>0</v>
      </c>
      <c r="E63" s="299">
        <v>0</v>
      </c>
      <c r="F63" s="24">
        <v>0</v>
      </c>
    </row>
    <row r="64" spans="1:6" s="13" customFormat="1" ht="26.25">
      <c r="A64" s="29" t="s">
        <v>65</v>
      </c>
      <c r="B64" s="299">
        <v>915821</v>
      </c>
      <c r="C64" s="299">
        <v>966513</v>
      </c>
      <c r="D64" s="299">
        <v>648662</v>
      </c>
      <c r="E64" s="299">
        <v>-317851</v>
      </c>
      <c r="F64" s="24">
        <v>-0.32886365729172812</v>
      </c>
    </row>
    <row r="65" spans="1:6" s="36" customFormat="1" ht="26.25">
      <c r="A65" s="49" t="s">
        <v>66</v>
      </c>
      <c r="B65" s="300">
        <v>7434489.9000000004</v>
      </c>
      <c r="C65" s="300">
        <v>7434702</v>
      </c>
      <c r="D65" s="300">
        <v>7980890.040000001</v>
      </c>
      <c r="E65" s="300">
        <v>546188.04000000097</v>
      </c>
      <c r="F65" s="35">
        <v>7.3464684932899926E-2</v>
      </c>
    </row>
    <row r="66" spans="1:6" s="13" customFormat="1" ht="26.25">
      <c r="A66" s="29" t="s">
        <v>67</v>
      </c>
      <c r="B66" s="299">
        <v>0</v>
      </c>
      <c r="C66" s="299">
        <v>0</v>
      </c>
      <c r="D66" s="299">
        <v>0</v>
      </c>
      <c r="E66" s="299">
        <v>0</v>
      </c>
      <c r="F66" s="24">
        <v>0</v>
      </c>
    </row>
    <row r="67" spans="1:6" s="13" customFormat="1" ht="26.25">
      <c r="A67" s="29" t="s">
        <v>68</v>
      </c>
      <c r="B67" s="299">
        <v>0</v>
      </c>
      <c r="C67" s="299">
        <v>0</v>
      </c>
      <c r="D67" s="299">
        <v>0</v>
      </c>
      <c r="E67" s="299">
        <v>0</v>
      </c>
      <c r="F67" s="24">
        <v>0</v>
      </c>
    </row>
    <row r="68" spans="1:6" s="13" customFormat="1" ht="26.25">
      <c r="A68" s="29" t="s">
        <v>69</v>
      </c>
      <c r="B68" s="299">
        <v>0</v>
      </c>
      <c r="C68" s="299">
        <v>0</v>
      </c>
      <c r="D68" s="299">
        <v>0</v>
      </c>
      <c r="E68" s="299">
        <v>0</v>
      </c>
      <c r="F68" s="24">
        <v>0</v>
      </c>
    </row>
    <row r="69" spans="1:6" s="13" customFormat="1" ht="26.25">
      <c r="A69" s="29" t="s">
        <v>70</v>
      </c>
      <c r="B69" s="299">
        <v>0</v>
      </c>
      <c r="C69" s="299">
        <v>0</v>
      </c>
      <c r="D69" s="299">
        <v>0</v>
      </c>
      <c r="E69" s="299">
        <v>0</v>
      </c>
      <c r="F69" s="24">
        <v>0</v>
      </c>
    </row>
    <row r="70" spans="1:6" s="36" customFormat="1" ht="26.25">
      <c r="A70" s="50" t="s">
        <v>71</v>
      </c>
      <c r="B70" s="301">
        <v>7434489.9000000004</v>
      </c>
      <c r="C70" s="301">
        <v>7434702</v>
      </c>
      <c r="D70" s="301">
        <v>7980890.040000001</v>
      </c>
      <c r="E70" s="301">
        <v>546188.04000000097</v>
      </c>
      <c r="F70" s="35">
        <v>7.3464684932899926E-2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3808680.4</v>
      </c>
      <c r="C73" s="23">
        <v>3745265</v>
      </c>
      <c r="D73" s="23">
        <v>4296945</v>
      </c>
      <c r="E73" s="19">
        <v>551680</v>
      </c>
      <c r="F73" s="24">
        <v>0.14730065829787745</v>
      </c>
    </row>
    <row r="74" spans="1:6" s="13" customFormat="1" ht="26.25">
      <c r="A74" s="29" t="s">
        <v>74</v>
      </c>
      <c r="B74" s="298">
        <v>56000</v>
      </c>
      <c r="C74" s="23">
        <v>78000</v>
      </c>
      <c r="D74" s="23">
        <v>78000</v>
      </c>
      <c r="E74" s="299">
        <v>0</v>
      </c>
      <c r="F74" s="24">
        <v>0</v>
      </c>
    </row>
    <row r="75" spans="1:6" s="13" customFormat="1" ht="26.25">
      <c r="A75" s="29" t="s">
        <v>75</v>
      </c>
      <c r="B75" s="19">
        <v>1245343</v>
      </c>
      <c r="C75" s="23">
        <v>1113754</v>
      </c>
      <c r="D75" s="23">
        <v>1222660.8999999999</v>
      </c>
      <c r="E75" s="299">
        <v>108906.89999999991</v>
      </c>
      <c r="F75" s="24">
        <v>9.7783621877003277E-2</v>
      </c>
    </row>
    <row r="76" spans="1:6" s="36" customFormat="1" ht="26.25">
      <c r="A76" s="49" t="s">
        <v>76</v>
      </c>
      <c r="B76" s="301">
        <v>5110023.4000000004</v>
      </c>
      <c r="C76" s="301">
        <v>4937019</v>
      </c>
      <c r="D76" s="301">
        <v>5597605.9000000004</v>
      </c>
      <c r="E76" s="300">
        <v>660586.90000000037</v>
      </c>
      <c r="F76" s="35">
        <v>0.13380278666134368</v>
      </c>
    </row>
    <row r="77" spans="1:6" s="13" customFormat="1" ht="26.25">
      <c r="A77" s="29" t="s">
        <v>77</v>
      </c>
      <c r="B77" s="298">
        <v>185795</v>
      </c>
      <c r="C77" s="298">
        <v>161895</v>
      </c>
      <c r="D77" s="298">
        <v>178669</v>
      </c>
      <c r="E77" s="299">
        <v>16774</v>
      </c>
      <c r="F77" s="24">
        <v>0.10361036474258006</v>
      </c>
    </row>
    <row r="78" spans="1:6" s="13" customFormat="1" ht="26.25">
      <c r="A78" s="29" t="s">
        <v>78</v>
      </c>
      <c r="B78" s="23">
        <v>1079233.5</v>
      </c>
      <c r="C78" s="23">
        <v>1783220</v>
      </c>
      <c r="D78" s="23">
        <v>1566429</v>
      </c>
      <c r="E78" s="299">
        <v>-216791</v>
      </c>
      <c r="F78" s="24">
        <v>-0.12157277284911565</v>
      </c>
    </row>
    <row r="79" spans="1:6" s="13" customFormat="1" ht="26.25">
      <c r="A79" s="29" t="s">
        <v>79</v>
      </c>
      <c r="B79" s="19">
        <v>117571</v>
      </c>
      <c r="C79" s="19">
        <v>199699</v>
      </c>
      <c r="D79" s="19">
        <v>195609</v>
      </c>
      <c r="E79" s="299">
        <v>-4090</v>
      </c>
      <c r="F79" s="24">
        <v>-2.0480823639577563E-2</v>
      </c>
    </row>
    <row r="80" spans="1:6" s="36" customFormat="1" ht="26.25">
      <c r="A80" s="32" t="s">
        <v>80</v>
      </c>
      <c r="B80" s="301">
        <v>1382599.5</v>
      </c>
      <c r="C80" s="301">
        <v>2144814</v>
      </c>
      <c r="D80" s="301">
        <v>1940707</v>
      </c>
      <c r="E80" s="300">
        <v>-204107</v>
      </c>
      <c r="F80" s="35">
        <v>-9.5163030453922812E-2</v>
      </c>
    </row>
    <row r="81" spans="1:6" s="13" customFormat="1" ht="26.25">
      <c r="A81" s="29" t="s">
        <v>81</v>
      </c>
      <c r="B81" s="19">
        <v>101620</v>
      </c>
      <c r="C81" s="19">
        <v>74380</v>
      </c>
      <c r="D81" s="19">
        <v>54040</v>
      </c>
      <c r="E81" s="299">
        <v>-20340</v>
      </c>
      <c r="F81" s="24">
        <v>-0.27346060769023933</v>
      </c>
    </row>
    <row r="82" spans="1:6" s="13" customFormat="1" ht="26.25">
      <c r="A82" s="29" t="s">
        <v>82</v>
      </c>
      <c r="B82" s="299">
        <v>805234</v>
      </c>
      <c r="C82" s="299">
        <v>90412</v>
      </c>
      <c r="D82" s="299">
        <v>85000</v>
      </c>
      <c r="E82" s="299">
        <v>-5412</v>
      </c>
      <c r="F82" s="24">
        <v>-5.9859310710967568E-2</v>
      </c>
    </row>
    <row r="83" spans="1:6" s="13" customFormat="1" ht="26.25">
      <c r="A83" s="29" t="s">
        <v>83</v>
      </c>
      <c r="B83" s="299">
        <v>0</v>
      </c>
      <c r="C83" s="299">
        <v>0</v>
      </c>
      <c r="D83" s="299">
        <v>0</v>
      </c>
      <c r="E83" s="299">
        <v>0</v>
      </c>
      <c r="F83" s="24">
        <v>0</v>
      </c>
    </row>
    <row r="84" spans="1:6" s="13" customFormat="1" ht="26.25">
      <c r="A84" s="29" t="s">
        <v>84</v>
      </c>
      <c r="B84" s="299">
        <v>0</v>
      </c>
      <c r="C84" s="299">
        <v>0</v>
      </c>
      <c r="D84" s="299">
        <v>227311.14</v>
      </c>
      <c r="E84" s="299">
        <v>227311.14</v>
      </c>
      <c r="F84" s="24">
        <v>1</v>
      </c>
    </row>
    <row r="85" spans="1:6" s="36" customFormat="1" ht="26.25">
      <c r="A85" s="32" t="s">
        <v>85</v>
      </c>
      <c r="B85" s="300">
        <v>906854</v>
      </c>
      <c r="C85" s="300">
        <v>164792</v>
      </c>
      <c r="D85" s="300">
        <v>366351.14</v>
      </c>
      <c r="E85" s="300">
        <v>201559.14</v>
      </c>
      <c r="F85" s="35">
        <v>1.2231124083693383</v>
      </c>
    </row>
    <row r="86" spans="1:6" s="13" customFormat="1" ht="26.25">
      <c r="A86" s="29" t="s">
        <v>86</v>
      </c>
      <c r="B86" s="299">
        <v>35013</v>
      </c>
      <c r="C86" s="299">
        <v>188077</v>
      </c>
      <c r="D86" s="299">
        <v>76226</v>
      </c>
      <c r="E86" s="299">
        <v>-111851</v>
      </c>
      <c r="F86" s="24">
        <v>-0.59470855022145186</v>
      </c>
    </row>
    <row r="87" spans="1:6" s="13" customFormat="1" ht="26.25">
      <c r="A87" s="29" t="s">
        <v>87</v>
      </c>
      <c r="B87" s="299">
        <v>0</v>
      </c>
      <c r="C87" s="299">
        <v>0</v>
      </c>
      <c r="D87" s="299">
        <v>0</v>
      </c>
      <c r="E87" s="299">
        <v>0</v>
      </c>
      <c r="F87" s="24">
        <v>0</v>
      </c>
    </row>
    <row r="88" spans="1:6" s="13" customFormat="1" ht="26.25">
      <c r="A88" s="38" t="s">
        <v>88</v>
      </c>
      <c r="B88" s="299">
        <v>0</v>
      </c>
      <c r="C88" s="299">
        <v>0</v>
      </c>
      <c r="D88" s="299">
        <v>0</v>
      </c>
      <c r="E88" s="299">
        <v>0</v>
      </c>
      <c r="F88" s="24">
        <v>0</v>
      </c>
    </row>
    <row r="89" spans="1:6" s="36" customFormat="1" ht="26.25">
      <c r="A89" s="52" t="s">
        <v>89</v>
      </c>
      <c r="B89" s="301">
        <v>35013</v>
      </c>
      <c r="C89" s="301">
        <v>188077</v>
      </c>
      <c r="D89" s="301">
        <v>76226</v>
      </c>
      <c r="E89" s="301">
        <v>-111851</v>
      </c>
      <c r="F89" s="35">
        <v>-0.59470855022145186</v>
      </c>
    </row>
    <row r="90" spans="1:6" s="13" customFormat="1" ht="26.25">
      <c r="A90" s="38" t="s">
        <v>90</v>
      </c>
      <c r="B90" s="299">
        <v>0</v>
      </c>
      <c r="C90" s="299">
        <v>0</v>
      </c>
      <c r="D90" s="298">
        <v>0</v>
      </c>
      <c r="E90" s="299">
        <v>0</v>
      </c>
      <c r="F90" s="24">
        <v>0</v>
      </c>
    </row>
    <row r="91" spans="1:6" s="36" customFormat="1" ht="27" thickBot="1">
      <c r="A91" s="53" t="s">
        <v>71</v>
      </c>
      <c r="B91" s="302">
        <v>7434489.9000000004</v>
      </c>
      <c r="C91" s="302">
        <v>7434702</v>
      </c>
      <c r="D91" s="55">
        <v>7980890.040000001</v>
      </c>
      <c r="E91" s="302">
        <v>546188.04000000097</v>
      </c>
      <c r="F91" s="56">
        <v>7.3464684932899926E-2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topLeftCell="A13" zoomScale="50" zoomScaleNormal="50" workbookViewId="0">
      <selection activeCell="M46" sqref="M46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5.42578125" style="65" customWidth="1"/>
    <col min="6" max="6" width="25.140625" style="65" customWidth="1"/>
    <col min="7" max="254" width="9.140625" style="65"/>
    <col min="255" max="255" width="121.140625" style="65" customWidth="1"/>
    <col min="256" max="256" width="32.7109375" style="65" customWidth="1"/>
    <col min="257" max="258" width="32.85546875" style="65" customWidth="1"/>
    <col min="259" max="259" width="29.7109375" style="65" customWidth="1"/>
    <col min="260" max="260" width="25.5703125" style="65" customWidth="1"/>
    <col min="261" max="261" width="35.42578125" style="65" customWidth="1"/>
    <col min="262" max="262" width="25.140625" style="65" customWidth="1"/>
    <col min="263" max="510" width="9.140625" style="65"/>
    <col min="511" max="511" width="121.140625" style="65" customWidth="1"/>
    <col min="512" max="512" width="32.7109375" style="65" customWidth="1"/>
    <col min="513" max="514" width="32.85546875" style="65" customWidth="1"/>
    <col min="515" max="515" width="29.7109375" style="65" customWidth="1"/>
    <col min="516" max="516" width="25.5703125" style="65" customWidth="1"/>
    <col min="517" max="517" width="35.42578125" style="65" customWidth="1"/>
    <col min="518" max="518" width="25.140625" style="65" customWidth="1"/>
    <col min="519" max="766" width="9.140625" style="65"/>
    <col min="767" max="767" width="121.140625" style="65" customWidth="1"/>
    <col min="768" max="768" width="32.7109375" style="65" customWidth="1"/>
    <col min="769" max="770" width="32.85546875" style="65" customWidth="1"/>
    <col min="771" max="771" width="29.7109375" style="65" customWidth="1"/>
    <col min="772" max="772" width="25.5703125" style="65" customWidth="1"/>
    <col min="773" max="773" width="35.42578125" style="65" customWidth="1"/>
    <col min="774" max="774" width="25.140625" style="65" customWidth="1"/>
    <col min="775" max="1022" width="9.140625" style="65"/>
    <col min="1023" max="1023" width="121.140625" style="65" customWidth="1"/>
    <col min="1024" max="1024" width="32.7109375" style="65" customWidth="1"/>
    <col min="1025" max="1026" width="32.85546875" style="65" customWidth="1"/>
    <col min="1027" max="1027" width="29.7109375" style="65" customWidth="1"/>
    <col min="1028" max="1028" width="25.5703125" style="65" customWidth="1"/>
    <col min="1029" max="1029" width="35.42578125" style="65" customWidth="1"/>
    <col min="1030" max="1030" width="25.140625" style="65" customWidth="1"/>
    <col min="1031" max="1278" width="9.140625" style="65"/>
    <col min="1279" max="1279" width="121.140625" style="65" customWidth="1"/>
    <col min="1280" max="1280" width="32.7109375" style="65" customWidth="1"/>
    <col min="1281" max="1282" width="32.85546875" style="65" customWidth="1"/>
    <col min="1283" max="1283" width="29.7109375" style="65" customWidth="1"/>
    <col min="1284" max="1284" width="25.5703125" style="65" customWidth="1"/>
    <col min="1285" max="1285" width="35.42578125" style="65" customWidth="1"/>
    <col min="1286" max="1286" width="25.140625" style="65" customWidth="1"/>
    <col min="1287" max="1534" width="9.140625" style="65"/>
    <col min="1535" max="1535" width="121.140625" style="65" customWidth="1"/>
    <col min="1536" max="1536" width="32.7109375" style="65" customWidth="1"/>
    <col min="1537" max="1538" width="32.85546875" style="65" customWidth="1"/>
    <col min="1539" max="1539" width="29.7109375" style="65" customWidth="1"/>
    <col min="1540" max="1540" width="25.5703125" style="65" customWidth="1"/>
    <col min="1541" max="1541" width="35.42578125" style="65" customWidth="1"/>
    <col min="1542" max="1542" width="25.140625" style="65" customWidth="1"/>
    <col min="1543" max="1790" width="9.140625" style="65"/>
    <col min="1791" max="1791" width="121.140625" style="65" customWidth="1"/>
    <col min="1792" max="1792" width="32.7109375" style="65" customWidth="1"/>
    <col min="1793" max="1794" width="32.85546875" style="65" customWidth="1"/>
    <col min="1795" max="1795" width="29.7109375" style="65" customWidth="1"/>
    <col min="1796" max="1796" width="25.5703125" style="65" customWidth="1"/>
    <col min="1797" max="1797" width="35.42578125" style="65" customWidth="1"/>
    <col min="1798" max="1798" width="25.140625" style="65" customWidth="1"/>
    <col min="1799" max="2046" width="9.140625" style="65"/>
    <col min="2047" max="2047" width="121.140625" style="65" customWidth="1"/>
    <col min="2048" max="2048" width="32.7109375" style="65" customWidth="1"/>
    <col min="2049" max="2050" width="32.85546875" style="65" customWidth="1"/>
    <col min="2051" max="2051" width="29.7109375" style="65" customWidth="1"/>
    <col min="2052" max="2052" width="25.5703125" style="65" customWidth="1"/>
    <col min="2053" max="2053" width="35.42578125" style="65" customWidth="1"/>
    <col min="2054" max="2054" width="25.140625" style="65" customWidth="1"/>
    <col min="2055" max="2302" width="9.140625" style="65"/>
    <col min="2303" max="2303" width="121.140625" style="65" customWidth="1"/>
    <col min="2304" max="2304" width="32.7109375" style="65" customWidth="1"/>
    <col min="2305" max="2306" width="32.85546875" style="65" customWidth="1"/>
    <col min="2307" max="2307" width="29.7109375" style="65" customWidth="1"/>
    <col min="2308" max="2308" width="25.5703125" style="65" customWidth="1"/>
    <col min="2309" max="2309" width="35.42578125" style="65" customWidth="1"/>
    <col min="2310" max="2310" width="25.140625" style="65" customWidth="1"/>
    <col min="2311" max="2558" width="9.140625" style="65"/>
    <col min="2559" max="2559" width="121.140625" style="65" customWidth="1"/>
    <col min="2560" max="2560" width="32.7109375" style="65" customWidth="1"/>
    <col min="2561" max="2562" width="32.85546875" style="65" customWidth="1"/>
    <col min="2563" max="2563" width="29.7109375" style="65" customWidth="1"/>
    <col min="2564" max="2564" width="25.5703125" style="65" customWidth="1"/>
    <col min="2565" max="2565" width="35.42578125" style="65" customWidth="1"/>
    <col min="2566" max="2566" width="25.140625" style="65" customWidth="1"/>
    <col min="2567" max="2814" width="9.140625" style="65"/>
    <col min="2815" max="2815" width="121.140625" style="65" customWidth="1"/>
    <col min="2816" max="2816" width="32.7109375" style="65" customWidth="1"/>
    <col min="2817" max="2818" width="32.85546875" style="65" customWidth="1"/>
    <col min="2819" max="2819" width="29.7109375" style="65" customWidth="1"/>
    <col min="2820" max="2820" width="25.5703125" style="65" customWidth="1"/>
    <col min="2821" max="2821" width="35.42578125" style="65" customWidth="1"/>
    <col min="2822" max="2822" width="25.140625" style="65" customWidth="1"/>
    <col min="2823" max="3070" width="9.140625" style="65"/>
    <col min="3071" max="3071" width="121.140625" style="65" customWidth="1"/>
    <col min="3072" max="3072" width="32.7109375" style="65" customWidth="1"/>
    <col min="3073" max="3074" width="32.85546875" style="65" customWidth="1"/>
    <col min="3075" max="3075" width="29.7109375" style="65" customWidth="1"/>
    <col min="3076" max="3076" width="25.5703125" style="65" customWidth="1"/>
    <col min="3077" max="3077" width="35.42578125" style="65" customWidth="1"/>
    <col min="3078" max="3078" width="25.140625" style="65" customWidth="1"/>
    <col min="3079" max="3326" width="9.140625" style="65"/>
    <col min="3327" max="3327" width="121.140625" style="65" customWidth="1"/>
    <col min="3328" max="3328" width="32.7109375" style="65" customWidth="1"/>
    <col min="3329" max="3330" width="32.85546875" style="65" customWidth="1"/>
    <col min="3331" max="3331" width="29.7109375" style="65" customWidth="1"/>
    <col min="3332" max="3332" width="25.5703125" style="65" customWidth="1"/>
    <col min="3333" max="3333" width="35.42578125" style="65" customWidth="1"/>
    <col min="3334" max="3334" width="25.140625" style="65" customWidth="1"/>
    <col min="3335" max="3582" width="9.140625" style="65"/>
    <col min="3583" max="3583" width="121.140625" style="65" customWidth="1"/>
    <col min="3584" max="3584" width="32.7109375" style="65" customWidth="1"/>
    <col min="3585" max="3586" width="32.85546875" style="65" customWidth="1"/>
    <col min="3587" max="3587" width="29.7109375" style="65" customWidth="1"/>
    <col min="3588" max="3588" width="25.5703125" style="65" customWidth="1"/>
    <col min="3589" max="3589" width="35.42578125" style="65" customWidth="1"/>
    <col min="3590" max="3590" width="25.140625" style="65" customWidth="1"/>
    <col min="3591" max="3838" width="9.140625" style="65"/>
    <col min="3839" max="3839" width="121.140625" style="65" customWidth="1"/>
    <col min="3840" max="3840" width="32.7109375" style="65" customWidth="1"/>
    <col min="3841" max="3842" width="32.85546875" style="65" customWidth="1"/>
    <col min="3843" max="3843" width="29.7109375" style="65" customWidth="1"/>
    <col min="3844" max="3844" width="25.5703125" style="65" customWidth="1"/>
    <col min="3845" max="3845" width="35.42578125" style="65" customWidth="1"/>
    <col min="3846" max="3846" width="25.140625" style="65" customWidth="1"/>
    <col min="3847" max="4094" width="9.140625" style="65"/>
    <col min="4095" max="4095" width="121.140625" style="65" customWidth="1"/>
    <col min="4096" max="4096" width="32.7109375" style="65" customWidth="1"/>
    <col min="4097" max="4098" width="32.85546875" style="65" customWidth="1"/>
    <col min="4099" max="4099" width="29.7109375" style="65" customWidth="1"/>
    <col min="4100" max="4100" width="25.5703125" style="65" customWidth="1"/>
    <col min="4101" max="4101" width="35.42578125" style="65" customWidth="1"/>
    <col min="4102" max="4102" width="25.140625" style="65" customWidth="1"/>
    <col min="4103" max="4350" width="9.140625" style="65"/>
    <col min="4351" max="4351" width="121.140625" style="65" customWidth="1"/>
    <col min="4352" max="4352" width="32.7109375" style="65" customWidth="1"/>
    <col min="4353" max="4354" width="32.85546875" style="65" customWidth="1"/>
    <col min="4355" max="4355" width="29.7109375" style="65" customWidth="1"/>
    <col min="4356" max="4356" width="25.5703125" style="65" customWidth="1"/>
    <col min="4357" max="4357" width="35.42578125" style="65" customWidth="1"/>
    <col min="4358" max="4358" width="25.140625" style="65" customWidth="1"/>
    <col min="4359" max="4606" width="9.140625" style="65"/>
    <col min="4607" max="4607" width="121.140625" style="65" customWidth="1"/>
    <col min="4608" max="4608" width="32.7109375" style="65" customWidth="1"/>
    <col min="4609" max="4610" width="32.85546875" style="65" customWidth="1"/>
    <col min="4611" max="4611" width="29.7109375" style="65" customWidth="1"/>
    <col min="4612" max="4612" width="25.5703125" style="65" customWidth="1"/>
    <col min="4613" max="4613" width="35.42578125" style="65" customWidth="1"/>
    <col min="4614" max="4614" width="25.140625" style="65" customWidth="1"/>
    <col min="4615" max="4862" width="9.140625" style="65"/>
    <col min="4863" max="4863" width="121.140625" style="65" customWidth="1"/>
    <col min="4864" max="4864" width="32.7109375" style="65" customWidth="1"/>
    <col min="4865" max="4866" width="32.85546875" style="65" customWidth="1"/>
    <col min="4867" max="4867" width="29.7109375" style="65" customWidth="1"/>
    <col min="4868" max="4868" width="25.5703125" style="65" customWidth="1"/>
    <col min="4869" max="4869" width="35.42578125" style="65" customWidth="1"/>
    <col min="4870" max="4870" width="25.140625" style="65" customWidth="1"/>
    <col min="4871" max="5118" width="9.140625" style="65"/>
    <col min="5119" max="5119" width="121.140625" style="65" customWidth="1"/>
    <col min="5120" max="5120" width="32.7109375" style="65" customWidth="1"/>
    <col min="5121" max="5122" width="32.85546875" style="65" customWidth="1"/>
    <col min="5123" max="5123" width="29.7109375" style="65" customWidth="1"/>
    <col min="5124" max="5124" width="25.5703125" style="65" customWidth="1"/>
    <col min="5125" max="5125" width="35.42578125" style="65" customWidth="1"/>
    <col min="5126" max="5126" width="25.140625" style="65" customWidth="1"/>
    <col min="5127" max="5374" width="9.140625" style="65"/>
    <col min="5375" max="5375" width="121.140625" style="65" customWidth="1"/>
    <col min="5376" max="5376" width="32.7109375" style="65" customWidth="1"/>
    <col min="5377" max="5378" width="32.85546875" style="65" customWidth="1"/>
    <col min="5379" max="5379" width="29.7109375" style="65" customWidth="1"/>
    <col min="5380" max="5380" width="25.5703125" style="65" customWidth="1"/>
    <col min="5381" max="5381" width="35.42578125" style="65" customWidth="1"/>
    <col min="5382" max="5382" width="25.140625" style="65" customWidth="1"/>
    <col min="5383" max="5630" width="9.140625" style="65"/>
    <col min="5631" max="5631" width="121.140625" style="65" customWidth="1"/>
    <col min="5632" max="5632" width="32.7109375" style="65" customWidth="1"/>
    <col min="5633" max="5634" width="32.85546875" style="65" customWidth="1"/>
    <col min="5635" max="5635" width="29.7109375" style="65" customWidth="1"/>
    <col min="5636" max="5636" width="25.5703125" style="65" customWidth="1"/>
    <col min="5637" max="5637" width="35.42578125" style="65" customWidth="1"/>
    <col min="5638" max="5638" width="25.140625" style="65" customWidth="1"/>
    <col min="5639" max="5886" width="9.140625" style="65"/>
    <col min="5887" max="5887" width="121.140625" style="65" customWidth="1"/>
    <col min="5888" max="5888" width="32.7109375" style="65" customWidth="1"/>
    <col min="5889" max="5890" width="32.85546875" style="65" customWidth="1"/>
    <col min="5891" max="5891" width="29.7109375" style="65" customWidth="1"/>
    <col min="5892" max="5892" width="25.5703125" style="65" customWidth="1"/>
    <col min="5893" max="5893" width="35.42578125" style="65" customWidth="1"/>
    <col min="5894" max="5894" width="25.140625" style="65" customWidth="1"/>
    <col min="5895" max="6142" width="9.140625" style="65"/>
    <col min="6143" max="6143" width="121.140625" style="65" customWidth="1"/>
    <col min="6144" max="6144" width="32.7109375" style="65" customWidth="1"/>
    <col min="6145" max="6146" width="32.85546875" style="65" customWidth="1"/>
    <col min="6147" max="6147" width="29.7109375" style="65" customWidth="1"/>
    <col min="6148" max="6148" width="25.5703125" style="65" customWidth="1"/>
    <col min="6149" max="6149" width="35.42578125" style="65" customWidth="1"/>
    <col min="6150" max="6150" width="25.140625" style="65" customWidth="1"/>
    <col min="6151" max="6398" width="9.140625" style="65"/>
    <col min="6399" max="6399" width="121.140625" style="65" customWidth="1"/>
    <col min="6400" max="6400" width="32.7109375" style="65" customWidth="1"/>
    <col min="6401" max="6402" width="32.85546875" style="65" customWidth="1"/>
    <col min="6403" max="6403" width="29.7109375" style="65" customWidth="1"/>
    <col min="6404" max="6404" width="25.5703125" style="65" customWidth="1"/>
    <col min="6405" max="6405" width="35.42578125" style="65" customWidth="1"/>
    <col min="6406" max="6406" width="25.140625" style="65" customWidth="1"/>
    <col min="6407" max="6654" width="9.140625" style="65"/>
    <col min="6655" max="6655" width="121.140625" style="65" customWidth="1"/>
    <col min="6656" max="6656" width="32.7109375" style="65" customWidth="1"/>
    <col min="6657" max="6658" width="32.85546875" style="65" customWidth="1"/>
    <col min="6659" max="6659" width="29.7109375" style="65" customWidth="1"/>
    <col min="6660" max="6660" width="25.5703125" style="65" customWidth="1"/>
    <col min="6661" max="6661" width="35.42578125" style="65" customWidth="1"/>
    <col min="6662" max="6662" width="25.140625" style="65" customWidth="1"/>
    <col min="6663" max="6910" width="9.140625" style="65"/>
    <col min="6911" max="6911" width="121.140625" style="65" customWidth="1"/>
    <col min="6912" max="6912" width="32.7109375" style="65" customWidth="1"/>
    <col min="6913" max="6914" width="32.85546875" style="65" customWidth="1"/>
    <col min="6915" max="6915" width="29.7109375" style="65" customWidth="1"/>
    <col min="6916" max="6916" width="25.5703125" style="65" customWidth="1"/>
    <col min="6917" max="6917" width="35.42578125" style="65" customWidth="1"/>
    <col min="6918" max="6918" width="25.140625" style="65" customWidth="1"/>
    <col min="6919" max="7166" width="9.140625" style="65"/>
    <col min="7167" max="7167" width="121.140625" style="65" customWidth="1"/>
    <col min="7168" max="7168" width="32.7109375" style="65" customWidth="1"/>
    <col min="7169" max="7170" width="32.85546875" style="65" customWidth="1"/>
    <col min="7171" max="7171" width="29.7109375" style="65" customWidth="1"/>
    <col min="7172" max="7172" width="25.5703125" style="65" customWidth="1"/>
    <col min="7173" max="7173" width="35.42578125" style="65" customWidth="1"/>
    <col min="7174" max="7174" width="25.140625" style="65" customWidth="1"/>
    <col min="7175" max="7422" width="9.140625" style="65"/>
    <col min="7423" max="7423" width="121.140625" style="65" customWidth="1"/>
    <col min="7424" max="7424" width="32.7109375" style="65" customWidth="1"/>
    <col min="7425" max="7426" width="32.85546875" style="65" customWidth="1"/>
    <col min="7427" max="7427" width="29.7109375" style="65" customWidth="1"/>
    <col min="7428" max="7428" width="25.5703125" style="65" customWidth="1"/>
    <col min="7429" max="7429" width="35.42578125" style="65" customWidth="1"/>
    <col min="7430" max="7430" width="25.140625" style="65" customWidth="1"/>
    <col min="7431" max="7678" width="9.140625" style="65"/>
    <col min="7679" max="7679" width="121.140625" style="65" customWidth="1"/>
    <col min="7680" max="7680" width="32.7109375" style="65" customWidth="1"/>
    <col min="7681" max="7682" width="32.85546875" style="65" customWidth="1"/>
    <col min="7683" max="7683" width="29.7109375" style="65" customWidth="1"/>
    <col min="7684" max="7684" width="25.5703125" style="65" customWidth="1"/>
    <col min="7685" max="7685" width="35.42578125" style="65" customWidth="1"/>
    <col min="7686" max="7686" width="25.140625" style="65" customWidth="1"/>
    <col min="7687" max="7934" width="9.140625" style="65"/>
    <col min="7935" max="7935" width="121.140625" style="65" customWidth="1"/>
    <col min="7936" max="7936" width="32.7109375" style="65" customWidth="1"/>
    <col min="7937" max="7938" width="32.85546875" style="65" customWidth="1"/>
    <col min="7939" max="7939" width="29.7109375" style="65" customWidth="1"/>
    <col min="7940" max="7940" width="25.5703125" style="65" customWidth="1"/>
    <col min="7941" max="7941" width="35.42578125" style="65" customWidth="1"/>
    <col min="7942" max="7942" width="25.140625" style="65" customWidth="1"/>
    <col min="7943" max="8190" width="9.140625" style="65"/>
    <col min="8191" max="8191" width="121.140625" style="65" customWidth="1"/>
    <col min="8192" max="8192" width="32.7109375" style="65" customWidth="1"/>
    <col min="8193" max="8194" width="32.85546875" style="65" customWidth="1"/>
    <col min="8195" max="8195" width="29.7109375" style="65" customWidth="1"/>
    <col min="8196" max="8196" width="25.5703125" style="65" customWidth="1"/>
    <col min="8197" max="8197" width="35.42578125" style="65" customWidth="1"/>
    <col min="8198" max="8198" width="25.140625" style="65" customWidth="1"/>
    <col min="8199" max="8446" width="9.140625" style="65"/>
    <col min="8447" max="8447" width="121.140625" style="65" customWidth="1"/>
    <col min="8448" max="8448" width="32.7109375" style="65" customWidth="1"/>
    <col min="8449" max="8450" width="32.85546875" style="65" customWidth="1"/>
    <col min="8451" max="8451" width="29.7109375" style="65" customWidth="1"/>
    <col min="8452" max="8452" width="25.5703125" style="65" customWidth="1"/>
    <col min="8453" max="8453" width="35.42578125" style="65" customWidth="1"/>
    <col min="8454" max="8454" width="25.140625" style="65" customWidth="1"/>
    <col min="8455" max="8702" width="9.140625" style="65"/>
    <col min="8703" max="8703" width="121.140625" style="65" customWidth="1"/>
    <col min="8704" max="8704" width="32.7109375" style="65" customWidth="1"/>
    <col min="8705" max="8706" width="32.85546875" style="65" customWidth="1"/>
    <col min="8707" max="8707" width="29.7109375" style="65" customWidth="1"/>
    <col min="8708" max="8708" width="25.5703125" style="65" customWidth="1"/>
    <col min="8709" max="8709" width="35.42578125" style="65" customWidth="1"/>
    <col min="8710" max="8710" width="25.140625" style="65" customWidth="1"/>
    <col min="8711" max="8958" width="9.140625" style="65"/>
    <col min="8959" max="8959" width="121.140625" style="65" customWidth="1"/>
    <col min="8960" max="8960" width="32.7109375" style="65" customWidth="1"/>
    <col min="8961" max="8962" width="32.85546875" style="65" customWidth="1"/>
    <col min="8963" max="8963" width="29.7109375" style="65" customWidth="1"/>
    <col min="8964" max="8964" width="25.5703125" style="65" customWidth="1"/>
    <col min="8965" max="8965" width="35.42578125" style="65" customWidth="1"/>
    <col min="8966" max="8966" width="25.140625" style="65" customWidth="1"/>
    <col min="8967" max="9214" width="9.140625" style="65"/>
    <col min="9215" max="9215" width="121.140625" style="65" customWidth="1"/>
    <col min="9216" max="9216" width="32.7109375" style="65" customWidth="1"/>
    <col min="9217" max="9218" width="32.85546875" style="65" customWidth="1"/>
    <col min="9219" max="9219" width="29.7109375" style="65" customWidth="1"/>
    <col min="9220" max="9220" width="25.5703125" style="65" customWidth="1"/>
    <col min="9221" max="9221" width="35.42578125" style="65" customWidth="1"/>
    <col min="9222" max="9222" width="25.140625" style="65" customWidth="1"/>
    <col min="9223" max="9470" width="9.140625" style="65"/>
    <col min="9471" max="9471" width="121.140625" style="65" customWidth="1"/>
    <col min="9472" max="9472" width="32.7109375" style="65" customWidth="1"/>
    <col min="9473" max="9474" width="32.85546875" style="65" customWidth="1"/>
    <col min="9475" max="9475" width="29.7109375" style="65" customWidth="1"/>
    <col min="9476" max="9476" width="25.5703125" style="65" customWidth="1"/>
    <col min="9477" max="9477" width="35.42578125" style="65" customWidth="1"/>
    <col min="9478" max="9478" width="25.140625" style="65" customWidth="1"/>
    <col min="9479" max="9726" width="9.140625" style="65"/>
    <col min="9727" max="9727" width="121.140625" style="65" customWidth="1"/>
    <col min="9728" max="9728" width="32.7109375" style="65" customWidth="1"/>
    <col min="9729" max="9730" width="32.85546875" style="65" customWidth="1"/>
    <col min="9731" max="9731" width="29.7109375" style="65" customWidth="1"/>
    <col min="9732" max="9732" width="25.5703125" style="65" customWidth="1"/>
    <col min="9733" max="9733" width="35.42578125" style="65" customWidth="1"/>
    <col min="9734" max="9734" width="25.140625" style="65" customWidth="1"/>
    <col min="9735" max="9982" width="9.140625" style="65"/>
    <col min="9983" max="9983" width="121.140625" style="65" customWidth="1"/>
    <col min="9984" max="9984" width="32.7109375" style="65" customWidth="1"/>
    <col min="9985" max="9986" width="32.85546875" style="65" customWidth="1"/>
    <col min="9987" max="9987" width="29.7109375" style="65" customWidth="1"/>
    <col min="9988" max="9988" width="25.5703125" style="65" customWidth="1"/>
    <col min="9989" max="9989" width="35.42578125" style="65" customWidth="1"/>
    <col min="9990" max="9990" width="25.140625" style="65" customWidth="1"/>
    <col min="9991" max="10238" width="9.140625" style="65"/>
    <col min="10239" max="10239" width="121.140625" style="65" customWidth="1"/>
    <col min="10240" max="10240" width="32.7109375" style="65" customWidth="1"/>
    <col min="10241" max="10242" width="32.85546875" style="65" customWidth="1"/>
    <col min="10243" max="10243" width="29.7109375" style="65" customWidth="1"/>
    <col min="10244" max="10244" width="25.5703125" style="65" customWidth="1"/>
    <col min="10245" max="10245" width="35.42578125" style="65" customWidth="1"/>
    <col min="10246" max="10246" width="25.140625" style="65" customWidth="1"/>
    <col min="10247" max="10494" width="9.140625" style="65"/>
    <col min="10495" max="10495" width="121.140625" style="65" customWidth="1"/>
    <col min="10496" max="10496" width="32.7109375" style="65" customWidth="1"/>
    <col min="10497" max="10498" width="32.85546875" style="65" customWidth="1"/>
    <col min="10499" max="10499" width="29.7109375" style="65" customWidth="1"/>
    <col min="10500" max="10500" width="25.5703125" style="65" customWidth="1"/>
    <col min="10501" max="10501" width="35.42578125" style="65" customWidth="1"/>
    <col min="10502" max="10502" width="25.140625" style="65" customWidth="1"/>
    <col min="10503" max="10750" width="9.140625" style="65"/>
    <col min="10751" max="10751" width="121.140625" style="65" customWidth="1"/>
    <col min="10752" max="10752" width="32.7109375" style="65" customWidth="1"/>
    <col min="10753" max="10754" width="32.85546875" style="65" customWidth="1"/>
    <col min="10755" max="10755" width="29.7109375" style="65" customWidth="1"/>
    <col min="10756" max="10756" width="25.5703125" style="65" customWidth="1"/>
    <col min="10757" max="10757" width="35.42578125" style="65" customWidth="1"/>
    <col min="10758" max="10758" width="25.140625" style="65" customWidth="1"/>
    <col min="10759" max="11006" width="9.140625" style="65"/>
    <col min="11007" max="11007" width="121.140625" style="65" customWidth="1"/>
    <col min="11008" max="11008" width="32.7109375" style="65" customWidth="1"/>
    <col min="11009" max="11010" width="32.85546875" style="65" customWidth="1"/>
    <col min="11011" max="11011" width="29.7109375" style="65" customWidth="1"/>
    <col min="11012" max="11012" width="25.5703125" style="65" customWidth="1"/>
    <col min="11013" max="11013" width="35.42578125" style="65" customWidth="1"/>
    <col min="11014" max="11014" width="25.140625" style="65" customWidth="1"/>
    <col min="11015" max="11262" width="9.140625" style="65"/>
    <col min="11263" max="11263" width="121.140625" style="65" customWidth="1"/>
    <col min="11264" max="11264" width="32.7109375" style="65" customWidth="1"/>
    <col min="11265" max="11266" width="32.85546875" style="65" customWidth="1"/>
    <col min="11267" max="11267" width="29.7109375" style="65" customWidth="1"/>
    <col min="11268" max="11268" width="25.5703125" style="65" customWidth="1"/>
    <col min="11269" max="11269" width="35.42578125" style="65" customWidth="1"/>
    <col min="11270" max="11270" width="25.140625" style="65" customWidth="1"/>
    <col min="11271" max="11518" width="9.140625" style="65"/>
    <col min="11519" max="11519" width="121.140625" style="65" customWidth="1"/>
    <col min="11520" max="11520" width="32.7109375" style="65" customWidth="1"/>
    <col min="11521" max="11522" width="32.85546875" style="65" customWidth="1"/>
    <col min="11523" max="11523" width="29.7109375" style="65" customWidth="1"/>
    <col min="11524" max="11524" width="25.5703125" style="65" customWidth="1"/>
    <col min="11525" max="11525" width="35.42578125" style="65" customWidth="1"/>
    <col min="11526" max="11526" width="25.140625" style="65" customWidth="1"/>
    <col min="11527" max="11774" width="9.140625" style="65"/>
    <col min="11775" max="11775" width="121.140625" style="65" customWidth="1"/>
    <col min="11776" max="11776" width="32.7109375" style="65" customWidth="1"/>
    <col min="11777" max="11778" width="32.85546875" style="65" customWidth="1"/>
    <col min="11779" max="11779" width="29.7109375" style="65" customWidth="1"/>
    <col min="11780" max="11780" width="25.5703125" style="65" customWidth="1"/>
    <col min="11781" max="11781" width="35.42578125" style="65" customWidth="1"/>
    <col min="11782" max="11782" width="25.140625" style="65" customWidth="1"/>
    <col min="11783" max="12030" width="9.140625" style="65"/>
    <col min="12031" max="12031" width="121.140625" style="65" customWidth="1"/>
    <col min="12032" max="12032" width="32.7109375" style="65" customWidth="1"/>
    <col min="12033" max="12034" width="32.85546875" style="65" customWidth="1"/>
    <col min="12035" max="12035" width="29.7109375" style="65" customWidth="1"/>
    <col min="12036" max="12036" width="25.5703125" style="65" customWidth="1"/>
    <col min="12037" max="12037" width="35.42578125" style="65" customWidth="1"/>
    <col min="12038" max="12038" width="25.140625" style="65" customWidth="1"/>
    <col min="12039" max="12286" width="9.140625" style="65"/>
    <col min="12287" max="12287" width="121.140625" style="65" customWidth="1"/>
    <col min="12288" max="12288" width="32.7109375" style="65" customWidth="1"/>
    <col min="12289" max="12290" width="32.85546875" style="65" customWidth="1"/>
    <col min="12291" max="12291" width="29.7109375" style="65" customWidth="1"/>
    <col min="12292" max="12292" width="25.5703125" style="65" customWidth="1"/>
    <col min="12293" max="12293" width="35.42578125" style="65" customWidth="1"/>
    <col min="12294" max="12294" width="25.140625" style="65" customWidth="1"/>
    <col min="12295" max="12542" width="9.140625" style="65"/>
    <col min="12543" max="12543" width="121.140625" style="65" customWidth="1"/>
    <col min="12544" max="12544" width="32.7109375" style="65" customWidth="1"/>
    <col min="12545" max="12546" width="32.85546875" style="65" customWidth="1"/>
    <col min="12547" max="12547" width="29.7109375" style="65" customWidth="1"/>
    <col min="12548" max="12548" width="25.5703125" style="65" customWidth="1"/>
    <col min="12549" max="12549" width="35.42578125" style="65" customWidth="1"/>
    <col min="12550" max="12550" width="25.140625" style="65" customWidth="1"/>
    <col min="12551" max="12798" width="9.140625" style="65"/>
    <col min="12799" max="12799" width="121.140625" style="65" customWidth="1"/>
    <col min="12800" max="12800" width="32.7109375" style="65" customWidth="1"/>
    <col min="12801" max="12802" width="32.85546875" style="65" customWidth="1"/>
    <col min="12803" max="12803" width="29.7109375" style="65" customWidth="1"/>
    <col min="12804" max="12804" width="25.5703125" style="65" customWidth="1"/>
    <col min="12805" max="12805" width="35.42578125" style="65" customWidth="1"/>
    <col min="12806" max="12806" width="25.140625" style="65" customWidth="1"/>
    <col min="12807" max="13054" width="9.140625" style="65"/>
    <col min="13055" max="13055" width="121.140625" style="65" customWidth="1"/>
    <col min="13056" max="13056" width="32.7109375" style="65" customWidth="1"/>
    <col min="13057" max="13058" width="32.85546875" style="65" customWidth="1"/>
    <col min="13059" max="13059" width="29.7109375" style="65" customWidth="1"/>
    <col min="13060" max="13060" width="25.5703125" style="65" customWidth="1"/>
    <col min="13061" max="13061" width="35.42578125" style="65" customWidth="1"/>
    <col min="13062" max="13062" width="25.140625" style="65" customWidth="1"/>
    <col min="13063" max="13310" width="9.140625" style="65"/>
    <col min="13311" max="13311" width="121.140625" style="65" customWidth="1"/>
    <col min="13312" max="13312" width="32.7109375" style="65" customWidth="1"/>
    <col min="13313" max="13314" width="32.85546875" style="65" customWidth="1"/>
    <col min="13315" max="13315" width="29.7109375" style="65" customWidth="1"/>
    <col min="13316" max="13316" width="25.5703125" style="65" customWidth="1"/>
    <col min="13317" max="13317" width="35.42578125" style="65" customWidth="1"/>
    <col min="13318" max="13318" width="25.140625" style="65" customWidth="1"/>
    <col min="13319" max="13566" width="9.140625" style="65"/>
    <col min="13567" max="13567" width="121.140625" style="65" customWidth="1"/>
    <col min="13568" max="13568" width="32.7109375" style="65" customWidth="1"/>
    <col min="13569" max="13570" width="32.85546875" style="65" customWidth="1"/>
    <col min="13571" max="13571" width="29.7109375" style="65" customWidth="1"/>
    <col min="13572" max="13572" width="25.5703125" style="65" customWidth="1"/>
    <col min="13573" max="13573" width="35.42578125" style="65" customWidth="1"/>
    <col min="13574" max="13574" width="25.140625" style="65" customWidth="1"/>
    <col min="13575" max="13822" width="9.140625" style="65"/>
    <col min="13823" max="13823" width="121.140625" style="65" customWidth="1"/>
    <col min="13824" max="13824" width="32.7109375" style="65" customWidth="1"/>
    <col min="13825" max="13826" width="32.85546875" style="65" customWidth="1"/>
    <col min="13827" max="13827" width="29.7109375" style="65" customWidth="1"/>
    <col min="13828" max="13828" width="25.5703125" style="65" customWidth="1"/>
    <col min="13829" max="13829" width="35.42578125" style="65" customWidth="1"/>
    <col min="13830" max="13830" width="25.140625" style="65" customWidth="1"/>
    <col min="13831" max="14078" width="9.140625" style="65"/>
    <col min="14079" max="14079" width="121.140625" style="65" customWidth="1"/>
    <col min="14080" max="14080" width="32.7109375" style="65" customWidth="1"/>
    <col min="14081" max="14082" width="32.85546875" style="65" customWidth="1"/>
    <col min="14083" max="14083" width="29.7109375" style="65" customWidth="1"/>
    <col min="14084" max="14084" width="25.5703125" style="65" customWidth="1"/>
    <col min="14085" max="14085" width="35.42578125" style="65" customWidth="1"/>
    <col min="14086" max="14086" width="25.140625" style="65" customWidth="1"/>
    <col min="14087" max="14334" width="9.140625" style="65"/>
    <col min="14335" max="14335" width="121.140625" style="65" customWidth="1"/>
    <col min="14336" max="14336" width="32.7109375" style="65" customWidth="1"/>
    <col min="14337" max="14338" width="32.85546875" style="65" customWidth="1"/>
    <col min="14339" max="14339" width="29.7109375" style="65" customWidth="1"/>
    <col min="14340" max="14340" width="25.5703125" style="65" customWidth="1"/>
    <col min="14341" max="14341" width="35.42578125" style="65" customWidth="1"/>
    <col min="14342" max="14342" width="25.140625" style="65" customWidth="1"/>
    <col min="14343" max="14590" width="9.140625" style="65"/>
    <col min="14591" max="14591" width="121.140625" style="65" customWidth="1"/>
    <col min="14592" max="14592" width="32.7109375" style="65" customWidth="1"/>
    <col min="14593" max="14594" width="32.85546875" style="65" customWidth="1"/>
    <col min="14595" max="14595" width="29.7109375" style="65" customWidth="1"/>
    <col min="14596" max="14596" width="25.5703125" style="65" customWidth="1"/>
    <col min="14597" max="14597" width="35.42578125" style="65" customWidth="1"/>
    <col min="14598" max="14598" width="25.140625" style="65" customWidth="1"/>
    <col min="14599" max="14846" width="9.140625" style="65"/>
    <col min="14847" max="14847" width="121.140625" style="65" customWidth="1"/>
    <col min="14848" max="14848" width="32.7109375" style="65" customWidth="1"/>
    <col min="14849" max="14850" width="32.85546875" style="65" customWidth="1"/>
    <col min="14851" max="14851" width="29.7109375" style="65" customWidth="1"/>
    <col min="14852" max="14852" width="25.5703125" style="65" customWidth="1"/>
    <col min="14853" max="14853" width="35.42578125" style="65" customWidth="1"/>
    <col min="14854" max="14854" width="25.140625" style="65" customWidth="1"/>
    <col min="14855" max="15102" width="9.140625" style="65"/>
    <col min="15103" max="15103" width="121.140625" style="65" customWidth="1"/>
    <col min="15104" max="15104" width="32.7109375" style="65" customWidth="1"/>
    <col min="15105" max="15106" width="32.85546875" style="65" customWidth="1"/>
    <col min="15107" max="15107" width="29.7109375" style="65" customWidth="1"/>
    <col min="15108" max="15108" width="25.5703125" style="65" customWidth="1"/>
    <col min="15109" max="15109" width="35.42578125" style="65" customWidth="1"/>
    <col min="15110" max="15110" width="25.140625" style="65" customWidth="1"/>
    <col min="15111" max="15358" width="9.140625" style="65"/>
    <col min="15359" max="15359" width="121.140625" style="65" customWidth="1"/>
    <col min="15360" max="15360" width="32.7109375" style="65" customWidth="1"/>
    <col min="15361" max="15362" width="32.85546875" style="65" customWidth="1"/>
    <col min="15363" max="15363" width="29.7109375" style="65" customWidth="1"/>
    <col min="15364" max="15364" width="25.5703125" style="65" customWidth="1"/>
    <col min="15365" max="15365" width="35.42578125" style="65" customWidth="1"/>
    <col min="15366" max="15366" width="25.140625" style="65" customWidth="1"/>
    <col min="15367" max="15614" width="9.140625" style="65"/>
    <col min="15615" max="15615" width="121.140625" style="65" customWidth="1"/>
    <col min="15616" max="15616" width="32.7109375" style="65" customWidth="1"/>
    <col min="15617" max="15618" width="32.85546875" style="65" customWidth="1"/>
    <col min="15619" max="15619" width="29.7109375" style="65" customWidth="1"/>
    <col min="15620" max="15620" width="25.5703125" style="65" customWidth="1"/>
    <col min="15621" max="15621" width="35.42578125" style="65" customWidth="1"/>
    <col min="15622" max="15622" width="25.140625" style="65" customWidth="1"/>
    <col min="15623" max="15870" width="9.140625" style="65"/>
    <col min="15871" max="15871" width="121.140625" style="65" customWidth="1"/>
    <col min="15872" max="15872" width="32.7109375" style="65" customWidth="1"/>
    <col min="15873" max="15874" width="32.85546875" style="65" customWidth="1"/>
    <col min="15875" max="15875" width="29.7109375" style="65" customWidth="1"/>
    <col min="15876" max="15876" width="25.5703125" style="65" customWidth="1"/>
    <col min="15877" max="15877" width="35.42578125" style="65" customWidth="1"/>
    <col min="15878" max="15878" width="25.140625" style="65" customWidth="1"/>
    <col min="15879" max="16126" width="9.140625" style="65"/>
    <col min="16127" max="16127" width="121.140625" style="65" customWidth="1"/>
    <col min="16128" max="16128" width="32.7109375" style="65" customWidth="1"/>
    <col min="16129" max="16130" width="32.85546875" style="65" customWidth="1"/>
    <col min="16131" max="16131" width="29.7109375" style="65" customWidth="1"/>
    <col min="16132" max="16132" width="25.5703125" style="65" customWidth="1"/>
    <col min="16133" max="16133" width="35.42578125" style="65" customWidth="1"/>
    <col min="16134" max="16134" width="25.140625" style="65" customWidth="1"/>
    <col min="16135" max="16384" width="9.140625" style="65"/>
  </cols>
  <sheetData>
    <row r="1" spans="1:6" s="6" customFormat="1" ht="46.5">
      <c r="A1" s="1" t="s">
        <v>0</v>
      </c>
      <c r="D1" s="277" t="s">
        <v>1</v>
      </c>
      <c r="E1" s="289" t="s">
        <v>113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157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5255134</v>
      </c>
      <c r="C8" s="23">
        <v>5255134</v>
      </c>
      <c r="D8" s="23">
        <v>4811315</v>
      </c>
      <c r="E8" s="23">
        <v>-443819</v>
      </c>
      <c r="F8" s="24">
        <v>-8.4454364056178205E-2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98">
        <v>205786</v>
      </c>
      <c r="C10" s="26">
        <v>206561</v>
      </c>
      <c r="D10" s="26">
        <v>204050</v>
      </c>
      <c r="E10" s="26">
        <v>-2511</v>
      </c>
      <c r="F10" s="24">
        <v>-1.2156215355270356E-2</v>
      </c>
    </row>
    <row r="11" spans="1:6" s="13" customFormat="1" ht="26.25">
      <c r="A11" s="27" t="s">
        <v>19</v>
      </c>
      <c r="B11" s="299">
        <v>3294</v>
      </c>
      <c r="C11" s="28">
        <v>4069</v>
      </c>
      <c r="D11" s="28">
        <v>0</v>
      </c>
      <c r="E11" s="26">
        <v>-4069</v>
      </c>
      <c r="F11" s="24">
        <v>-1</v>
      </c>
    </row>
    <row r="12" spans="1:6" s="13" customFormat="1" ht="26.25">
      <c r="A12" s="29" t="s">
        <v>20</v>
      </c>
      <c r="B12" s="299">
        <v>202492</v>
      </c>
      <c r="C12" s="28">
        <v>202492</v>
      </c>
      <c r="D12" s="28">
        <v>204050</v>
      </c>
      <c r="E12" s="26">
        <v>1558</v>
      </c>
      <c r="F12" s="24">
        <v>7.6941311261679475E-3</v>
      </c>
    </row>
    <row r="13" spans="1:6" s="13" customFormat="1" ht="26.25">
      <c r="A13" s="29" t="s">
        <v>21</v>
      </c>
      <c r="B13" s="299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99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13" customFormat="1" ht="26.25">
      <c r="A15" s="29" t="s">
        <v>23</v>
      </c>
      <c r="B15" s="299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299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99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99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99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99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99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99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99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99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99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99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99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99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13" customFormat="1" ht="26.25">
      <c r="A29" s="31" t="s">
        <v>37</v>
      </c>
      <c r="B29" s="299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99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99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00">
        <v>5460920</v>
      </c>
      <c r="C34" s="34">
        <v>5461695</v>
      </c>
      <c r="D34" s="34">
        <v>5015365</v>
      </c>
      <c r="E34" s="34">
        <v>-446330</v>
      </c>
      <c r="F34" s="35">
        <v>-8.1720052108365623E-2</v>
      </c>
    </row>
    <row r="35" spans="1:10" s="13" customFormat="1" ht="26.25">
      <c r="A35" s="31" t="s">
        <v>43</v>
      </c>
      <c r="B35" s="299"/>
      <c r="C35" s="28"/>
      <c r="D35" s="28"/>
      <c r="E35" s="28"/>
      <c r="F35" s="20"/>
    </row>
    <row r="36" spans="1:10" s="13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13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13" customFormat="1" ht="26.25">
      <c r="A38" s="38" t="s">
        <v>46</v>
      </c>
      <c r="B38" s="23">
        <v>871387</v>
      </c>
      <c r="C38" s="23">
        <v>0</v>
      </c>
      <c r="D38" s="23">
        <v>0</v>
      </c>
      <c r="E38" s="26">
        <v>0</v>
      </c>
      <c r="F38" s="24">
        <v>0</v>
      </c>
    </row>
    <row r="39" spans="1:10" s="13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13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871387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99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99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1655624</v>
      </c>
      <c r="C45" s="42">
        <v>1655624</v>
      </c>
      <c r="D45" s="42">
        <v>0</v>
      </c>
      <c r="E45" s="42">
        <v>-1655624</v>
      </c>
      <c r="F45" s="35">
        <v>-1</v>
      </c>
    </row>
    <row r="46" spans="1:10" s="13" customFormat="1" ht="26.25">
      <c r="A46" s="29" t="s">
        <v>50</v>
      </c>
      <c r="B46" s="299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6856156</v>
      </c>
      <c r="C47" s="40">
        <v>5978855</v>
      </c>
      <c r="D47" s="40">
        <v>8802779</v>
      </c>
      <c r="E47" s="40">
        <v>2823924</v>
      </c>
      <c r="F47" s="35">
        <v>0.47231852921671458</v>
      </c>
    </row>
    <row r="48" spans="1:10" s="13" customFormat="1" ht="26.25">
      <c r="A48" s="29" t="s">
        <v>50</v>
      </c>
      <c r="B48" s="299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99"/>
      <c r="C52" s="28"/>
      <c r="D52" s="28"/>
      <c r="E52" s="28"/>
      <c r="F52" s="20"/>
    </row>
    <row r="53" spans="1:6" s="36" customFormat="1" ht="26.25">
      <c r="A53" s="46" t="s">
        <v>56</v>
      </c>
      <c r="B53" s="40">
        <v>13101313</v>
      </c>
      <c r="C53" s="40">
        <v>13096174</v>
      </c>
      <c r="D53" s="40">
        <v>13818144</v>
      </c>
      <c r="E53" s="40">
        <v>721970</v>
      </c>
      <c r="F53" s="35">
        <v>5.5128314574928526E-2</v>
      </c>
    </row>
    <row r="54" spans="1:6" s="13" customFormat="1" ht="26.25">
      <c r="A54" s="47"/>
      <c r="B54" s="299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4676638</v>
      </c>
      <c r="C57" s="19">
        <v>5168762</v>
      </c>
      <c r="D57" s="19">
        <v>5451341</v>
      </c>
      <c r="E57" s="19">
        <v>282579</v>
      </c>
      <c r="F57" s="24">
        <v>5.4670538128859483E-2</v>
      </c>
    </row>
    <row r="58" spans="1:6" s="13" customFormat="1" ht="26.25">
      <c r="A58" s="29" t="s">
        <v>59</v>
      </c>
      <c r="B58" s="299">
        <v>0</v>
      </c>
      <c r="C58" s="28">
        <v>0</v>
      </c>
      <c r="D58" s="28">
        <v>0</v>
      </c>
      <c r="E58" s="28">
        <v>0</v>
      </c>
      <c r="F58" s="24">
        <v>0</v>
      </c>
    </row>
    <row r="59" spans="1:6" s="13" customFormat="1" ht="26.25">
      <c r="A59" s="29" t="s">
        <v>60</v>
      </c>
      <c r="B59" s="299">
        <v>104367</v>
      </c>
      <c r="C59" s="28">
        <v>146215</v>
      </c>
      <c r="D59" s="28">
        <v>144372</v>
      </c>
      <c r="E59" s="28">
        <v>-1843</v>
      </c>
      <c r="F59" s="24">
        <v>-1.2604725917313545E-2</v>
      </c>
    </row>
    <row r="60" spans="1:6" s="13" customFormat="1" ht="26.25">
      <c r="A60" s="29" t="s">
        <v>61</v>
      </c>
      <c r="B60" s="299">
        <v>1923427</v>
      </c>
      <c r="C60" s="28">
        <v>1772287</v>
      </c>
      <c r="D60" s="28">
        <v>1931328</v>
      </c>
      <c r="E60" s="28">
        <v>159041</v>
      </c>
      <c r="F60" s="24">
        <v>8.9737723066297959E-2</v>
      </c>
    </row>
    <row r="61" spans="1:6" s="13" customFormat="1" ht="26.25">
      <c r="A61" s="29" t="s">
        <v>62</v>
      </c>
      <c r="B61" s="299">
        <v>1176973</v>
      </c>
      <c r="C61" s="28">
        <v>1057440</v>
      </c>
      <c r="D61" s="28">
        <v>1304911</v>
      </c>
      <c r="E61" s="28">
        <v>247471</v>
      </c>
      <c r="F61" s="24">
        <v>0.23402840823119989</v>
      </c>
    </row>
    <row r="62" spans="1:6" s="13" customFormat="1" ht="26.25">
      <c r="A62" s="29" t="s">
        <v>63</v>
      </c>
      <c r="B62" s="299">
        <v>3021809</v>
      </c>
      <c r="C62" s="28">
        <v>2755770</v>
      </c>
      <c r="D62" s="28">
        <v>2572593</v>
      </c>
      <c r="E62" s="28">
        <v>-183177</v>
      </c>
      <c r="F62" s="24">
        <v>-6.647035129927388E-2</v>
      </c>
    </row>
    <row r="63" spans="1:6" s="13" customFormat="1" ht="26.25">
      <c r="A63" s="29" t="s">
        <v>64</v>
      </c>
      <c r="B63" s="299">
        <v>282852</v>
      </c>
      <c r="C63" s="28">
        <v>270000</v>
      </c>
      <c r="D63" s="28">
        <v>250000</v>
      </c>
      <c r="E63" s="28">
        <v>-20000</v>
      </c>
      <c r="F63" s="24">
        <v>-7.407407407407407E-2</v>
      </c>
    </row>
    <row r="64" spans="1:6" s="13" customFormat="1" ht="26.25">
      <c r="A64" s="29" t="s">
        <v>65</v>
      </c>
      <c r="B64" s="299">
        <v>1305807</v>
      </c>
      <c r="C64" s="28">
        <v>1215700</v>
      </c>
      <c r="D64" s="28">
        <v>1197399</v>
      </c>
      <c r="E64" s="28">
        <v>-18301</v>
      </c>
      <c r="F64" s="24">
        <v>-1.5053878423953278E-2</v>
      </c>
    </row>
    <row r="65" spans="1:6" s="36" customFormat="1" ht="26.25">
      <c r="A65" s="49" t="s">
        <v>66</v>
      </c>
      <c r="B65" s="300">
        <v>12491873</v>
      </c>
      <c r="C65" s="34">
        <v>12386174</v>
      </c>
      <c r="D65" s="34">
        <v>12851944</v>
      </c>
      <c r="E65" s="34">
        <v>465770</v>
      </c>
      <c r="F65" s="35">
        <v>3.7604025262361084E-2</v>
      </c>
    </row>
    <row r="66" spans="1:6" s="13" customFormat="1" ht="26.25">
      <c r="A66" s="29" t="s">
        <v>67</v>
      </c>
      <c r="B66" s="299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99">
        <v>609440</v>
      </c>
      <c r="C67" s="28">
        <v>710000</v>
      </c>
      <c r="D67" s="28">
        <v>966200</v>
      </c>
      <c r="E67" s="28">
        <v>256200</v>
      </c>
      <c r="F67" s="24">
        <v>0.36084507042253522</v>
      </c>
    </row>
    <row r="68" spans="1:6" s="13" customFormat="1" ht="26.25">
      <c r="A68" s="29" t="s">
        <v>69</v>
      </c>
      <c r="B68" s="299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13" customFormat="1" ht="26.25">
      <c r="A69" s="29" t="s">
        <v>70</v>
      </c>
      <c r="B69" s="299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50" t="s">
        <v>71</v>
      </c>
      <c r="B70" s="301">
        <v>13101313</v>
      </c>
      <c r="C70" s="51">
        <v>13096174</v>
      </c>
      <c r="D70" s="51">
        <v>13818144</v>
      </c>
      <c r="E70" s="51">
        <v>721970</v>
      </c>
      <c r="F70" s="35">
        <v>5.5128314574928526E-2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6876079</v>
      </c>
      <c r="C73" s="23">
        <v>6778853</v>
      </c>
      <c r="D73" s="23">
        <v>7150660</v>
      </c>
      <c r="E73" s="19">
        <v>371807</v>
      </c>
      <c r="F73" s="24">
        <v>5.4848069430034847E-2</v>
      </c>
    </row>
    <row r="74" spans="1:6" s="13" customFormat="1" ht="26.25">
      <c r="A74" s="29" t="s">
        <v>74</v>
      </c>
      <c r="B74" s="298">
        <v>0</v>
      </c>
      <c r="C74" s="23">
        <v>0</v>
      </c>
      <c r="D74" s="23">
        <v>0</v>
      </c>
      <c r="E74" s="28">
        <v>0</v>
      </c>
      <c r="F74" s="24">
        <v>0</v>
      </c>
    </row>
    <row r="75" spans="1:6" s="13" customFormat="1" ht="26.25">
      <c r="A75" s="29" t="s">
        <v>75</v>
      </c>
      <c r="B75" s="19">
        <v>1826492</v>
      </c>
      <c r="C75" s="23">
        <v>1774697</v>
      </c>
      <c r="D75" s="23">
        <v>2211112</v>
      </c>
      <c r="E75" s="28">
        <v>436415</v>
      </c>
      <c r="F75" s="24">
        <v>0.24590958343875038</v>
      </c>
    </row>
    <row r="76" spans="1:6" s="36" customFormat="1" ht="26.25">
      <c r="A76" s="49" t="s">
        <v>76</v>
      </c>
      <c r="B76" s="301">
        <v>8702571</v>
      </c>
      <c r="C76" s="51">
        <v>8553550</v>
      </c>
      <c r="D76" s="51">
        <v>9361772</v>
      </c>
      <c r="E76" s="34">
        <v>808222</v>
      </c>
      <c r="F76" s="35">
        <v>9.4489656341519013E-2</v>
      </c>
    </row>
    <row r="77" spans="1:6" s="13" customFormat="1" ht="26.25">
      <c r="A77" s="29" t="s">
        <v>77</v>
      </c>
      <c r="B77" s="298">
        <v>152210</v>
      </c>
      <c r="C77" s="26">
        <v>189000</v>
      </c>
      <c r="D77" s="26">
        <v>190800</v>
      </c>
      <c r="E77" s="28">
        <v>1800</v>
      </c>
      <c r="F77" s="24">
        <v>9.5238095238095247E-3</v>
      </c>
    </row>
    <row r="78" spans="1:6" s="13" customFormat="1" ht="26.25">
      <c r="A78" s="29" t="s">
        <v>78</v>
      </c>
      <c r="B78" s="23">
        <v>1826997</v>
      </c>
      <c r="C78" s="23">
        <v>1689240</v>
      </c>
      <c r="D78" s="23">
        <v>1881022</v>
      </c>
      <c r="E78" s="28">
        <v>191782</v>
      </c>
      <c r="F78" s="24">
        <v>0.11353152897160854</v>
      </c>
    </row>
    <row r="79" spans="1:6" s="13" customFormat="1" ht="26.25">
      <c r="A79" s="29" t="s">
        <v>79</v>
      </c>
      <c r="B79" s="19">
        <v>158483</v>
      </c>
      <c r="C79" s="19">
        <v>183150</v>
      </c>
      <c r="D79" s="19">
        <v>156200</v>
      </c>
      <c r="E79" s="28">
        <v>-26950</v>
      </c>
      <c r="F79" s="24">
        <v>-0.14714714714714713</v>
      </c>
    </row>
    <row r="80" spans="1:6" s="36" customFormat="1" ht="26.25">
      <c r="A80" s="32" t="s">
        <v>80</v>
      </c>
      <c r="B80" s="301">
        <v>2137690</v>
      </c>
      <c r="C80" s="51">
        <v>2061390</v>
      </c>
      <c r="D80" s="51">
        <v>2228022</v>
      </c>
      <c r="E80" s="34">
        <v>166632</v>
      </c>
      <c r="F80" s="35">
        <v>8.083477653428027E-2</v>
      </c>
    </row>
    <row r="81" spans="1:6" s="13" customFormat="1" ht="26.25">
      <c r="A81" s="29" t="s">
        <v>81</v>
      </c>
      <c r="B81" s="19">
        <v>141069</v>
      </c>
      <c r="C81" s="19">
        <v>178080</v>
      </c>
      <c r="D81" s="19">
        <v>152500</v>
      </c>
      <c r="E81" s="28">
        <v>-25580</v>
      </c>
      <c r="F81" s="24">
        <v>-0.14364330637915543</v>
      </c>
    </row>
    <row r="82" spans="1:6" s="13" customFormat="1" ht="26.25">
      <c r="A82" s="29" t="s">
        <v>82</v>
      </c>
      <c r="B82" s="299">
        <v>446456</v>
      </c>
      <c r="C82" s="28">
        <v>540196</v>
      </c>
      <c r="D82" s="28">
        <v>379050</v>
      </c>
      <c r="E82" s="28">
        <v>-161146</v>
      </c>
      <c r="F82" s="24">
        <v>-0.29831024294885561</v>
      </c>
    </row>
    <row r="83" spans="1:6" s="13" customFormat="1" ht="26.25">
      <c r="A83" s="29" t="s">
        <v>83</v>
      </c>
      <c r="B83" s="299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299">
        <v>609440</v>
      </c>
      <c r="C84" s="28">
        <v>710000</v>
      </c>
      <c r="D84" s="28">
        <v>966200</v>
      </c>
      <c r="E84" s="28">
        <v>256200</v>
      </c>
      <c r="F84" s="24">
        <v>0.36084507042253522</v>
      </c>
    </row>
    <row r="85" spans="1:6" s="36" customFormat="1" ht="26.25">
      <c r="A85" s="32" t="s">
        <v>85</v>
      </c>
      <c r="B85" s="300">
        <v>1196965</v>
      </c>
      <c r="C85" s="34">
        <v>1428276</v>
      </c>
      <c r="D85" s="34">
        <v>1497750</v>
      </c>
      <c r="E85" s="34">
        <v>69474</v>
      </c>
      <c r="F85" s="35">
        <v>4.8641859136469422E-2</v>
      </c>
    </row>
    <row r="86" spans="1:6" s="13" customFormat="1" ht="26.25" customHeight="1">
      <c r="A86" s="29" t="s">
        <v>86</v>
      </c>
      <c r="B86" s="299">
        <v>495815</v>
      </c>
      <c r="C86" s="28">
        <v>297167</v>
      </c>
      <c r="D86" s="28">
        <v>205600</v>
      </c>
      <c r="E86" s="28">
        <v>-91567</v>
      </c>
      <c r="F86" s="24">
        <v>-0.30813313725952074</v>
      </c>
    </row>
    <row r="87" spans="1:6" s="13" customFormat="1" ht="26.25">
      <c r="A87" s="29" t="s">
        <v>87</v>
      </c>
      <c r="B87" s="299">
        <v>428079</v>
      </c>
      <c r="C87" s="28">
        <v>600000</v>
      </c>
      <c r="D87" s="28">
        <v>450000</v>
      </c>
      <c r="E87" s="28">
        <v>-150000</v>
      </c>
      <c r="F87" s="24">
        <v>-0.25</v>
      </c>
    </row>
    <row r="88" spans="1:6" s="13" customFormat="1" ht="26.25">
      <c r="A88" s="38" t="s">
        <v>88</v>
      </c>
      <c r="B88" s="299">
        <v>36366</v>
      </c>
      <c r="C88" s="28">
        <v>155791</v>
      </c>
      <c r="D88" s="28">
        <v>75000</v>
      </c>
      <c r="E88" s="28">
        <v>-80791</v>
      </c>
      <c r="F88" s="24">
        <v>-0.5185857976391447</v>
      </c>
    </row>
    <row r="89" spans="1:6" s="36" customFormat="1" ht="26.25">
      <c r="A89" s="52" t="s">
        <v>89</v>
      </c>
      <c r="B89" s="301">
        <v>960260</v>
      </c>
      <c r="C89" s="51">
        <v>1052958</v>
      </c>
      <c r="D89" s="51">
        <v>730600</v>
      </c>
      <c r="E89" s="51">
        <v>-322358</v>
      </c>
      <c r="F89" s="35">
        <v>-0.30614516438452438</v>
      </c>
    </row>
    <row r="90" spans="1:6" s="13" customFormat="1" ht="26.25">
      <c r="A90" s="38" t="s">
        <v>90</v>
      </c>
      <c r="B90" s="299">
        <v>103827</v>
      </c>
      <c r="C90" s="28">
        <v>0</v>
      </c>
      <c r="D90" s="26">
        <v>0</v>
      </c>
      <c r="E90" s="28">
        <v>0</v>
      </c>
      <c r="F90" s="24">
        <v>0</v>
      </c>
    </row>
    <row r="91" spans="1:6" s="36" customFormat="1" ht="27" thickBot="1">
      <c r="A91" s="53" t="s">
        <v>71</v>
      </c>
      <c r="B91" s="302">
        <v>13101313</v>
      </c>
      <c r="C91" s="54">
        <v>13096174</v>
      </c>
      <c r="D91" s="55">
        <v>13818144</v>
      </c>
      <c r="E91" s="54">
        <v>721970</v>
      </c>
      <c r="F91" s="56">
        <v>5.5128314574928526E-2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5"/>
  <sheetViews>
    <sheetView topLeftCell="A16" zoomScale="50" zoomScaleNormal="50" workbookViewId="0">
      <selection activeCell="D17" sqref="D17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0.285156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4" t="s">
        <v>152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f>'LCTC BOS'!B8+Online!B8+BRCC!B8+BPCC!B8+Delgado!B8+Fletcher!B8+LDCC!B8+NorthshoreTCC!B8+Nunez!B8+RPCC!B8+SLCC!B8+Sowela!B8+LTC!B8</f>
        <v>143090764</v>
      </c>
      <c r="C8" s="23">
        <f>'LCTC BOS'!C8+Online!C8+BRCC!C8+BPCC!C8+Delgado!C8+Fletcher!C8+LDCC!C8+NorthshoreTCC!C8+Nunez!C8+RPCC!C8+SLCC!C8+Sowela!C8+LTC!C8</f>
        <v>143090764</v>
      </c>
      <c r="D8" s="23">
        <f>'LCTC BOS'!D8+Online!D8+BRCC!D8+BPCC!D8+Delgado!D8+Fletcher!D8+LDCC!D8+NorthshoreTCC!D8+Nunez!D8+RPCC!D8+SLCC!D8+Sowela!D8+LTC!D8</f>
        <v>143360562</v>
      </c>
      <c r="E8" s="23">
        <f t="shared" ref="E8:E28" si="0">D8-C8</f>
        <v>269798</v>
      </c>
      <c r="F8" s="24">
        <f t="shared" ref="F8:F28" si="1">IF(ISBLANK(E8),"  ",IF(C8&gt;0,E8/C8,IF(E8&gt;0,1,0)))</f>
        <v>1.8855025471804735E-3</v>
      </c>
    </row>
    <row r="9" spans="1:6" s="13" customFormat="1" ht="26.25">
      <c r="A9" s="22" t="s">
        <v>17</v>
      </c>
      <c r="B9" s="23">
        <f>'SU BOS'!B9+SUBR!B9+SUBR!B9+SUNO!B9+SUS!B9+SUAg!B9+SULaw!B9</f>
        <v>0</v>
      </c>
      <c r="C9" s="23">
        <f>'SU BOS'!C9+SUBR!C9+SUNO!C9+SUS!C9+SUAg!C9+SULaw!C9</f>
        <v>0</v>
      </c>
      <c r="D9" s="23">
        <f>'SU BOS'!D9+SUBR!D9+SUNO!D9+SUS!D9+SUAg!D9+SULaw!D9</f>
        <v>0</v>
      </c>
      <c r="E9" s="23">
        <f t="shared" si="0"/>
        <v>0</v>
      </c>
      <c r="F9" s="24">
        <f t="shared" si="1"/>
        <v>0</v>
      </c>
    </row>
    <row r="10" spans="1:6" s="13" customFormat="1" ht="26.25">
      <c r="A10" s="25" t="s">
        <v>18</v>
      </c>
      <c r="B10" s="23">
        <f>'LCTC BOS'!B10+Online!B10+BRCC!B10+BPCC!B10+Delgado!B10+Fletcher!B10+LDCC!B10+NorthshoreTCC!B10+Nunez!B10+RPCC!B10+SLCC!B10+Sowela!B10+LTC!B10</f>
        <v>15713594</v>
      </c>
      <c r="C10" s="23">
        <f>'LCTC BOS'!C10+Online!C10+BRCC!C10+BPCC!C10+Delgado!C10+Fletcher!C10+LDCC!C10+NorthshoreTCC!C10+Nunez!C10+RPCC!C10+SLCC!C10+Sowela!C10+LTC!C10</f>
        <v>15734842</v>
      </c>
      <c r="D10" s="23">
        <f>'LCTC BOS'!D10+Online!D10+BRCC!D10+BPCC!D10+Delgado!D10+Fletcher!D10+LDCC!D10+NorthshoreTCC!D10+Nunez!D10+RPCC!D10+SLCC!D10+Sowela!D10+LTC!D10</f>
        <v>16980691</v>
      </c>
      <c r="E10" s="26">
        <f t="shared" si="0"/>
        <v>1245849</v>
      </c>
      <c r="F10" s="24">
        <f t="shared" si="1"/>
        <v>7.9177725457935957E-2</v>
      </c>
    </row>
    <row r="11" spans="1:6" s="13" customFormat="1" ht="26.25">
      <c r="A11" s="27" t="s">
        <v>19</v>
      </c>
      <c r="B11" s="23">
        <f>'LCTC BOS'!B11+Online!B11+BRCC!B11+BPCC!B11+Delgado!B11+Fletcher!B11+LDCC!B11+NorthshoreTCC!B11+Nunez!B11+RPCC!B11+SLCC!B11+Sowela!B11+LTC!B11</f>
        <v>109770</v>
      </c>
      <c r="C11" s="23">
        <f>'LCTC BOS'!C11+Online!C11+BRCC!C11+BPCC!C11+Delgado!C11+Fletcher!C11+LDCC!C11+NorthshoreTCC!C11+Nunez!C11+RPCC!C11+SLCC!C11+Sowela!C11+LTC!C11</f>
        <v>109770</v>
      </c>
      <c r="D11" s="23">
        <f>'LCTC BOS'!D11+Online!D11+BRCC!D11+BPCC!D11+Delgado!D11+Fletcher!D11+LDCC!D11+NorthshoreTCC!D11+Nunez!D11+RPCC!D11+SLCC!D11+Sowela!D11+LTC!D11</f>
        <v>0</v>
      </c>
      <c r="E11" s="26">
        <f t="shared" si="0"/>
        <v>-109770</v>
      </c>
      <c r="F11" s="24">
        <f t="shared" si="1"/>
        <v>-1</v>
      </c>
    </row>
    <row r="12" spans="1:6" s="13" customFormat="1" ht="26.25">
      <c r="A12" s="29" t="s">
        <v>20</v>
      </c>
      <c r="B12" s="23">
        <f>'LCTC BOS'!B12+Online!B12+BRCC!B12+BPCC!B12+Delgado!B12+Fletcher!B12+LDCC!B12+NorthshoreTCC!B12+Nunez!B12+RPCC!B12+SLCC!B12+Sowela!B12+LTC!B12</f>
        <v>5128623</v>
      </c>
      <c r="C12" s="23">
        <f>'LCTC BOS'!C12+Online!C12+BRCC!C12+BPCC!C12+Delgado!C12+Fletcher!C12+LDCC!C12+NorthshoreTCC!C12+Nunez!C12+RPCC!C12+SLCC!C12+Sowela!C12+LTC!C12</f>
        <v>5149871</v>
      </c>
      <c r="D12" s="23">
        <f>'LCTC BOS'!D12+Online!D12+BRCC!D12+BPCC!D12+Delgado!D12+Fletcher!D12+LDCC!D12+NorthshoreTCC!D12+Nunez!D12+RPCC!D12+SLCC!D12+Sowela!D12+LTC!D12</f>
        <v>5189510</v>
      </c>
      <c r="E12" s="26">
        <f t="shared" si="0"/>
        <v>39639</v>
      </c>
      <c r="F12" s="24">
        <f t="shared" si="1"/>
        <v>7.6970860046785636E-3</v>
      </c>
    </row>
    <row r="13" spans="1:6" s="13" customFormat="1" ht="26.25">
      <c r="A13" s="29" t="s">
        <v>21</v>
      </c>
      <c r="B13" s="23">
        <f>'LCTC BOS'!B13+Online!B13+BRCC!B13+BPCC!B13+Delgado!B13+Fletcher!B13+LDCC!B13+NorthshoreTCC!B13+Nunez!B13+RPCC!B13+SLCC!B13+Sowela!B13+LTC!B13</f>
        <v>0</v>
      </c>
      <c r="C13" s="23">
        <f>'LCTC BOS'!C13+Online!C13+BRCC!C13+BPCC!C13+Delgado!C13+Fletcher!C13+LDCC!C13+NorthshoreTCC!C13+Nunez!C13+RPCC!C13+SLCC!C13+Sowela!C13+LTC!C13</f>
        <v>0</v>
      </c>
      <c r="D13" s="23">
        <f>'LCTC BOS'!D13+Online!D13+BRCC!D13+BPCC!D13+Delgado!D13+Fletcher!D13+LDCC!D13+NorthshoreTCC!D13+Nunez!D13+RPCC!D13+SLCC!D13+Sowela!D13+LTC!D13</f>
        <v>0</v>
      </c>
      <c r="E13" s="26">
        <f t="shared" si="0"/>
        <v>0</v>
      </c>
      <c r="F13" s="24">
        <f t="shared" si="1"/>
        <v>0</v>
      </c>
    </row>
    <row r="14" spans="1:6" s="13" customFormat="1" ht="26.25">
      <c r="A14" s="29" t="s">
        <v>22</v>
      </c>
      <c r="B14" s="23">
        <f>'LCTC BOS'!B14+Online!B14+BRCC!B14+BPCC!B14+Delgado!B14+Fletcher!B14+LDCC!B14+NorthshoreTCC!B14+Nunez!B14+RPCC!B14+SLCC!B14+Sowela!B14+LTC!B14</f>
        <v>175201</v>
      </c>
      <c r="C14" s="23">
        <f>'LCTC BOS'!C14+Online!C14+BRCC!C14+BPCC!C14+Delgado!C14+Fletcher!C14+LDCC!C14+NorthshoreTCC!C14+Nunez!C14+RPCC!C14+SLCC!C14+Sowela!C14+LTC!C14</f>
        <v>175201</v>
      </c>
      <c r="D14" s="23">
        <f>'LCTC BOS'!D14+Online!D14+BRCC!D14+BPCC!D14+Delgado!D14+Fletcher!D14+LDCC!D14+NorthshoreTCC!D14+Nunez!D14+RPCC!D14+SLCC!D14+Sowela!D14+LTC!D14</f>
        <v>175201</v>
      </c>
      <c r="E14" s="26">
        <f t="shared" si="0"/>
        <v>0</v>
      </c>
      <c r="F14" s="24">
        <f t="shared" si="1"/>
        <v>0</v>
      </c>
    </row>
    <row r="15" spans="1:6" s="13" customFormat="1" ht="26.25">
      <c r="A15" s="29" t="s">
        <v>23</v>
      </c>
      <c r="B15" s="23">
        <f>'LCTC BOS'!B15+Online!B15+BRCC!B15+BPCC!B15+Delgado!B15+Fletcher!B15+LDCC!B15+NorthshoreTCC!B15+Nunez!B15+RPCC!B15+SLCC!B15+Sowela!B15+LTC!B15</f>
        <v>0</v>
      </c>
      <c r="C15" s="23">
        <f>'LCTC BOS'!C15+Online!C15+BRCC!C15+BPCC!C15+Delgado!C15+Fletcher!C15+LDCC!C15+NorthshoreTCC!C15+Nunez!C15+RPCC!C15+SLCC!C15+Sowela!C15+LTC!C15</f>
        <v>0</v>
      </c>
      <c r="D15" s="23">
        <f>'LCTC BOS'!D15+Online!D15+BRCC!D15+BPCC!D15+Delgado!D15+Fletcher!D15+LDCC!D15+NorthshoreTCC!D15+Nunez!D15+RPCC!D15+SLCC!D15+Sowela!D15+LTC!D15</f>
        <v>150000</v>
      </c>
      <c r="E15" s="26">
        <f t="shared" si="0"/>
        <v>150000</v>
      </c>
      <c r="F15" s="24">
        <f t="shared" si="1"/>
        <v>1</v>
      </c>
    </row>
    <row r="16" spans="1:6" s="13" customFormat="1" ht="26.25">
      <c r="A16" s="29" t="s">
        <v>24</v>
      </c>
      <c r="B16" s="23">
        <f>'LCTC BOS'!B16+Online!B16+BRCC!B16+BPCC!B16+Delgado!B16+Fletcher!B16+LDCC!B16+NorthshoreTCC!B16+Nunez!B16+RPCC!B16+SLCC!B16+Sowela!B16+LTC!B16</f>
        <v>0</v>
      </c>
      <c r="C16" s="23">
        <f>'LCTC BOS'!C16+Online!C16+BRCC!C16+BPCC!C16+Delgado!C16+Fletcher!C16+LDCC!C16+NorthshoreTCC!C16+Nunez!C16+RPCC!C16+SLCC!C16+Sowela!C16+LTC!C16</f>
        <v>0</v>
      </c>
      <c r="D16" s="23">
        <f>'LCTC BOS'!D16+Online!D16+BRCC!D16+BPCC!D16+Delgado!D16+Fletcher!D16+LDCC!D16+NorthshoreTCC!D16+Nunez!D16+RPCC!D16+SLCC!D16+Sowela!D16+LTC!D16</f>
        <v>0</v>
      </c>
      <c r="E16" s="26">
        <f t="shared" si="0"/>
        <v>0</v>
      </c>
      <c r="F16" s="24">
        <f t="shared" si="1"/>
        <v>0</v>
      </c>
    </row>
    <row r="17" spans="1:6" s="13" customFormat="1" ht="26.25">
      <c r="A17" s="29" t="s">
        <v>25</v>
      </c>
      <c r="B17" s="23">
        <f>'LCTC BOS'!B17+Online!B17+BRCC!B17+BPCC!B17+Delgado!B17+Fletcher!B17+LDCC!B17+NorthshoreTCC!B17+Nunez!B17+RPCC!B17+SLCC!B17+Sowela!B17+LTC!B17</f>
        <v>0</v>
      </c>
      <c r="C17" s="23">
        <f>'LCTC BOS'!C17+Online!C17+BRCC!C17+BPCC!C17+Delgado!C17+Fletcher!C17+LDCC!C17+NorthshoreTCC!C17+Nunez!C17+RPCC!C17+SLCC!C17+Sowela!C17+LTC!C17</f>
        <v>0</v>
      </c>
      <c r="D17" s="23">
        <f>'LCTC BOS'!D17+Online!D17+BRCC!D17+BPCC!D17+Delgado!D17+Fletcher!D17+LDCC!D17+NorthshoreTCC!D17+Nunez!D17+RPCC!D17+SLCC!D17+Sowela!D17+LTC!D17</f>
        <v>0</v>
      </c>
      <c r="E17" s="26">
        <f t="shared" si="0"/>
        <v>0</v>
      </c>
      <c r="F17" s="24">
        <f t="shared" si="1"/>
        <v>0</v>
      </c>
    </row>
    <row r="18" spans="1:6" s="13" customFormat="1" ht="26.25">
      <c r="A18" s="29" t="s">
        <v>26</v>
      </c>
      <c r="B18" s="23">
        <f>'LCTC BOS'!B18+Online!B18+BRCC!B18+BPCC!B18+Delgado!B18+Fletcher!B18+LDCC!B18+NorthshoreTCC!B18+Nunez!B18+RPCC!B18+SLCC!B18+Sowela!B18+LTC!B18</f>
        <v>0</v>
      </c>
      <c r="C18" s="23">
        <f>'LCTC BOS'!C18+Online!C18+BRCC!C18+BPCC!C18+Delgado!C18+Fletcher!C18+LDCC!C18+NorthshoreTCC!C18+Nunez!C18+RPCC!C18+SLCC!C18+Sowela!C18+LTC!C18</f>
        <v>0</v>
      </c>
      <c r="D18" s="23">
        <f>'LCTC BOS'!D18+Online!D18+BRCC!D18+BPCC!D18+Delgado!D18+Fletcher!D18+LDCC!D18+NorthshoreTCC!D18+Nunez!D18+RPCC!D18+SLCC!D18+Sowela!D18+LTC!D18</f>
        <v>0</v>
      </c>
      <c r="E18" s="26">
        <f t="shared" si="0"/>
        <v>0</v>
      </c>
      <c r="F18" s="24">
        <f t="shared" si="1"/>
        <v>0</v>
      </c>
    </row>
    <row r="19" spans="1:6" s="13" customFormat="1" ht="26.25">
      <c r="A19" s="29" t="s">
        <v>27</v>
      </c>
      <c r="B19" s="23">
        <f>'LCTC BOS'!B19+Online!B19+BRCC!B19+BPCC!B19+Delgado!B19+Fletcher!B19+LDCC!B19+NorthshoreTCC!B19+Nunez!B19+RPCC!B19+SLCC!B19+Sowela!B19+LTC!B19</f>
        <v>0</v>
      </c>
      <c r="C19" s="23">
        <f>'LCTC BOS'!C19+Online!C19+BRCC!C19+BPCC!C19+Delgado!C19+Fletcher!C19+LDCC!C19+NorthshoreTCC!C19+Nunez!C19+RPCC!C19+SLCC!C19+Sowela!C19+LTC!C19</f>
        <v>0</v>
      </c>
      <c r="D19" s="23">
        <f>'LCTC BOS'!D19+Online!D19+BRCC!D19+BPCC!D19+Delgado!D19+Fletcher!D19+LDCC!D19+NorthshoreTCC!D19+Nunez!D19+RPCC!D19+SLCC!D19+Sowela!D19+LTC!D19</f>
        <v>0</v>
      </c>
      <c r="E19" s="26">
        <f t="shared" si="0"/>
        <v>0</v>
      </c>
      <c r="F19" s="24">
        <f t="shared" si="1"/>
        <v>0</v>
      </c>
    </row>
    <row r="20" spans="1:6" s="13" customFormat="1" ht="26.25">
      <c r="A20" s="29" t="s">
        <v>28</v>
      </c>
      <c r="B20" s="23">
        <f>'LCTC BOS'!B20+Online!B20+BRCC!B20+BPCC!B20+Delgado!B20+Fletcher!B20+LDCC!B20+NorthshoreTCC!B20+Nunez!B20+RPCC!B20+SLCC!B20+Sowela!B20+LTC!B20</f>
        <v>0</v>
      </c>
      <c r="C20" s="23">
        <f>'LCTC BOS'!C20+Online!C20+BRCC!C20+BPCC!C20+Delgado!C20+Fletcher!C20+LDCC!C20+NorthshoreTCC!C20+Nunez!C20+RPCC!C20+SLCC!C20+Sowela!C20+LTC!C20</f>
        <v>0</v>
      </c>
      <c r="D20" s="23">
        <f>'LCTC BOS'!D20+Online!D20+BRCC!D20+BPCC!D20+Delgado!D20+Fletcher!D20+LDCC!D20+NorthshoreTCC!D20+Nunez!D20+RPCC!D20+SLCC!D20+Sowela!D20+LTC!D20</f>
        <v>0</v>
      </c>
      <c r="E20" s="26">
        <f t="shared" si="0"/>
        <v>0</v>
      </c>
      <c r="F20" s="24">
        <f t="shared" si="1"/>
        <v>0</v>
      </c>
    </row>
    <row r="21" spans="1:6" s="13" customFormat="1" ht="26.25">
      <c r="A21" s="29" t="s">
        <v>29</v>
      </c>
      <c r="B21" s="23">
        <f>'LCTC BOS'!B21+Online!B21+BRCC!B21+BPCC!B21+Delgado!B21+Fletcher!B21+LDCC!B21+NorthshoreTCC!B21+Nunez!B21+RPCC!B21+SLCC!B21+Sowela!B21+LTC!B21</f>
        <v>0</v>
      </c>
      <c r="C21" s="23">
        <f>'LCTC BOS'!C21+Online!C21+BRCC!C21+BPCC!C21+Delgado!C21+Fletcher!C21+LDCC!C21+NorthshoreTCC!C21+Nunez!C21+RPCC!C21+SLCC!C21+Sowela!C21+LTC!C21</f>
        <v>0</v>
      </c>
      <c r="D21" s="23">
        <f>'LCTC BOS'!D21+Online!D21+BRCC!D21+BPCC!D21+Delgado!D21+Fletcher!D21+LDCC!D21+NorthshoreTCC!D21+Nunez!D21+RPCC!D21+SLCC!D21+Sowela!D21+LTC!D21</f>
        <v>0</v>
      </c>
      <c r="E21" s="26">
        <f t="shared" si="0"/>
        <v>0</v>
      </c>
      <c r="F21" s="24">
        <f t="shared" si="1"/>
        <v>0</v>
      </c>
    </row>
    <row r="22" spans="1:6" s="13" customFormat="1" ht="26.25">
      <c r="A22" s="29" t="s">
        <v>30</v>
      </c>
      <c r="B22" s="23">
        <f>'LCTC BOS'!B22+Online!B22+BRCC!B22+BPCC!B22+Delgado!B22+Fletcher!B22+LDCC!B22+NorthshoreTCC!B22+Nunez!B22+RPCC!B22+SLCC!B22+Sowela!B22+LTC!B22</f>
        <v>0</v>
      </c>
      <c r="C22" s="23">
        <f>'LCTC BOS'!C22+Online!C22+BRCC!C22+BPCC!C22+Delgado!C22+Fletcher!C22+LDCC!C22+NorthshoreTCC!C22+Nunez!C22+RPCC!C22+SLCC!C22+Sowela!C22+LTC!C22</f>
        <v>0</v>
      </c>
      <c r="D22" s="23">
        <f>'LCTC BOS'!D22+Online!D22+BRCC!D22+BPCC!D22+Delgado!D22+Fletcher!D22+LDCC!D22+NorthshoreTCC!D22+Nunez!D22+RPCC!D22+SLCC!D22+Sowela!D22+LTC!D22</f>
        <v>0</v>
      </c>
      <c r="E22" s="26">
        <f t="shared" si="0"/>
        <v>0</v>
      </c>
      <c r="F22" s="24">
        <f t="shared" si="1"/>
        <v>0</v>
      </c>
    </row>
    <row r="23" spans="1:6" s="13" customFormat="1" ht="26.25">
      <c r="A23" s="30" t="s">
        <v>31</v>
      </c>
      <c r="B23" s="23">
        <f>'LCTC BOS'!B23+Online!B23+BRCC!B23+BPCC!B23+Delgado!B23+Fletcher!B23+LDCC!B23+NorthshoreTCC!B23+Nunez!B23+RPCC!B23+SLCC!B23+Sowela!B23+LTC!B23</f>
        <v>0</v>
      </c>
      <c r="C23" s="23">
        <f>'LCTC BOS'!C23+Online!C23+BRCC!C23+BPCC!C23+Delgado!C23+Fletcher!C23+LDCC!C23+NorthshoreTCC!C23+Nunez!C23+RPCC!C23+SLCC!C23+Sowela!C23+LTC!C23</f>
        <v>0</v>
      </c>
      <c r="D23" s="23">
        <f>'LCTC BOS'!D23+Online!D23+BRCC!D23+BPCC!D23+Delgado!D23+Fletcher!D23+LDCC!D23+NorthshoreTCC!D23+Nunez!D23+RPCC!D23+SLCC!D23+Sowela!D23+LTC!D23</f>
        <v>0</v>
      </c>
      <c r="E23" s="26">
        <f t="shared" si="0"/>
        <v>0</v>
      </c>
      <c r="F23" s="24">
        <f t="shared" si="1"/>
        <v>0</v>
      </c>
    </row>
    <row r="24" spans="1:6" s="13" customFormat="1" ht="26.25">
      <c r="A24" s="30" t="s">
        <v>32</v>
      </c>
      <c r="B24" s="23">
        <f>'LCTC BOS'!B24+Online!B24+BRCC!B24+BPCC!B24+Delgado!B24+Fletcher!B24+LDCC!B24+NorthshoreTCC!B24+Nunez!B24+RPCC!B24+SLCC!B24+Sowela!B24+LTC!B24</f>
        <v>10000000</v>
      </c>
      <c r="C24" s="23">
        <f>'LCTC BOS'!C24+Online!C24+BRCC!C24+BPCC!C24+Delgado!C24+Fletcher!C24+LDCC!C24+NorthshoreTCC!C24+Nunez!C24+RPCC!C24+SLCC!C24+Sowela!C24+LTC!C24</f>
        <v>10000000</v>
      </c>
      <c r="D24" s="23">
        <f>'LCTC BOS'!D24+Online!D24+BRCC!D24+BPCC!D24+Delgado!D24+Fletcher!D24+LDCC!D24+NorthshoreTCC!D24+Nunez!D24+RPCC!D24+SLCC!D24+Sowela!D24+LTC!D24</f>
        <v>10000000</v>
      </c>
      <c r="E24" s="26">
        <f t="shared" si="0"/>
        <v>0</v>
      </c>
      <c r="F24" s="24">
        <f t="shared" si="1"/>
        <v>0</v>
      </c>
    </row>
    <row r="25" spans="1:6" s="13" customFormat="1" ht="26.25">
      <c r="A25" s="30" t="s">
        <v>33</v>
      </c>
      <c r="B25" s="23">
        <f>'LCTC BOS'!B25+Online!B25+BRCC!B25+BPCC!B25+Delgado!B25+Fletcher!B25+LDCC!B25+NorthshoreTCC!B25+Nunez!B25+RPCC!B25+SLCC!B25+Sowela!B25+LTC!B25</f>
        <v>0</v>
      </c>
      <c r="C25" s="23">
        <f>'LCTC BOS'!C25+Online!C25+BRCC!C25+BPCC!C25+Delgado!C25+Fletcher!C25+LDCC!C25+NorthshoreTCC!C25+Nunez!C25+RPCC!C25+SLCC!C25+Sowela!C25+LTC!C25</f>
        <v>0</v>
      </c>
      <c r="D25" s="23">
        <f>'LCTC BOS'!D25+Online!D25+BRCC!D25+BPCC!D25+Delgado!D25+Fletcher!D25+LDCC!D25+NorthshoreTCC!D25+Nunez!D25+RPCC!D25+SLCC!D25+Sowela!D25+LTC!D25</f>
        <v>0</v>
      </c>
      <c r="E25" s="26">
        <f t="shared" si="0"/>
        <v>0</v>
      </c>
      <c r="F25" s="24">
        <f t="shared" si="1"/>
        <v>0</v>
      </c>
    </row>
    <row r="26" spans="1:6" s="13" customFormat="1" ht="26.25">
      <c r="A26" s="30" t="s">
        <v>34</v>
      </c>
      <c r="B26" s="23">
        <f>'LCTC BOS'!B26+Online!B26+BRCC!B26+BPCC!B26+Delgado!B26+Fletcher!B26+LDCC!B26+NorthshoreTCC!B26+Nunez!B26+RPCC!B26+SLCC!B26+Sowela!B26+LTC!B26</f>
        <v>0</v>
      </c>
      <c r="C26" s="23">
        <f>'LCTC BOS'!C26+Online!C26+BRCC!C26+BPCC!C26+Delgado!C26+Fletcher!C26+LDCC!C26+NorthshoreTCC!C26+Nunez!C26+RPCC!C26+SLCC!C26+Sowela!C26+LTC!C26</f>
        <v>0</v>
      </c>
      <c r="D26" s="23">
        <f>'LCTC BOS'!D26+Online!D26+BRCC!D26+BPCC!D26+Delgado!D26+Fletcher!D26+LDCC!D26+NorthshoreTCC!D26+Nunez!D26+RPCC!D26+SLCC!D26+Sowela!D26+LTC!D26</f>
        <v>1465980</v>
      </c>
      <c r="E26" s="26">
        <f t="shared" si="0"/>
        <v>1465980</v>
      </c>
      <c r="F26" s="24">
        <f t="shared" si="1"/>
        <v>1</v>
      </c>
    </row>
    <row r="27" spans="1:6" s="13" customFormat="1" ht="26.25">
      <c r="A27" s="30" t="s">
        <v>35</v>
      </c>
      <c r="B27" s="23">
        <f>'LCTC BOS'!B27+Online!B27+BRCC!B27+BPCC!B27+Delgado!B27+Fletcher!B27+LDCC!B27+NorthshoreTCC!B27+Nunez!B27+RPCC!B27+SLCC!B27+Sowela!B27+LTC!B27</f>
        <v>0</v>
      </c>
      <c r="C27" s="23">
        <f>'LCTC BOS'!C27+Online!C27+BRCC!C27+BPCC!C27+Delgado!C27+Fletcher!C27+LDCC!C27+NorthshoreTCC!C27+Nunez!C27+RPCC!C27+SLCC!C27+Sowela!C27+LTC!C27</f>
        <v>0</v>
      </c>
      <c r="D27" s="23">
        <f>'LCTC BOS'!D27+Online!D27+BRCC!D27+BPCC!D27+Delgado!D27+Fletcher!D27+LDCC!D27+NorthshoreTCC!D27+Nunez!D27+RPCC!D27+SLCC!D27+Sowela!D27+LTC!D27</f>
        <v>0</v>
      </c>
      <c r="E27" s="26">
        <f t="shared" si="0"/>
        <v>0</v>
      </c>
      <c r="F27" s="24">
        <f t="shared" si="1"/>
        <v>0</v>
      </c>
    </row>
    <row r="28" spans="1:6" s="13" customFormat="1" ht="26.25">
      <c r="A28" s="30" t="s">
        <v>36</v>
      </c>
      <c r="B28" s="23">
        <f>'LCTC BOS'!B28+Online!B28+BRCC!B28+BPCC!B28+Delgado!B28+Fletcher!B28+LDCC!B28+NorthshoreTCC!B28+Nunez!B28+RPCC!B28+SLCC!B28+Sowela!B28+LTC!B28</f>
        <v>300000</v>
      </c>
      <c r="C28" s="23">
        <f>'LCTC BOS'!C28+Online!C28+BRCC!C28+BPCC!C28+Delgado!C28+Fletcher!C28+LDCC!C28+NorthshoreTCC!C28+Nunez!C28+RPCC!C28+SLCC!C28+Sowela!C28+LTC!C28</f>
        <v>300000</v>
      </c>
      <c r="D28" s="23">
        <f>'LCTC BOS'!D28+Online!D28+BRCC!D28+BPCC!D28+Delgado!D28+Fletcher!D28+LDCC!D28+NorthshoreTCC!D28+Nunez!D28+RPCC!D28+SLCC!D28+Sowela!D28+LTC!D28</f>
        <v>0</v>
      </c>
      <c r="E28" s="26">
        <f t="shared" si="0"/>
        <v>-300000</v>
      </c>
      <c r="F28" s="24">
        <f t="shared" si="1"/>
        <v>-1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f>'LCTC BOS'!B30+Online!B30+BRCC!B30+BPCC!B30+Delgado!B30+Fletcher!B30+LDCC!B30+NorthshoreTCC!B30+Nunez!B30+RPCC!B30+SLCC!B30+Sowela!B30+LTC!B30</f>
        <v>0</v>
      </c>
      <c r="C30" s="23">
        <f>'LCTC BOS'!C30+Online!C30+BRCC!C30+BPCC!C30+Delgado!C30+Fletcher!C30+LDCC!C30+NorthshoreTCC!C30+Nunez!C30+RPCC!C30+SLCC!C30+Sowela!C30+LTC!C30</f>
        <v>0</v>
      </c>
      <c r="D30" s="23">
        <f>'LCTC BOS'!D30+Online!D30+BRCC!D30+BPCC!D30+Delgado!D30+Fletcher!D30+LDCC!D30+NorthshoreTCC!D30+Nunez!D30+RPCC!D30+SLCC!D30+Sowela!D30+LTC!D30</f>
        <v>0</v>
      </c>
      <c r="E30" s="23">
        <f>D30-C30</f>
        <v>0</v>
      </c>
      <c r="F30" s="24">
        <f>IF(ISBLANK(E30),"  ",IF(C30&gt;0,E30/C30,IF(E30&gt;0,1,0)))</f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23">
        <f>'LCTC BOS'!B32+Online!B32+BRCC!B32+BPCC!B32+Delgado!B32+Fletcher!B32+LDCC!B32+NorthshoreTCC!B32+Nunez!B32+RPCC!B32+SLCC!B32+Sowela!B32+LTC!B32</f>
        <v>0</v>
      </c>
      <c r="C32" s="23">
        <f>'LCTC BOS'!C32+Online!C32+BRCC!C32+BPCC!C32+Delgado!C32+Fletcher!C32+LDCC!C32+NorthshoreTCC!C32+Nunez!C32+RPCC!C32+SLCC!C32+Sowela!C32+LTC!C32</f>
        <v>0</v>
      </c>
      <c r="D32" s="23">
        <f>'LCTC BOS'!D32+Online!D32+BRCC!D32+BPCC!D32+Delgado!D32+Fletcher!D32+LDCC!D32+NorthshoreTCC!D32+Nunez!D32+RPCC!D32+SLCC!D32+Sowela!D32+LTC!D32</f>
        <v>0</v>
      </c>
      <c r="E32" s="23">
        <f>D32-C32</f>
        <v>0</v>
      </c>
      <c r="F32" s="24">
        <f>IF(ISBLANK(E32),"  ",IF(C32&gt;0,E32/C32,IF(E32&gt;0,1,0)))</f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tr">
        <f>IF(ISBLANK(E33),"  ",IF(C33&gt;0,E33/C33,IF(E33&gt;0,1,0)))</f>
        <v xml:space="preserve">  </v>
      </c>
    </row>
    <row r="34" spans="1:10" s="36" customFormat="1" ht="26.25">
      <c r="A34" s="33" t="s">
        <v>42</v>
      </c>
      <c r="B34" s="34">
        <f>B33+B32+B30+B10+B9+B8</f>
        <v>158804358</v>
      </c>
      <c r="C34" s="34">
        <f>C33+C32+C30+C10+C9+C8</f>
        <v>158825606</v>
      </c>
      <c r="D34" s="34">
        <f>D33+D32+D30+D10+D9+D8</f>
        <v>160341253</v>
      </c>
      <c r="E34" s="34">
        <f>D34-C34</f>
        <v>1515647</v>
      </c>
      <c r="F34" s="35">
        <f>IF(ISBLANK(E34),"  ",IF(C34&gt;0,E34/C34,IF(E34&gt;0,1,0)))</f>
        <v>9.5428378217552647E-3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f>'LCTC BOS'!B36+Online!B36+BRCC!B36+BPCC!B36+Delgado!B36+Fletcher!B36+LDCC!B36+NorthshoreTCC!B36+Nunez!B36+RPCC!B36+SLCC!B36+Sowela!B36+LTC!B36</f>
        <v>0</v>
      </c>
      <c r="C36" s="23">
        <f>'LCTC BOS'!C36+Online!C36+BRCC!C36+BPCC!C36+Delgado!C36+Fletcher!C36+LDCC!C36+NorthshoreTCC!C36+Nunez!C36+RPCC!C36+SLCC!C36+Sowela!C36+LTC!C36</f>
        <v>0</v>
      </c>
      <c r="D36" s="23">
        <f>'LCTC BOS'!D36+Online!D36+BRCC!D36+BPCC!D36+Delgado!D36+Fletcher!D36+LDCC!D36+NorthshoreTCC!D36+Nunez!D36+RPCC!D36+SLCC!D36+Sowela!D36+LTC!D36</f>
        <v>0</v>
      </c>
      <c r="E36" s="23">
        <f t="shared" ref="E36:E41" si="2">D36-C36</f>
        <v>0</v>
      </c>
      <c r="F36" s="24">
        <f t="shared" ref="F36:F41" si="3">IF(ISBLANK(E36),"  ",IF(C36&gt;0,E36/C36,IF(E36&gt;0,1,0)))</f>
        <v>0</v>
      </c>
    </row>
    <row r="37" spans="1:10" s="13" customFormat="1" ht="26.25">
      <c r="A37" s="38" t="s">
        <v>45</v>
      </c>
      <c r="B37" s="23">
        <f>'LCTC BOS'!B37+Online!B37+BRCC!B37+BPCC!B37+Delgado!B37+Fletcher!B37+LDCC!B37+NorthshoreTCC!B37+Nunez!B37+RPCC!B37+SLCC!B37+Sowela!B37+LTC!B37</f>
        <v>0</v>
      </c>
      <c r="C37" s="23">
        <f>'LCTC BOS'!C37+Online!C37+BRCC!C37+BPCC!C37+Delgado!C37+Fletcher!C37+LDCC!C37+NorthshoreTCC!C37+Nunez!C37+RPCC!C37+SLCC!C37+Sowela!C37+LTC!C37</f>
        <v>0</v>
      </c>
      <c r="D37" s="23">
        <f>'LCTC BOS'!D37+Online!D37+BRCC!D37+BPCC!D37+Delgado!D37+Fletcher!D37+LDCC!D37+NorthshoreTCC!D37+Nunez!D37+RPCC!D37+SLCC!D37+Sowela!D37+LTC!D37</f>
        <v>0</v>
      </c>
      <c r="E37" s="26">
        <f t="shared" si="2"/>
        <v>0</v>
      </c>
      <c r="F37" s="24">
        <f t="shared" si="3"/>
        <v>0</v>
      </c>
    </row>
    <row r="38" spans="1:10" s="13" customFormat="1" ht="26.25">
      <c r="A38" s="38" t="s">
        <v>46</v>
      </c>
      <c r="B38" s="23">
        <f>'LCTC BOS'!B38+Online!B38+BRCC!B38+BPCC!B38+Delgado!B38+Fletcher!B38+LDCC!B38+NorthshoreTCC!B38+Nunez!B38+RPCC!B38+SLCC!B38+Sowela!B38+LTC!B38</f>
        <v>19114620</v>
      </c>
      <c r="C38" s="23">
        <f>'LCTC BOS'!C38+Online!C38+BRCC!C38+BPCC!C38+Delgado!C38+Fletcher!C38+LDCC!C38+NorthshoreTCC!C38+Nunez!C38+RPCC!C38+SLCC!C38+Sowela!C38+LTC!C38</f>
        <v>0</v>
      </c>
      <c r="D38" s="23">
        <f>'LCTC BOS'!D38+Online!D38+BRCC!D38+BPCC!D38+Delgado!D38+Fletcher!D38+LDCC!D38+NorthshoreTCC!D38+Nunez!D38+RPCC!D38+SLCC!D38+Sowela!D38+LTC!D38</f>
        <v>0</v>
      </c>
      <c r="E38" s="26">
        <f t="shared" si="2"/>
        <v>0</v>
      </c>
      <c r="F38" s="24">
        <f t="shared" si="3"/>
        <v>0</v>
      </c>
    </row>
    <row r="39" spans="1:10" s="13" customFormat="1" ht="26.25">
      <c r="A39" s="38" t="s">
        <v>47</v>
      </c>
      <c r="B39" s="23">
        <f>'LCTC BOS'!B39+Online!B39+BRCC!B39+BPCC!B39+Delgado!B39+Fletcher!B39+LDCC!B39+NorthshoreTCC!B39+Nunez!B39+RPCC!B39+SLCC!B39+Sowela!B39+LTC!B39</f>
        <v>0</v>
      </c>
      <c r="C39" s="23">
        <f>'LCTC BOS'!C39+Online!C39+BRCC!C39+BPCC!C39+Delgado!C39+Fletcher!C39+LDCC!C39+NorthshoreTCC!C39+Nunez!C39+RPCC!C39+SLCC!C39+Sowela!C39+LTC!C39</f>
        <v>0</v>
      </c>
      <c r="D39" s="23">
        <f>'LCTC BOS'!D39+Online!D39+BRCC!D39+BPCC!D39+Delgado!D39+Fletcher!D39+LDCC!D39+NorthshoreTCC!D39+Nunez!D39+RPCC!D39+SLCC!D39+Sowela!D39+LTC!D39</f>
        <v>0</v>
      </c>
      <c r="E39" s="26">
        <f t="shared" si="2"/>
        <v>0</v>
      </c>
      <c r="F39" s="24">
        <f t="shared" si="3"/>
        <v>0</v>
      </c>
    </row>
    <row r="40" spans="1:10" s="13" customFormat="1" ht="26.25">
      <c r="A40" s="39" t="s">
        <v>48</v>
      </c>
      <c r="B40" s="23">
        <f>'LCTC BOS'!B40+Online!B40+BRCC!B40+BPCC!B40+Delgado!B40+Fletcher!B40+LDCC!B40+NorthshoreTCC!B40+Nunez!B40+RPCC!B40+SLCC!B40+Sowela!B40+LTC!B40</f>
        <v>0</v>
      </c>
      <c r="C40" s="23">
        <f>'LCTC BOS'!C40+Online!C40+BRCC!C40+BPCC!C40+Delgado!C40+Fletcher!C40+LDCC!C40+NorthshoreTCC!C40+Nunez!C40+RPCC!C40+SLCC!C40+Sowela!C40+LTC!C40</f>
        <v>0</v>
      </c>
      <c r="D40" s="23">
        <f>'LCTC BOS'!D40+Online!D40+BRCC!D40+BPCC!D40+Delgado!D40+Fletcher!D40+LDCC!D40+NorthshoreTCC!D40+Nunez!D40+RPCC!D40+SLCC!D40+Sowela!D40+LTC!D40</f>
        <v>0</v>
      </c>
      <c r="E40" s="26">
        <f t="shared" si="2"/>
        <v>0</v>
      </c>
      <c r="F40" s="24">
        <f t="shared" si="3"/>
        <v>0</v>
      </c>
    </row>
    <row r="41" spans="1:10" s="36" customFormat="1" ht="26.25">
      <c r="A41" s="31" t="s">
        <v>49</v>
      </c>
      <c r="B41" s="40">
        <f>SUM(B36:B40)</f>
        <v>19114620</v>
      </c>
      <c r="C41" s="40">
        <f>SUM(C36:C40)</f>
        <v>0</v>
      </c>
      <c r="D41" s="40">
        <f>SUM(D36:D40)</f>
        <v>0</v>
      </c>
      <c r="E41" s="40">
        <f t="shared" si="2"/>
        <v>0</v>
      </c>
      <c r="F41" s="35">
        <f t="shared" si="3"/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23">
        <f>'LCTC BOS'!B43+Online!B43+BRCC!B43+BPCC!B43+Delgado!B43+Fletcher!B43+LDCC!B43+NorthshoreTCC!B43+Nunez!B43+RPCC!B43+SLCC!B43+Sowela!B43+LTC!B43</f>
        <v>0</v>
      </c>
      <c r="C43" s="23">
        <f>'LCTC BOS'!C43+Online!C43+BRCC!C43+BPCC!C43+Delgado!C43+Fletcher!C43+LDCC!C43+NorthshoreTCC!C43+Nunez!C43+RPCC!C43+SLCC!C43+Sowela!C43+LTC!C43</f>
        <v>0</v>
      </c>
      <c r="D43" s="23">
        <f>'LCTC BOS'!D43+Online!D43+BRCC!D43+BPCC!D43+Delgado!D43+Fletcher!D43+LDCC!D43+NorthshoreTCC!D43+Nunez!D43+RPCC!D43+SLCC!D43+Sowela!D43+LTC!D43</f>
        <v>0</v>
      </c>
      <c r="E43" s="42">
        <f>D43-C43</f>
        <v>0</v>
      </c>
      <c r="F43" s="35">
        <f>IF(ISBLANK(E43),"  ",IF(C43&gt;0,E43/C43,IF(E43&gt;0,1,0)))</f>
        <v>0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f>'LCTC BOS'!B45+Online!B45+BRCC!B45+BPCC!B45+Delgado!B45+Fletcher!B45+LDCC!B45+NorthshoreTCC!B45+Nunez!B45+RPCC!B45+SLCC!B45+Sowela!B45+LTC!B45</f>
        <v>42485162</v>
      </c>
      <c r="C45" s="42">
        <f>'LCTC BOS'!C45+Online!C45+BRCC!C45+BPCC!C45+Delgado!C45+Fletcher!C45+LDCC!C45+NorthshoreTCC!C45+Nunez!C45+RPCC!C45+SLCC!C45+Sowela!C45+LTC!C45</f>
        <v>42485162</v>
      </c>
      <c r="D45" s="42">
        <f>'LCTC BOS'!D45+Online!D45+BRCC!D45+BPCC!D45+Delgado!D45+Fletcher!D45+LDCC!D45+NorthshoreTCC!D45+Nunez!D45+RPCC!D45+SLCC!D45+Sowela!D45+LTC!D45</f>
        <v>0</v>
      </c>
      <c r="E45" s="42">
        <f>D45-C45</f>
        <v>-42485162</v>
      </c>
      <c r="F45" s="35">
        <f>IF(ISBLANK(E45),"  ",IF(C45&gt;0,E45/C45,IF(E45&gt;0,1,0)))</f>
        <v>-1</v>
      </c>
    </row>
    <row r="46" spans="1:10" s="13" customFormat="1" ht="26.25">
      <c r="A46" s="29" t="s">
        <v>50</v>
      </c>
      <c r="B46" s="28"/>
      <c r="C46" s="34"/>
      <c r="D46" s="34"/>
      <c r="E46" s="28"/>
      <c r="F46" s="20"/>
    </row>
    <row r="47" spans="1:10" s="36" customFormat="1" ht="26.25">
      <c r="A47" s="31" t="s">
        <v>53</v>
      </c>
      <c r="B47" s="42">
        <f>'LCTC BOS'!B47+Online!B47+BRCC!B47+BPCC!B47+Delgado!B47+Fletcher!B47+LDCC!B47+NorthshoreTCC!B47+Nunez!B47+RPCC!B47+SLCC!B47+Sowela!B47+LTC!B47</f>
        <v>107487864.64999999</v>
      </c>
      <c r="C47" s="42">
        <f>'LCTC BOS'!C47+Online!C47+BRCC!C47+BPCC!C47+Delgado!C47+Fletcher!C47+LDCC!C47+NorthshoreTCC!C47+Nunez!C47+RPCC!C47+SLCC!C47+Sowela!C47+LTC!C47</f>
        <v>96681046</v>
      </c>
      <c r="D47" s="42">
        <f>'LCTC BOS'!D47+Online!D47+BRCC!D47+BPCC!D47+Delgado!D47+Fletcher!D47+LDCC!D47+NorthshoreTCC!D47+Nunez!D47+RPCC!D47+SLCC!D47+Sowela!D47+LTC!D47</f>
        <v>144516758</v>
      </c>
      <c r="E47" s="40">
        <f>D47-C47</f>
        <v>47835712</v>
      </c>
      <c r="F47" s="35">
        <f>IF(ISBLANK(E47),"  ",IF(C47&gt;0,E47/C47,IF(E47&gt;0,1,0)))</f>
        <v>0.49477859393453399</v>
      </c>
    </row>
    <row r="48" spans="1:10" s="13" customFormat="1" ht="26.25">
      <c r="A48" s="29" t="s">
        <v>50</v>
      </c>
      <c r="B48" s="28"/>
      <c r="C48" s="34"/>
      <c r="D48" s="34"/>
      <c r="E48" s="28"/>
      <c r="F48" s="20"/>
    </row>
    <row r="49" spans="1:13" s="36" customFormat="1" ht="26.25">
      <c r="A49" s="43" t="s">
        <v>54</v>
      </c>
      <c r="B49" s="42">
        <f>'LCTC BOS'!B49+Online!B49+BRCC!B49+BPCC!B49+Delgado!B49+Fletcher!B49+LDCC!B49+NorthshoreTCC!B49+Nunez!B49+RPCC!B49+SLCC!B49+Sowela!B49+LTC!B49</f>
        <v>7777103</v>
      </c>
      <c r="C49" s="42">
        <f>'LCTC BOS'!C49+Online!C49+BRCC!C49+BPCC!C49+Delgado!C49+Fletcher!C49+LDCC!C49+NorthshoreTCC!C49+Nunez!C49+RPCC!C49+SLCC!C49+Sowela!C49+LTC!C49</f>
        <v>9202724</v>
      </c>
      <c r="D49" s="42">
        <f>'LCTC BOS'!D49+Online!D49+BRCC!D49+BPCC!D49+Delgado!D49+Fletcher!D49+LDCC!D49+NorthshoreTCC!D49+Nunez!D49+RPCC!D49+SLCC!D49+Sowela!D49+LTC!D49</f>
        <v>0</v>
      </c>
      <c r="E49" s="44">
        <f>D49-C49</f>
        <v>-9202724</v>
      </c>
      <c r="F49" s="35">
        <f>IF(ISBLANK(E49),"  ",IF(C49&gt;0,E49/C49,IF(E49&gt;0,1,0)))</f>
        <v>-1</v>
      </c>
      <c r="M49" s="36" t="s">
        <v>50</v>
      </c>
    </row>
    <row r="50" spans="1:13" s="13" customFormat="1" ht="26.25">
      <c r="A50" s="31"/>
      <c r="B50" s="19"/>
      <c r="C50" s="40"/>
      <c r="D50" s="40"/>
      <c r="E50" s="19"/>
      <c r="F50" s="45"/>
    </row>
    <row r="51" spans="1:13" s="36" customFormat="1" ht="26.25">
      <c r="A51" s="31" t="s">
        <v>55</v>
      </c>
      <c r="B51" s="42">
        <f>'LCTC BOS'!B51+Online!B51+BRCC!B51+BPCC!B51+Delgado!B51+Fletcher!B51+LDCC!B51+NorthshoreTCC!B51+Nunez!B51+RPCC!B51+SLCC!B51+Sowela!B51+LTC!B51</f>
        <v>10000</v>
      </c>
      <c r="C51" s="42">
        <f>'LCTC BOS'!C51+Online!C51+BRCC!C51+BPCC!C51+Delgado!C51+Fletcher!C51+LDCC!C51+NorthshoreTCC!C51+Nunez!C51+RPCC!C51+SLCC!C51+Sowela!C51+LTC!C51</f>
        <v>10000</v>
      </c>
      <c r="D51" s="42">
        <f>'LCTC BOS'!D51+Online!D51+BRCC!D51+BPCC!D51+Delgado!D51+Fletcher!D51+LDCC!D51+NorthshoreTCC!D51+Nunez!D51+RPCC!D51+SLCC!D51+Sowela!D51+LTC!D51</f>
        <v>0</v>
      </c>
      <c r="E51" s="44">
        <f>D51-C51</f>
        <v>-10000</v>
      </c>
      <c r="F51" s="35">
        <f>IF(ISBLANK(E51),"  ",IF(C51&gt;0,E51/C51,IF(E51&gt;0,1,0)))</f>
        <v>-1</v>
      </c>
    </row>
    <row r="52" spans="1:13" s="13" customFormat="1" ht="26.25">
      <c r="A52" s="29"/>
      <c r="B52" s="28"/>
      <c r="C52" s="34"/>
      <c r="D52" s="34"/>
      <c r="E52" s="28"/>
      <c r="F52" s="20"/>
    </row>
    <row r="53" spans="1:13" s="36" customFormat="1" ht="26.25">
      <c r="A53" s="46" t="s">
        <v>56</v>
      </c>
      <c r="B53" s="40">
        <f>B49+B47+B45+B43+B34-B41+B51</f>
        <v>297449867.64999998</v>
      </c>
      <c r="C53" s="40">
        <f>C49+C47+C45+C43+C34-C41+C51</f>
        <v>307204538</v>
      </c>
      <c r="D53" s="42">
        <f>D49+D47+D45+D43+D34-D41+D51</f>
        <v>304858011</v>
      </c>
      <c r="E53" s="40">
        <f>D53-C53</f>
        <v>-2346527</v>
      </c>
      <c r="F53" s="35">
        <f>IF(ISBLANK(E53),"  ",IF(C53&gt;0,E53/C53,IF(E53&gt;0,1,0)))</f>
        <v>-7.6383214104734348E-3</v>
      </c>
    </row>
    <row r="54" spans="1:13" s="13" customFormat="1" ht="26.25">
      <c r="A54" s="47"/>
      <c r="B54" s="28"/>
      <c r="C54" s="34"/>
      <c r="D54" s="34"/>
      <c r="E54" s="28"/>
      <c r="F54" s="20" t="s">
        <v>50</v>
      </c>
    </row>
    <row r="55" spans="1:13" s="13" customFormat="1" ht="26.25">
      <c r="A55" s="48"/>
      <c r="B55" s="19"/>
      <c r="C55" s="40"/>
      <c r="D55" s="40"/>
      <c r="E55" s="19"/>
      <c r="F55" s="21" t="s">
        <v>50</v>
      </c>
    </row>
    <row r="56" spans="1:13" s="13" customFormat="1" ht="26.25">
      <c r="A56" s="46" t="s">
        <v>57</v>
      </c>
      <c r="B56" s="19"/>
      <c r="C56" s="40"/>
      <c r="D56" s="40"/>
      <c r="E56" s="19"/>
      <c r="F56" s="21"/>
    </row>
    <row r="57" spans="1:13" s="13" customFormat="1" ht="26.25">
      <c r="A57" s="27" t="s">
        <v>58</v>
      </c>
      <c r="B57" s="23">
        <f>'LCTC BOS'!B57+Online!B57+BRCC!B57+BPCC!B57+Delgado!B57+Fletcher!B57+LDCC!B57+NorthshoreTCC!B57+Nunez!B57+RPCC!B57+SLCC!B57+Sowela!B57+LTC!B57</f>
        <v>138977840</v>
      </c>
      <c r="C57" s="23">
        <f>'LCTC BOS'!C57+Online!C57+BRCC!C57+BPCC!C57+Delgado!C57+Fletcher!C57+LDCC!C57+NorthshoreTCC!C57+Nunez!C57+RPCC!C57+SLCC!C57+Sowela!C57+LTC!C57</f>
        <v>143358236</v>
      </c>
      <c r="D57" s="23">
        <f>'LCTC BOS'!D57+Online!D57+BRCC!D57+BPCC!D57+Delgado!D57+Fletcher!D57+LDCC!D57+NorthshoreTCC!D57+Nunez!D57+RPCC!D57+SLCC!D57+Sowela!D57+LTC!D57</f>
        <v>147677872.55000001</v>
      </c>
      <c r="E57" s="19">
        <f t="shared" ref="E57:E70" si="4">D57-C57</f>
        <v>4319636.5500000119</v>
      </c>
      <c r="F57" s="24">
        <f t="shared" ref="F57:F70" si="5">IF(ISBLANK(E57),"  ",IF(C57&gt;0,E57/C57,IF(E57&gt;0,1,0)))</f>
        <v>3.0131764107365355E-2</v>
      </c>
    </row>
    <row r="58" spans="1:13" s="13" customFormat="1" ht="26.25">
      <c r="A58" s="29" t="s">
        <v>59</v>
      </c>
      <c r="B58" s="23">
        <f>'LCTC BOS'!B58+Online!B58+BRCC!B58+BPCC!B58+Delgado!B58+Fletcher!B58+LDCC!B58+NorthshoreTCC!B58+Nunez!B58+RPCC!B58+SLCC!B58+Sowela!B58+LTC!B58</f>
        <v>0</v>
      </c>
      <c r="C58" s="23">
        <f>'LCTC BOS'!C58+Online!C58+BRCC!C58+BPCC!C58+Delgado!C58+Fletcher!C58+LDCC!C58+NorthshoreTCC!C58+Nunez!C58+RPCC!C58+SLCC!C58+Sowela!C58+LTC!C58</f>
        <v>0</v>
      </c>
      <c r="D58" s="23">
        <f>'LCTC BOS'!D58+Online!D58+BRCC!D58+BPCC!D58+Delgado!D58+Fletcher!D58+LDCC!D58+NorthshoreTCC!D58+Nunez!D58+RPCC!D58+SLCC!D58+Sowela!D58+LTC!D58</f>
        <v>0</v>
      </c>
      <c r="E58" s="28">
        <f t="shared" si="4"/>
        <v>0</v>
      </c>
      <c r="F58" s="24">
        <f t="shared" si="5"/>
        <v>0</v>
      </c>
    </row>
    <row r="59" spans="1:13" s="13" customFormat="1" ht="26.25">
      <c r="A59" s="29" t="s">
        <v>60</v>
      </c>
      <c r="B59" s="23">
        <f>'LCTC BOS'!B59+Online!B59+BRCC!B59+BPCC!B59+Delgado!B59+Fletcher!B59+LDCC!B59+NorthshoreTCC!B59+Nunez!B59+RPCC!B59+SLCC!B59+Sowela!B59+LTC!B59</f>
        <v>370298</v>
      </c>
      <c r="C59" s="23">
        <f>'LCTC BOS'!C59+Online!C59+BRCC!C59+BPCC!C59+Delgado!C59+Fletcher!C59+LDCC!C59+NorthshoreTCC!C59+Nunez!C59+RPCC!C59+SLCC!C59+Sowela!C59+LTC!C59</f>
        <v>370298</v>
      </c>
      <c r="D59" s="23">
        <f>'LCTC BOS'!D59+Online!D59+BRCC!D59+BPCC!D59+Delgado!D59+Fletcher!D59+LDCC!D59+NorthshoreTCC!D59+Nunez!D59+RPCC!D59+SLCC!D59+Sowela!D59+LTC!D59</f>
        <v>205139</v>
      </c>
      <c r="E59" s="28">
        <f t="shared" si="4"/>
        <v>-165159</v>
      </c>
      <c r="F59" s="24">
        <f t="shared" si="5"/>
        <v>-0.44601645161464548</v>
      </c>
    </row>
    <row r="60" spans="1:13" s="13" customFormat="1" ht="26.25">
      <c r="A60" s="29" t="s">
        <v>61</v>
      </c>
      <c r="B60" s="23">
        <f>'LCTC BOS'!B60+Online!B60+BRCC!B60+BPCC!B60+Delgado!B60+Fletcher!B60+LDCC!B60+NorthshoreTCC!B60+Nunez!B60+RPCC!B60+SLCC!B60+Sowela!B60+LTC!B60</f>
        <v>22558732</v>
      </c>
      <c r="C60" s="23">
        <f>'LCTC BOS'!C60+Online!C60+BRCC!C60+BPCC!C60+Delgado!C60+Fletcher!C60+LDCC!C60+NorthshoreTCC!C60+Nunez!C60+RPCC!C60+SLCC!C60+Sowela!C60+LTC!C60</f>
        <v>22735795</v>
      </c>
      <c r="D60" s="23">
        <f>'LCTC BOS'!D60+Online!D60+BRCC!D60+BPCC!D60+Delgado!D60+Fletcher!D60+LDCC!D60+NorthshoreTCC!D60+Nunez!D60+RPCC!D60+SLCC!D60+Sowela!D60+LTC!D60</f>
        <v>23118425</v>
      </c>
      <c r="E60" s="28">
        <f t="shared" si="4"/>
        <v>382630</v>
      </c>
      <c r="F60" s="24">
        <f t="shared" si="5"/>
        <v>1.6829409308097648E-2</v>
      </c>
    </row>
    <row r="61" spans="1:13" s="13" customFormat="1" ht="26.25">
      <c r="A61" s="29" t="s">
        <v>62</v>
      </c>
      <c r="B61" s="23">
        <f>'LCTC BOS'!B61+Online!B61+BRCC!B61+BPCC!B61+Delgado!B61+Fletcher!B61+LDCC!B61+NorthshoreTCC!B61+Nunez!B61+RPCC!B61+SLCC!B61+Sowela!B61+LTC!B61</f>
        <v>18592001</v>
      </c>
      <c r="C61" s="23">
        <f>'LCTC BOS'!C61+Online!C61+BRCC!C61+BPCC!C61+Delgado!C61+Fletcher!C61+LDCC!C61+NorthshoreTCC!C61+Nunez!C61+RPCC!C61+SLCC!C61+Sowela!C61+LTC!C61</f>
        <v>19422033</v>
      </c>
      <c r="D61" s="23">
        <f>'LCTC BOS'!D61+Online!D61+BRCC!D61+BPCC!D61+Delgado!D61+Fletcher!D61+LDCC!D61+NorthshoreTCC!D61+Nunez!D61+RPCC!D61+SLCC!D61+Sowela!D61+LTC!D61</f>
        <v>20050484</v>
      </c>
      <c r="E61" s="28">
        <f t="shared" si="4"/>
        <v>628451</v>
      </c>
      <c r="F61" s="24">
        <f t="shared" si="5"/>
        <v>3.2357632179906191E-2</v>
      </c>
    </row>
    <row r="62" spans="1:13" s="13" customFormat="1" ht="26.25">
      <c r="A62" s="29" t="s">
        <v>63</v>
      </c>
      <c r="B62" s="23">
        <f>'LCTC BOS'!B62+Online!B62+BRCC!B62+BPCC!B62+Delgado!B62+Fletcher!B62+LDCC!B62+NorthshoreTCC!B62+Nunez!B62+RPCC!B62+SLCC!B62+Sowela!B62+LTC!B62</f>
        <v>53015509.609999999</v>
      </c>
      <c r="C62" s="23">
        <f>'LCTC BOS'!C62+Online!C62+BRCC!C62+BPCC!C62+Delgado!C62+Fletcher!C62+LDCC!C62+NorthshoreTCC!C62+Nunez!C62+RPCC!C62+SLCC!C62+Sowela!C62+LTC!C62</f>
        <v>54195052.5</v>
      </c>
      <c r="D62" s="23">
        <f>'LCTC BOS'!D62+Online!D62+BRCC!D62+BPCC!D62+Delgado!D62+Fletcher!D62+LDCC!D62+NorthshoreTCC!D62+Nunez!D62+RPCC!D62+SLCC!D62+Sowela!D62+LTC!D62</f>
        <v>55543015.950000003</v>
      </c>
      <c r="E62" s="28">
        <f t="shared" si="4"/>
        <v>1347963.450000003</v>
      </c>
      <c r="F62" s="24">
        <f t="shared" si="5"/>
        <v>2.487244476790576E-2</v>
      </c>
    </row>
    <row r="63" spans="1:13" s="13" customFormat="1" ht="26.25">
      <c r="A63" s="29" t="s">
        <v>64</v>
      </c>
      <c r="B63" s="23">
        <f>'LCTC BOS'!B63+Online!B63+BRCC!B63+BPCC!B63+Delgado!B63+Fletcher!B63+LDCC!B63+NorthshoreTCC!B63+Nunez!B63+RPCC!B63+SLCC!B63+Sowela!B63+LTC!B63</f>
        <v>4743911</v>
      </c>
      <c r="C63" s="23">
        <f>'LCTC BOS'!C63+Online!C63+BRCC!C63+BPCC!C63+Delgado!C63+Fletcher!C63+LDCC!C63+NorthshoreTCC!C63+Nunez!C63+RPCC!C63+SLCC!C63+Sowela!C63+LTC!C63</f>
        <v>4655030</v>
      </c>
      <c r="D63" s="23">
        <f>'LCTC BOS'!D63+Online!D63+BRCC!D63+BPCC!D63+Delgado!D63+Fletcher!D63+LDCC!D63+NorthshoreTCC!D63+Nunez!D63+RPCC!D63+SLCC!D63+Sowela!D63+LTC!D63</f>
        <v>3551998</v>
      </c>
      <c r="E63" s="28">
        <f t="shared" si="4"/>
        <v>-1103032</v>
      </c>
      <c r="F63" s="24">
        <f t="shared" si="5"/>
        <v>-0.23695486387842829</v>
      </c>
    </row>
    <row r="64" spans="1:13" s="13" customFormat="1" ht="26.25">
      <c r="A64" s="29" t="s">
        <v>65</v>
      </c>
      <c r="B64" s="23">
        <f>'LCTC BOS'!B64+Online!B64+BRCC!B64+BPCC!B64+Delgado!B64+Fletcher!B64+LDCC!B64+NorthshoreTCC!B64+Nunez!B64+RPCC!B64+SLCC!B64+Sowela!B64+LTC!B64</f>
        <v>32440134.48</v>
      </c>
      <c r="C64" s="23">
        <f>'LCTC BOS'!C64+Online!C64+BRCC!C64+BPCC!C64+Delgado!C64+Fletcher!C64+LDCC!C64+NorthshoreTCC!C64+Nunez!C64+RPCC!C64+SLCC!C64+Sowela!C64+LTC!C64</f>
        <v>34193212</v>
      </c>
      <c r="D64" s="23">
        <f>'LCTC BOS'!D64+Online!D64+BRCC!D64+BPCC!D64+Delgado!D64+Fletcher!D64+LDCC!D64+NorthshoreTCC!D64+Nunez!D64+RPCC!D64+SLCC!D64+Sowela!D64+LTC!D64</f>
        <v>33809322.450000003</v>
      </c>
      <c r="E64" s="28">
        <f t="shared" si="4"/>
        <v>-383889.54999999702</v>
      </c>
      <c r="F64" s="24">
        <f t="shared" si="5"/>
        <v>-1.1227068986674813E-2</v>
      </c>
    </row>
    <row r="65" spans="1:6" s="36" customFormat="1" ht="26.25">
      <c r="A65" s="49" t="s">
        <v>66</v>
      </c>
      <c r="B65" s="264">
        <f>SUM(B57:B64)</f>
        <v>270698426.09000003</v>
      </c>
      <c r="C65" s="51">
        <f>SUM(C57:C64)</f>
        <v>278929656.5</v>
      </c>
      <c r="D65" s="51">
        <f>SUM(D57:D64)</f>
        <v>283956256.94999999</v>
      </c>
      <c r="E65" s="34">
        <f t="shared" si="4"/>
        <v>5026600.4499999881</v>
      </c>
      <c r="F65" s="35">
        <f t="shared" si="5"/>
        <v>1.8021032661329751E-2</v>
      </c>
    </row>
    <row r="66" spans="1:6" s="13" customFormat="1" ht="26.25">
      <c r="A66" s="29" t="s">
        <v>67</v>
      </c>
      <c r="B66" s="23">
        <f>'LCTC BOS'!B66+Online!B66+BRCC!B66+BPCC!B66+Delgado!B66+Fletcher!B66+LDCC!B66+NorthshoreTCC!B66+Nunez!B66+RPCC!B66+SLCC!B66+Sowela!B66+LTC!B66</f>
        <v>0</v>
      </c>
      <c r="C66" s="23">
        <f>'LCTC BOS'!C66+Online!C66+BRCC!C66+BPCC!C66+Delgado!C66+Fletcher!C66+LDCC!C66+NorthshoreTCC!C66+Nunez!C66+RPCC!C66+SLCC!C66+Sowela!C66+LTC!C66</f>
        <v>0</v>
      </c>
      <c r="D66" s="23">
        <f>'LCTC BOS'!D66+Online!D66+BRCC!D66+BPCC!D66+Delgado!D66+Fletcher!D66+LDCC!D66+NorthshoreTCC!D66+Nunez!D66+RPCC!D66+SLCC!D66+Sowela!D66+LTC!D66</f>
        <v>0</v>
      </c>
      <c r="E66" s="28">
        <f t="shared" si="4"/>
        <v>0</v>
      </c>
      <c r="F66" s="24">
        <f t="shared" si="5"/>
        <v>0</v>
      </c>
    </row>
    <row r="67" spans="1:6" s="13" customFormat="1" ht="26.25">
      <c r="A67" s="29" t="s">
        <v>68</v>
      </c>
      <c r="B67" s="23">
        <f>'LCTC BOS'!B67+Online!B67+BRCC!B67+BPCC!B67+Delgado!B67+Fletcher!B67+LDCC!B67+NorthshoreTCC!B67+Nunez!B67+RPCC!B67+SLCC!B67+Sowela!B67+LTC!B67</f>
        <v>4392863</v>
      </c>
      <c r="C67" s="23">
        <f>'LCTC BOS'!C67+Online!C67+BRCC!C67+BPCC!C67+Delgado!C67+Fletcher!C67+LDCC!C67+NorthshoreTCC!C67+Nunez!C67+RPCC!C67+SLCC!C67+Sowela!C67+LTC!C67</f>
        <v>4532389</v>
      </c>
      <c r="D67" s="23">
        <f>'LCTC BOS'!D67+Online!D67+BRCC!D67+BPCC!D67+Delgado!D67+Fletcher!D67+LDCC!D67+NorthshoreTCC!D67+Nunez!D67+RPCC!D67+SLCC!D67+Sowela!D67+LTC!D67</f>
        <v>5920704</v>
      </c>
      <c r="E67" s="28">
        <f t="shared" si="4"/>
        <v>1388315</v>
      </c>
      <c r="F67" s="24">
        <f t="shared" si="5"/>
        <v>0.30630976290870005</v>
      </c>
    </row>
    <row r="68" spans="1:6" s="13" customFormat="1" ht="26.25">
      <c r="A68" s="29" t="s">
        <v>69</v>
      </c>
      <c r="B68" s="23">
        <f>'LCTC BOS'!B68+Online!B68+BRCC!B68+BPCC!B68+Delgado!B68+Fletcher!B68+LDCC!B68+NorthshoreTCC!B68+Nunez!B68+RPCC!B68+SLCC!B68+Sowela!B68+LTC!B68</f>
        <v>1395704</v>
      </c>
      <c r="C68" s="23">
        <f>'LCTC BOS'!C68+Online!C68+BRCC!C68+BPCC!C68+Delgado!C68+Fletcher!C68+LDCC!C68+NorthshoreTCC!C68+Nunez!C68+RPCC!C68+SLCC!C68+Sowela!C68+LTC!C68</f>
        <v>1353997</v>
      </c>
      <c r="D68" s="23">
        <f>'LCTC BOS'!D68+Online!D68+BRCC!D68+BPCC!D68+Delgado!D68+Fletcher!D68+LDCC!D68+NorthshoreTCC!D68+Nunez!D68+RPCC!D68+SLCC!D68+Sowela!D68+LTC!D68</f>
        <v>993253</v>
      </c>
      <c r="E68" s="28">
        <f t="shared" si="4"/>
        <v>-360744</v>
      </c>
      <c r="F68" s="24">
        <f t="shared" si="5"/>
        <v>-0.2664289507288421</v>
      </c>
    </row>
    <row r="69" spans="1:6" s="13" customFormat="1" ht="26.25">
      <c r="A69" s="29" t="s">
        <v>70</v>
      </c>
      <c r="B69" s="23">
        <f>'LCTC BOS'!B69+Online!B69+BRCC!B69+BPCC!B69+Delgado!B69+Fletcher!B69+LDCC!B69+NorthshoreTCC!B69+Nunez!B69+RPCC!B69+SLCC!B69+Sowela!B69+LTC!B69</f>
        <v>20962876</v>
      </c>
      <c r="C69" s="23">
        <f>'LCTC BOS'!C69+Online!C69+BRCC!C69+BPCC!C69+Delgado!C69+Fletcher!C69+LDCC!C69+NorthshoreTCC!C69+Nunez!C69+RPCC!C69+SLCC!C69+Sowela!C69+LTC!C69</f>
        <v>22388497</v>
      </c>
      <c r="D69" s="23">
        <f>'LCTC BOS'!D69+Online!D69+BRCC!D69+BPCC!D69+Delgado!D69+Fletcher!D69+LDCC!D69+NorthshoreTCC!D69+Nunez!D69+RPCC!D69+SLCC!D69+Sowela!D69+LTC!D69</f>
        <v>13987797</v>
      </c>
      <c r="E69" s="28">
        <f t="shared" si="4"/>
        <v>-8400700</v>
      </c>
      <c r="F69" s="24">
        <f t="shared" si="5"/>
        <v>-0.37522393754256927</v>
      </c>
    </row>
    <row r="70" spans="1:6" s="36" customFormat="1" ht="26.25">
      <c r="A70" s="50" t="s">
        <v>71</v>
      </c>
      <c r="B70" s="51">
        <f>B69+B68+B67+B66+B65</f>
        <v>297449869.09000003</v>
      </c>
      <c r="C70" s="51">
        <f>C69+C68+C67+C66+C65</f>
        <v>307204539.5</v>
      </c>
      <c r="D70" s="51">
        <f>D69+D68+D67+D66+D65</f>
        <v>304858010.94999999</v>
      </c>
      <c r="E70" s="51">
        <f t="shared" si="4"/>
        <v>-2346528.5500000119</v>
      </c>
      <c r="F70" s="35">
        <f t="shared" si="5"/>
        <v>-7.6383264186758934E-3</v>
      </c>
    </row>
    <row r="71" spans="1:6" s="13" customFormat="1" ht="26.25">
      <c r="A71" s="48"/>
      <c r="B71" s="19"/>
      <c r="C71" s="40"/>
      <c r="D71" s="40"/>
      <c r="E71" s="19"/>
      <c r="F71" s="21"/>
    </row>
    <row r="72" spans="1:6" s="13" customFormat="1" ht="26.25">
      <c r="A72" s="46" t="s">
        <v>72</v>
      </c>
      <c r="B72" s="19"/>
      <c r="C72" s="40"/>
      <c r="D72" s="40"/>
      <c r="E72" s="19"/>
      <c r="F72" s="21"/>
    </row>
    <row r="73" spans="1:6" s="13" customFormat="1" ht="26.25">
      <c r="A73" s="27" t="s">
        <v>73</v>
      </c>
      <c r="B73" s="23">
        <f>'LCTC BOS'!B73+Online!B73+BRCC!B73+BPCC!B73+Delgado!B73+Fletcher!B73+LDCC!B73+NorthshoreTCC!B73+Nunez!B73+RPCC!B73+SLCC!B73+Sowela!B73+LTC!B73</f>
        <v>156592482.63999999</v>
      </c>
      <c r="C73" s="23">
        <f>'LCTC BOS'!C73+Online!C73+BRCC!C73+BPCC!C73+Delgado!C73+Fletcher!C73+LDCC!C73+NorthshoreTCC!C73+Nunez!C73+RPCC!C73+SLCC!C73+Sowela!C73+LTC!C73</f>
        <v>159584039.5</v>
      </c>
      <c r="D73" s="23">
        <f>'LCTC BOS'!D73+Online!D73+BRCC!D73+BPCC!D73+Delgado!D73+Fletcher!D73+LDCC!D73+NorthshoreTCC!D73+Nunez!D73+RPCC!D73+SLCC!D73+Sowela!D73+LTC!D73</f>
        <v>161553865</v>
      </c>
      <c r="E73" s="19">
        <f t="shared" ref="E73:E91" si="6">D73-C73</f>
        <v>1969825.5</v>
      </c>
      <c r="F73" s="24">
        <f t="shared" ref="F73:F91" si="7">IF(ISBLANK(E73),"  ",IF(C73&gt;0,E73/C73,IF(E73&gt;0,1,0)))</f>
        <v>1.2343499426206717E-2</v>
      </c>
    </row>
    <row r="74" spans="1:6" s="13" customFormat="1" ht="26.25">
      <c r="A74" s="29" t="s">
        <v>74</v>
      </c>
      <c r="B74" s="23">
        <f>'LCTC BOS'!B74+Online!B74+BRCC!B74+BPCC!B74+Delgado!B74+Fletcher!B74+LDCC!B74+NorthshoreTCC!B74+Nunez!B74+RPCC!B74+SLCC!B74+Sowela!B74+LTC!B74</f>
        <v>5261628.5</v>
      </c>
      <c r="C74" s="23">
        <f>'LCTC BOS'!C74+Online!C74+BRCC!C74+BPCC!C74+Delgado!C74+Fletcher!C74+LDCC!C74+NorthshoreTCC!C74+Nunez!C74+RPCC!C74+SLCC!C74+Sowela!C74+LTC!C74</f>
        <v>5207973.5</v>
      </c>
      <c r="D74" s="23">
        <f>'LCTC BOS'!D74+Online!D74+BRCC!D74+BPCC!D74+Delgado!D74+Fletcher!D74+LDCC!D74+NorthshoreTCC!D74+Nunez!D74+RPCC!D74+SLCC!D74+Sowela!D74+LTC!D74</f>
        <v>5226558</v>
      </c>
      <c r="E74" s="28">
        <f t="shared" si="6"/>
        <v>18584.5</v>
      </c>
      <c r="F74" s="24">
        <f t="shared" si="7"/>
        <v>3.5684705384925633E-3</v>
      </c>
    </row>
    <row r="75" spans="1:6" s="13" customFormat="1" ht="26.25">
      <c r="A75" s="29" t="s">
        <v>75</v>
      </c>
      <c r="B75" s="23">
        <f>'LCTC BOS'!B75+Online!B75+BRCC!B75+BPCC!B75+Delgado!B75+Fletcher!B75+LDCC!B75+NorthshoreTCC!B75+Nunez!B75+RPCC!B75+SLCC!B75+Sowela!B75+LTC!B75</f>
        <v>52783870.950000003</v>
      </c>
      <c r="C75" s="23">
        <f>'LCTC BOS'!C75+Online!C75+BRCC!C75+BPCC!C75+Delgado!C75+Fletcher!C75+LDCC!C75+NorthshoreTCC!C75+Nunez!C75+RPCC!C75+SLCC!C75+Sowela!C75+LTC!C75</f>
        <v>52788660</v>
      </c>
      <c r="D75" s="23">
        <f>'LCTC BOS'!D75+Online!D75+BRCC!D75+BPCC!D75+Delgado!D75+Fletcher!D75+LDCC!D75+NorthshoreTCC!D75+Nunez!D75+RPCC!D75+SLCC!D75+Sowela!D75+LTC!D75</f>
        <v>59502214</v>
      </c>
      <c r="E75" s="28">
        <f t="shared" si="6"/>
        <v>6713554</v>
      </c>
      <c r="F75" s="24">
        <f t="shared" si="7"/>
        <v>0.12717795829634623</v>
      </c>
    </row>
    <row r="76" spans="1:6" s="36" customFormat="1" ht="26.25">
      <c r="A76" s="49" t="s">
        <v>76</v>
      </c>
      <c r="B76" s="51">
        <f>SUM(B73:B75)</f>
        <v>214637982.08999997</v>
      </c>
      <c r="C76" s="51">
        <f>SUM(C73:C75)</f>
        <v>217580673</v>
      </c>
      <c r="D76" s="51">
        <f>SUM(D73:D75)</f>
        <v>226282637</v>
      </c>
      <c r="E76" s="34">
        <f t="shared" si="6"/>
        <v>8701964</v>
      </c>
      <c r="F76" s="35">
        <f t="shared" si="7"/>
        <v>3.9994195624167408E-2</v>
      </c>
    </row>
    <row r="77" spans="1:6" s="13" customFormat="1" ht="26.25">
      <c r="A77" s="29" t="s">
        <v>77</v>
      </c>
      <c r="B77" s="23">
        <f>'LCTC BOS'!B77+Online!B77+BRCC!B77+BPCC!B77+Delgado!B77+Fletcher!B77+LDCC!B77+NorthshoreTCC!B77+Nunez!B77+RPCC!B77+SLCC!B77+Sowela!B77+LTC!B77</f>
        <v>856859</v>
      </c>
      <c r="C77" s="23">
        <f>'LCTC BOS'!C77+Online!C77+BRCC!C77+BPCC!C77+Delgado!C77+Fletcher!C77+LDCC!C77+NorthshoreTCC!C77+Nunez!C77+RPCC!C77+SLCC!C77+Sowela!C77+LTC!C77</f>
        <v>1257586</v>
      </c>
      <c r="D77" s="23">
        <f>'LCTC BOS'!D77+Online!D77+BRCC!D77+BPCC!D77+Delgado!D77+Fletcher!D77+LDCC!D77+NorthshoreTCC!D77+Nunez!D77+RPCC!D77+SLCC!D77+Sowela!D77+LTC!D77</f>
        <v>1256597</v>
      </c>
      <c r="E77" s="28">
        <f t="shared" si="6"/>
        <v>-989</v>
      </c>
      <c r="F77" s="24">
        <f t="shared" si="7"/>
        <v>-7.8642732982078366E-4</v>
      </c>
    </row>
    <row r="78" spans="1:6" s="13" customFormat="1" ht="26.25">
      <c r="A78" s="29" t="s">
        <v>78</v>
      </c>
      <c r="B78" s="23">
        <f>'LCTC BOS'!B78+Online!B78+BRCC!B78+BPCC!B78+Delgado!B78+Fletcher!B78+LDCC!B78+NorthshoreTCC!B78+Nunez!B78+RPCC!B78+SLCC!B78+Sowela!B78+LTC!B78</f>
        <v>31133942.5</v>
      </c>
      <c r="C78" s="23">
        <f>'LCTC BOS'!C78+Online!C78+BRCC!C78+BPCC!C78+Delgado!C78+Fletcher!C78+LDCC!C78+NorthshoreTCC!C78+Nunez!C78+RPCC!C78+SLCC!C78+Sowela!C78+LTC!C78</f>
        <v>32619961.5</v>
      </c>
      <c r="D78" s="23">
        <f>'LCTC BOS'!D78+Online!D78+BRCC!D78+BPCC!D78+Delgado!D78+Fletcher!D78+LDCC!D78+NorthshoreTCC!D78+Nunez!D78+RPCC!D78+SLCC!D78+Sowela!D78+LTC!D78</f>
        <v>31844722.949999999</v>
      </c>
      <c r="E78" s="28">
        <f t="shared" si="6"/>
        <v>-775238.55000000075</v>
      </c>
      <c r="F78" s="24">
        <f t="shared" si="7"/>
        <v>-2.3765771458681847E-2</v>
      </c>
    </row>
    <row r="79" spans="1:6" s="13" customFormat="1" ht="26.25">
      <c r="A79" s="29" t="s">
        <v>79</v>
      </c>
      <c r="B79" s="23">
        <f>'LCTC BOS'!B79+Online!B79+BRCC!B79+BPCC!B79+Delgado!B79+Fletcher!B79+LDCC!B79+NorthshoreTCC!B79+Nunez!B79+RPCC!B79+SLCC!B79+Sowela!B79+LTC!B79</f>
        <v>5997440</v>
      </c>
      <c r="C79" s="23">
        <f>'LCTC BOS'!C79+Online!C79+BRCC!C79+BPCC!C79+Delgado!C79+Fletcher!C79+LDCC!C79+NorthshoreTCC!C79+Nunez!C79+RPCC!C79+SLCC!C79+Sowela!C79+LTC!C79</f>
        <v>6823261</v>
      </c>
      <c r="D79" s="23">
        <f>'LCTC BOS'!D79+Online!D79+BRCC!D79+BPCC!D79+Delgado!D79+Fletcher!D79+LDCC!D79+NorthshoreTCC!D79+Nunez!D79+RPCC!D79+SLCC!D79+Sowela!D79+LTC!D79</f>
        <v>6743773.5499999998</v>
      </c>
      <c r="E79" s="28">
        <f t="shared" si="6"/>
        <v>-79487.450000000186</v>
      </c>
      <c r="F79" s="24">
        <f t="shared" si="7"/>
        <v>-1.1649481091226056E-2</v>
      </c>
    </row>
    <row r="80" spans="1:6" s="36" customFormat="1" ht="26.25">
      <c r="A80" s="32" t="s">
        <v>80</v>
      </c>
      <c r="B80" s="51">
        <f>SUM(B77:B79)</f>
        <v>37988241.5</v>
      </c>
      <c r="C80" s="51">
        <f>SUM(C77:C79)</f>
        <v>40700808.5</v>
      </c>
      <c r="D80" s="51">
        <f>SUM(D77:D79)</f>
        <v>39845093.5</v>
      </c>
      <c r="E80" s="34">
        <f t="shared" si="6"/>
        <v>-855715</v>
      </c>
      <c r="F80" s="35">
        <f t="shared" si="7"/>
        <v>-2.1024520925671537E-2</v>
      </c>
    </row>
    <row r="81" spans="1:6" s="13" customFormat="1" ht="26.25">
      <c r="A81" s="29" t="s">
        <v>81</v>
      </c>
      <c r="B81" s="23">
        <f>'LCTC BOS'!B81+Online!B81+BRCC!B81+BPCC!B81+Delgado!B81+Fletcher!B81+LDCC!B81+NorthshoreTCC!B81+Nunez!B81+RPCC!B81+SLCC!B81+Sowela!B81+LTC!B81</f>
        <v>3613922</v>
      </c>
      <c r="C81" s="23">
        <f>'LCTC BOS'!C81+Online!C81+BRCC!C81+BPCC!C81+Delgado!C81+Fletcher!C81+LDCC!C81+NorthshoreTCC!C81+Nunez!C81+RPCC!C81+SLCC!C81+Sowela!C81+LTC!C81</f>
        <v>3883258</v>
      </c>
      <c r="D81" s="23">
        <f>'LCTC BOS'!D81+Online!D81+BRCC!D81+BPCC!D81+Delgado!D81+Fletcher!D81+LDCC!D81+NorthshoreTCC!D81+Nunez!D81+RPCC!D81+SLCC!D81+Sowela!D81+LTC!D81</f>
        <v>3513131</v>
      </c>
      <c r="E81" s="28">
        <f t="shared" si="6"/>
        <v>-370127</v>
      </c>
      <c r="F81" s="24">
        <f t="shared" si="7"/>
        <v>-9.5313522820271016E-2</v>
      </c>
    </row>
    <row r="82" spans="1:6" s="13" customFormat="1" ht="26.25">
      <c r="A82" s="29" t="s">
        <v>82</v>
      </c>
      <c r="B82" s="23">
        <f>'LCTC BOS'!B82+Online!B82+BRCC!B82+BPCC!B82+Delgado!B82+Fletcher!B82+LDCC!B82+NorthshoreTCC!B82+Nunez!B82+RPCC!B82+SLCC!B82+Sowela!B82+LTC!B82</f>
        <v>30869228</v>
      </c>
      <c r="C82" s="23">
        <f>'LCTC BOS'!C82+Online!C82+BRCC!C82+BPCC!C82+Delgado!C82+Fletcher!C82+LDCC!C82+NorthshoreTCC!C82+Nunez!C82+RPCC!C82+SLCC!C82+Sowela!C82+LTC!C82</f>
        <v>33329238</v>
      </c>
      <c r="D82" s="23">
        <f>'LCTC BOS'!D82+Online!D82+BRCC!D82+BPCC!D82+Delgado!D82+Fletcher!D82+LDCC!D82+NorthshoreTCC!D82+Nunez!D82+RPCC!D82+SLCC!D82+Sowela!D82+LTC!D82</f>
        <v>24965742.449999999</v>
      </c>
      <c r="E82" s="28">
        <f t="shared" si="6"/>
        <v>-8363495.5500000007</v>
      </c>
      <c r="F82" s="24">
        <f t="shared" si="7"/>
        <v>-0.25093569645966707</v>
      </c>
    </row>
    <row r="83" spans="1:6" s="13" customFormat="1" ht="26.25">
      <c r="A83" s="29" t="s">
        <v>83</v>
      </c>
      <c r="B83" s="23">
        <f>'LCTC BOS'!B83+Online!B83+BRCC!B83+BPCC!B83+Delgado!B83+Fletcher!B83+LDCC!B83+NorthshoreTCC!B83+Nunez!B83+RPCC!B83+SLCC!B83+Sowela!B83+LTC!B83</f>
        <v>0</v>
      </c>
      <c r="C83" s="23">
        <f>'LCTC BOS'!C83+Online!C83+BRCC!C83+BPCC!C83+Delgado!C83+Fletcher!C83+LDCC!C83+NorthshoreTCC!C83+Nunez!C83+RPCC!C83+SLCC!C83+Sowela!C83+LTC!C83</f>
        <v>0</v>
      </c>
      <c r="D83" s="23">
        <f>'LCTC BOS'!D83+Online!D83+BRCC!D83+BPCC!D83+Delgado!D83+Fletcher!D83+LDCC!D83+NorthshoreTCC!D83+Nunez!D83+RPCC!D83+SLCC!D83+Sowela!D83+LTC!D83</f>
        <v>0</v>
      </c>
      <c r="E83" s="28">
        <f t="shared" si="6"/>
        <v>0</v>
      </c>
      <c r="F83" s="24">
        <f t="shared" si="7"/>
        <v>0</v>
      </c>
    </row>
    <row r="84" spans="1:6" s="13" customFormat="1" ht="26.25">
      <c r="A84" s="29" t="s">
        <v>84</v>
      </c>
      <c r="B84" s="23">
        <f>'LCTC BOS'!B84+Online!B84+BRCC!B84+BPCC!B84+Delgado!B84+Fletcher!B84+LDCC!B84+NorthshoreTCC!B84+Nunez!B84+RPCC!B84+SLCC!B84+Sowela!B84+LTC!B84</f>
        <v>4381061</v>
      </c>
      <c r="C84" s="23">
        <f>'LCTC BOS'!C84+Online!C84+BRCC!C84+BPCC!C84+Delgado!C84+Fletcher!C84+LDCC!C84+NorthshoreTCC!C84+Nunez!C84+RPCC!C84+SLCC!C84+Sowela!C84+LTC!C84</f>
        <v>5000034</v>
      </c>
      <c r="D84" s="23">
        <f>'LCTC BOS'!D84+Online!D84+BRCC!D84+BPCC!D84+Delgado!D84+Fletcher!D84+LDCC!D84+NorthshoreTCC!D84+Nunez!D84+RPCC!D84+SLCC!D84+Sowela!D84+LTC!D84</f>
        <v>4621053</v>
      </c>
      <c r="E84" s="28">
        <f t="shared" si="6"/>
        <v>-378981</v>
      </c>
      <c r="F84" s="24">
        <f t="shared" si="7"/>
        <v>-7.5795684589344797E-2</v>
      </c>
    </row>
    <row r="85" spans="1:6" s="36" customFormat="1" ht="26.25">
      <c r="A85" s="32" t="s">
        <v>85</v>
      </c>
      <c r="B85" s="264">
        <f>SUM(B81:B84)</f>
        <v>38864211</v>
      </c>
      <c r="C85" s="51">
        <f>SUM(C81:C84)</f>
        <v>42212530</v>
      </c>
      <c r="D85" s="51">
        <f>SUM(D81:D84)</f>
        <v>33099926.449999999</v>
      </c>
      <c r="E85" s="34">
        <f t="shared" si="6"/>
        <v>-9112603.5500000007</v>
      </c>
      <c r="F85" s="35">
        <f t="shared" si="7"/>
        <v>-0.21587437545202812</v>
      </c>
    </row>
    <row r="86" spans="1:6" s="13" customFormat="1" ht="26.25">
      <c r="A86" s="29" t="s">
        <v>86</v>
      </c>
      <c r="B86" s="23">
        <f>'LCTC BOS'!B86+Online!B86+BRCC!B86+BPCC!B86+Delgado!B86+Fletcher!B86+LDCC!B86+NorthshoreTCC!B86+Nunez!B86+RPCC!B86+SLCC!B86+Sowela!B86+LTC!B86</f>
        <v>4445164.5</v>
      </c>
      <c r="C86" s="23">
        <f>'LCTC BOS'!C86+Online!C86+BRCC!C86+BPCC!C86+Delgado!C86+Fletcher!C86+LDCC!C86+NorthshoreTCC!C86+Nunez!C86+RPCC!C86+SLCC!C86+Sowela!C86+LTC!C86</f>
        <v>5543915</v>
      </c>
      <c r="D86" s="23">
        <f>'LCTC BOS'!D86+Online!D86+BRCC!D86+BPCC!D86+Delgado!D86+Fletcher!D86+LDCC!D86+NorthshoreTCC!D86+Nunez!D86+RPCC!D86+SLCC!D86+Sowela!D86+LTC!D86</f>
        <v>4582956</v>
      </c>
      <c r="E86" s="28">
        <f t="shared" si="6"/>
        <v>-960959</v>
      </c>
      <c r="F86" s="24">
        <f t="shared" si="7"/>
        <v>-0.17333581052379049</v>
      </c>
    </row>
    <row r="87" spans="1:6" s="13" customFormat="1" ht="26.25">
      <c r="A87" s="29" t="s">
        <v>87</v>
      </c>
      <c r="B87" s="23">
        <f>'LCTC BOS'!B87+Online!B87+BRCC!B87+BPCC!B87+Delgado!B87+Fletcher!B87+LDCC!B87+NorthshoreTCC!B87+Nunez!B87+RPCC!B87+SLCC!B87+Sowela!B87+LTC!B87</f>
        <v>425768</v>
      </c>
      <c r="C87" s="23">
        <f>'LCTC BOS'!C87+Online!C87+BRCC!C87+BPCC!C87+Delgado!C87+Fletcher!C87+LDCC!C87+NorthshoreTCC!C87+Nunez!C87+RPCC!C87+SLCC!C87+Sowela!C87+LTC!C87</f>
        <v>496611</v>
      </c>
      <c r="D87" s="23">
        <f>'LCTC BOS'!D87+Online!D87+BRCC!D87+BPCC!D87+Delgado!D87+Fletcher!D87+LDCC!D87+NorthshoreTCC!D87+Nunez!D87+RPCC!D87+SLCC!D87+Sowela!D87+LTC!D87</f>
        <v>465700</v>
      </c>
      <c r="E87" s="28">
        <f t="shared" si="6"/>
        <v>-30911</v>
      </c>
      <c r="F87" s="24">
        <f t="shared" si="7"/>
        <v>-6.2243889080185501E-2</v>
      </c>
    </row>
    <row r="88" spans="1:6" s="13" customFormat="1" ht="26.25">
      <c r="A88" s="38" t="s">
        <v>88</v>
      </c>
      <c r="B88" s="23">
        <f>'LCTC BOS'!B88+Online!B88+BRCC!B88+BPCC!B88+Delgado!B88+Fletcher!B88+LDCC!B88+NorthshoreTCC!B88+Nunez!B88+RPCC!B88+SLCC!B88+Sowela!B88+LTC!B88</f>
        <v>1088502</v>
      </c>
      <c r="C88" s="23">
        <f>'LCTC BOS'!C88+Online!C88+BRCC!C88+BPCC!C88+Delgado!C88+Fletcher!C88+LDCC!C88+NorthshoreTCC!C88+Nunez!C88+RPCC!C88+SLCC!C88+Sowela!C88+LTC!C88</f>
        <v>670002</v>
      </c>
      <c r="D88" s="23">
        <f>'LCTC BOS'!D88+Online!D88+BRCC!D88+BPCC!D88+Delgado!D88+Fletcher!D88+LDCC!D88+NorthshoreTCC!D88+Nunez!D88+RPCC!D88+SLCC!D88+Sowela!D88+LTC!D88</f>
        <v>581700</v>
      </c>
      <c r="E88" s="28">
        <f t="shared" si="6"/>
        <v>-88302</v>
      </c>
      <c r="F88" s="24">
        <f t="shared" si="7"/>
        <v>-0.13179363643690617</v>
      </c>
    </row>
    <row r="89" spans="1:6" s="36" customFormat="1" ht="26.25">
      <c r="A89" s="52" t="s">
        <v>89</v>
      </c>
      <c r="B89" s="51">
        <f>SUM(B86:B88)</f>
        <v>5959434.5</v>
      </c>
      <c r="C89" s="51">
        <f>SUM(C86:C88)</f>
        <v>6710528</v>
      </c>
      <c r="D89" s="51">
        <f>SUM(D86:D88)</f>
        <v>5630356</v>
      </c>
      <c r="E89" s="51">
        <f t="shared" si="6"/>
        <v>-1080172</v>
      </c>
      <c r="F89" s="35">
        <f t="shared" si="7"/>
        <v>-0.16096676744363483</v>
      </c>
    </row>
    <row r="90" spans="1:6" s="13" customFormat="1" ht="26.25">
      <c r="A90" s="38" t="s">
        <v>90</v>
      </c>
      <c r="B90" s="23">
        <f>'LCTC BOS'!B90+Online!B90+BRCC!B90+BPCC!B90+Delgado!B90+Fletcher!B90+LDCC!B90+NorthshoreTCC!B90+Nunez!B90+RPCC!B90+SLCC!B90+Sowela!B90+LTC!B90</f>
        <v>0</v>
      </c>
      <c r="C90" s="23">
        <f>'LCTC BOS'!C90+Online!C90+BRCC!C90+BPCC!C90+Delgado!C90+Fletcher!C90+LDCC!C90+NorthshoreTCC!C90+Nunez!C90+RPCC!C90+SLCC!C90+Sowela!C90+LTC!C90</f>
        <v>0</v>
      </c>
      <c r="D90" s="23">
        <f>'LCTC BOS'!D90+Online!D90+BRCC!D90+BPCC!D90+Delgado!D90+Fletcher!D90+LDCC!D90+NorthshoreTCC!D90+Nunez!D90+RPCC!D90+SLCC!D90+Sowela!D90+LTC!D90</f>
        <v>0</v>
      </c>
      <c r="E90" s="28">
        <f t="shared" si="6"/>
        <v>0</v>
      </c>
      <c r="F90" s="24">
        <f t="shared" si="7"/>
        <v>0</v>
      </c>
    </row>
    <row r="91" spans="1:6" s="36" customFormat="1" ht="27" thickBot="1">
      <c r="A91" s="53" t="s">
        <v>71</v>
      </c>
      <c r="B91" s="54">
        <f>B89+B85+B80+B76+B90</f>
        <v>297449869.08999997</v>
      </c>
      <c r="C91" s="54">
        <f>C89+C85+C80+C76+C90</f>
        <v>307204539.5</v>
      </c>
      <c r="D91" s="55">
        <f>D89+D85+D80+D76+D90</f>
        <v>304858012.94999999</v>
      </c>
      <c r="E91" s="54">
        <f t="shared" si="6"/>
        <v>-2346526.5500000119</v>
      </c>
      <c r="F91" s="56">
        <f t="shared" si="7"/>
        <v>-7.6383199083554293E-3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3"/>
  <sheetViews>
    <sheetView topLeftCell="A58" zoomScale="50" zoomScaleNormal="50" workbookViewId="0">
      <selection activeCell="M46" sqref="M46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0.285156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4" t="s">
        <v>142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f>'2 Year'!B8+'4 Year'!B8</f>
        <v>710973008.05999994</v>
      </c>
      <c r="C8" s="23">
        <f>'2 Year'!C8+'4 Year'!C8</f>
        <v>710973010</v>
      </c>
      <c r="D8" s="23">
        <f>'2 Year'!D8+'4 Year'!D8</f>
        <v>696535819</v>
      </c>
      <c r="E8" s="23">
        <f t="shared" ref="E8:E28" si="0">D8-C8</f>
        <v>-14437191</v>
      </c>
      <c r="F8" s="24">
        <f t="shared" ref="F8:F28" si="1">IF(ISBLANK(E8),"  ",IF(C8&gt;0,E8/C8,IF(E8&gt;0,1,0)))</f>
        <v>-2.0306243411406012E-2</v>
      </c>
    </row>
    <row r="9" spans="1:6" s="13" customFormat="1" ht="26.25">
      <c r="A9" s="22" t="s">
        <v>17</v>
      </c>
      <c r="B9" s="23">
        <f>'2 Year'!B9+'4 Year'!B9</f>
        <v>0</v>
      </c>
      <c r="C9" s="23">
        <f>'2 Year'!C9+'4 Year'!C9</f>
        <v>0</v>
      </c>
      <c r="D9" s="23">
        <f>'2 Year'!D9+'4 Year'!D9</f>
        <v>0</v>
      </c>
      <c r="E9" s="23">
        <f t="shared" si="0"/>
        <v>0</v>
      </c>
      <c r="F9" s="24">
        <f t="shared" si="1"/>
        <v>0</v>
      </c>
    </row>
    <row r="10" spans="1:6" s="13" customFormat="1" ht="26.25">
      <c r="A10" s="25" t="s">
        <v>18</v>
      </c>
      <c r="B10" s="26">
        <f>SUM(B11:B28)</f>
        <v>41184707.770000003</v>
      </c>
      <c r="C10" s="26">
        <f>SUM(C11:C28)</f>
        <v>41830004</v>
      </c>
      <c r="D10" s="26">
        <f>SUM(D11:D28)</f>
        <v>39805593</v>
      </c>
      <c r="E10" s="26">
        <f t="shared" si="0"/>
        <v>-2024411</v>
      </c>
      <c r="F10" s="24">
        <f t="shared" si="1"/>
        <v>-4.8396146459847342E-2</v>
      </c>
    </row>
    <row r="11" spans="1:6" s="13" customFormat="1" ht="26.25">
      <c r="A11" s="27" t="s">
        <v>19</v>
      </c>
      <c r="B11" s="23">
        <f>'2 Year'!B11+'4 Year'!B11</f>
        <v>587639.57000000007</v>
      </c>
      <c r="C11" s="23">
        <f>'2 Year'!C11+'4 Year'!C11</f>
        <v>584009</v>
      </c>
      <c r="D11" s="23">
        <f>'2 Year'!D11+'4 Year'!D11</f>
        <v>0</v>
      </c>
      <c r="E11" s="26">
        <f t="shared" si="0"/>
        <v>-584009</v>
      </c>
      <c r="F11" s="24">
        <f t="shared" si="1"/>
        <v>-1</v>
      </c>
    </row>
    <row r="12" spans="1:6" s="13" customFormat="1" ht="26.25">
      <c r="A12" s="29" t="s">
        <v>20</v>
      </c>
      <c r="B12" s="23">
        <f>'2 Year'!B12+'4 Year'!B12</f>
        <v>32901426.200000003</v>
      </c>
      <c r="C12" s="23">
        <f>'2 Year'!C12+'4 Year'!C12</f>
        <v>33028240</v>
      </c>
      <c r="D12" s="23">
        <f>'2 Year'!D12+'4 Year'!D12</f>
        <v>33278808</v>
      </c>
      <c r="E12" s="26">
        <f t="shared" si="0"/>
        <v>250568</v>
      </c>
      <c r="F12" s="24">
        <f t="shared" si="1"/>
        <v>7.5864775113660314E-3</v>
      </c>
    </row>
    <row r="13" spans="1:6" s="13" customFormat="1" ht="26.25">
      <c r="A13" s="29" t="s">
        <v>21</v>
      </c>
      <c r="B13" s="23">
        <f>'2 Year'!B13+'4 Year'!B13</f>
        <v>0</v>
      </c>
      <c r="C13" s="23">
        <f>'2 Year'!C13+'4 Year'!C13</f>
        <v>0</v>
      </c>
      <c r="D13" s="23">
        <f>'2 Year'!D13+'4 Year'!D13</f>
        <v>0</v>
      </c>
      <c r="E13" s="26">
        <f t="shared" si="0"/>
        <v>0</v>
      </c>
      <c r="F13" s="24">
        <f t="shared" si="1"/>
        <v>0</v>
      </c>
    </row>
    <row r="14" spans="1:6" s="13" customFormat="1" ht="26.25">
      <c r="A14" s="29" t="s">
        <v>22</v>
      </c>
      <c r="B14" s="23">
        <f>'2 Year'!B14+'4 Year'!B14</f>
        <v>700805</v>
      </c>
      <c r="C14" s="23">
        <f>'2 Year'!C14+'4 Year'!C14</f>
        <v>700805</v>
      </c>
      <c r="D14" s="23">
        <f>'2 Year'!D14+'4 Year'!D14</f>
        <v>700805</v>
      </c>
      <c r="E14" s="26">
        <f t="shared" si="0"/>
        <v>0</v>
      </c>
      <c r="F14" s="24">
        <f t="shared" si="1"/>
        <v>0</v>
      </c>
    </row>
    <row r="15" spans="1:6" s="13" customFormat="1" ht="26.25">
      <c r="A15" s="29" t="s">
        <v>23</v>
      </c>
      <c r="B15" s="23">
        <f>'2 Year'!B15+'4 Year'!B15</f>
        <v>0</v>
      </c>
      <c r="C15" s="23">
        <f>'2 Year'!C15+'4 Year'!C15</f>
        <v>0</v>
      </c>
      <c r="D15" s="23">
        <f>'2 Year'!D15+'4 Year'!D15</f>
        <v>150000</v>
      </c>
      <c r="E15" s="26">
        <f t="shared" si="0"/>
        <v>150000</v>
      </c>
      <c r="F15" s="24">
        <f t="shared" si="1"/>
        <v>1</v>
      </c>
    </row>
    <row r="16" spans="1:6" s="13" customFormat="1" ht="26.25">
      <c r="A16" s="29" t="s">
        <v>24</v>
      </c>
      <c r="B16" s="23">
        <f>'2 Year'!B16+'4 Year'!B16</f>
        <v>50000</v>
      </c>
      <c r="C16" s="23">
        <f>'2 Year'!C16+'4 Year'!C16</f>
        <v>50000</v>
      </c>
      <c r="D16" s="23">
        <f>'2 Year'!D16+'4 Year'!D16</f>
        <v>50000</v>
      </c>
      <c r="E16" s="26">
        <f t="shared" si="0"/>
        <v>0</v>
      </c>
      <c r="F16" s="24">
        <f t="shared" si="1"/>
        <v>0</v>
      </c>
    </row>
    <row r="17" spans="1:6" s="13" customFormat="1" ht="26.25">
      <c r="A17" s="29" t="s">
        <v>25</v>
      </c>
      <c r="B17" s="23">
        <f>'2 Year'!B17+'4 Year'!B17</f>
        <v>0</v>
      </c>
      <c r="C17" s="23">
        <f>'2 Year'!C17+'4 Year'!C17</f>
        <v>0</v>
      </c>
      <c r="D17" s="23">
        <f>'2 Year'!D17+'4 Year'!D17</f>
        <v>0</v>
      </c>
      <c r="E17" s="26">
        <f t="shared" si="0"/>
        <v>0</v>
      </c>
      <c r="F17" s="24">
        <f t="shared" si="1"/>
        <v>0</v>
      </c>
    </row>
    <row r="18" spans="1:6" s="13" customFormat="1" ht="26.25">
      <c r="A18" s="29" t="s">
        <v>26</v>
      </c>
      <c r="B18" s="23">
        <f>'2 Year'!B18+'4 Year'!B18</f>
        <v>750000</v>
      </c>
      <c r="C18" s="23">
        <f>'2 Year'!C18+'4 Year'!C18</f>
        <v>750000</v>
      </c>
      <c r="D18" s="23">
        <f>'2 Year'!D18+'4 Year'!D18</f>
        <v>750000</v>
      </c>
      <c r="E18" s="26">
        <f t="shared" si="0"/>
        <v>0</v>
      </c>
      <c r="F18" s="24">
        <f t="shared" si="1"/>
        <v>0</v>
      </c>
    </row>
    <row r="19" spans="1:6" s="13" customFormat="1" ht="26.25">
      <c r="A19" s="29" t="s">
        <v>27</v>
      </c>
      <c r="B19" s="23">
        <f>'2 Year'!B19+'4 Year'!B19</f>
        <v>3001837</v>
      </c>
      <c r="C19" s="23">
        <f>'2 Year'!C19+'4 Year'!C19</f>
        <v>3523950</v>
      </c>
      <c r="D19" s="23">
        <f>'2 Year'!D19+'4 Year'!D19</f>
        <v>3200000</v>
      </c>
      <c r="E19" s="26">
        <f t="shared" si="0"/>
        <v>-323950</v>
      </c>
      <c r="F19" s="24">
        <f t="shared" si="1"/>
        <v>-9.1928092055789667E-2</v>
      </c>
    </row>
    <row r="20" spans="1:6" s="13" customFormat="1" ht="26.25">
      <c r="A20" s="29" t="s">
        <v>28</v>
      </c>
      <c r="B20" s="23">
        <f>'2 Year'!B20+'4 Year'!B20</f>
        <v>210000</v>
      </c>
      <c r="C20" s="23">
        <f>'2 Year'!C20+'4 Year'!C20</f>
        <v>210000</v>
      </c>
      <c r="D20" s="23">
        <f>'2 Year'!D20+'4 Year'!D20</f>
        <v>210000</v>
      </c>
      <c r="E20" s="26">
        <f t="shared" si="0"/>
        <v>0</v>
      </c>
      <c r="F20" s="24">
        <f t="shared" si="1"/>
        <v>0</v>
      </c>
    </row>
    <row r="21" spans="1:6" s="13" customFormat="1" ht="26.25">
      <c r="A21" s="29" t="s">
        <v>29</v>
      </c>
      <c r="B21" s="23">
        <f>'2 Year'!B21+'4 Year'!B21</f>
        <v>0</v>
      </c>
      <c r="C21" s="23">
        <f>'2 Year'!C21+'4 Year'!C21</f>
        <v>0</v>
      </c>
      <c r="D21" s="23">
        <f>'2 Year'!D21+'4 Year'!D21</f>
        <v>0</v>
      </c>
      <c r="E21" s="26">
        <f t="shared" si="0"/>
        <v>0</v>
      </c>
      <c r="F21" s="24">
        <f t="shared" si="1"/>
        <v>0</v>
      </c>
    </row>
    <row r="22" spans="1:6" s="13" customFormat="1" ht="26.25">
      <c r="A22" s="29" t="s">
        <v>30</v>
      </c>
      <c r="B22" s="23">
        <f>'2 Year'!B22+'4 Year'!B22</f>
        <v>0</v>
      </c>
      <c r="C22" s="23">
        <f>'2 Year'!C22+'4 Year'!C22</f>
        <v>0</v>
      </c>
      <c r="D22" s="23">
        <f>'2 Year'!D22+'4 Year'!D22</f>
        <v>0</v>
      </c>
      <c r="E22" s="26">
        <f t="shared" si="0"/>
        <v>0</v>
      </c>
      <c r="F22" s="24">
        <f t="shared" si="1"/>
        <v>0</v>
      </c>
    </row>
    <row r="23" spans="1:6" s="13" customFormat="1" ht="26.25">
      <c r="A23" s="30" t="s">
        <v>31</v>
      </c>
      <c r="B23" s="23">
        <f>'2 Year'!B23+'4 Year'!B23</f>
        <v>0</v>
      </c>
      <c r="C23" s="23">
        <f>'2 Year'!C23+'4 Year'!C23</f>
        <v>0</v>
      </c>
      <c r="D23" s="23">
        <f>'2 Year'!D23+'4 Year'!D23</f>
        <v>0</v>
      </c>
      <c r="E23" s="26">
        <f t="shared" si="0"/>
        <v>0</v>
      </c>
      <c r="F23" s="24">
        <f t="shared" si="1"/>
        <v>0</v>
      </c>
    </row>
    <row r="24" spans="1:6" s="13" customFormat="1" ht="26.25">
      <c r="A24" s="30" t="s">
        <v>32</v>
      </c>
      <c r="B24" s="23">
        <f>'2 Year'!B24+'4 Year'!B24</f>
        <v>0</v>
      </c>
      <c r="C24" s="23">
        <f>'2 Year'!C24+'4 Year'!C24</f>
        <v>0</v>
      </c>
      <c r="D24" s="23">
        <f>'2 Year'!D24+'4 Year'!D24</f>
        <v>0</v>
      </c>
      <c r="E24" s="26">
        <f t="shared" si="0"/>
        <v>0</v>
      </c>
      <c r="F24" s="24">
        <f t="shared" si="1"/>
        <v>0</v>
      </c>
    </row>
    <row r="25" spans="1:6" s="13" customFormat="1" ht="26.25">
      <c r="A25" s="30" t="s">
        <v>33</v>
      </c>
      <c r="B25" s="23">
        <f>'2 Year'!B25+'4 Year'!B25</f>
        <v>0</v>
      </c>
      <c r="C25" s="23">
        <f>'2 Year'!C25+'4 Year'!C25</f>
        <v>0</v>
      </c>
      <c r="D25" s="23">
        <f>'2 Year'!D25+'4 Year'!D25</f>
        <v>0</v>
      </c>
      <c r="E25" s="26">
        <f t="shared" si="0"/>
        <v>0</v>
      </c>
      <c r="F25" s="24">
        <f t="shared" si="1"/>
        <v>0</v>
      </c>
    </row>
    <row r="26" spans="1:6" s="13" customFormat="1" ht="26.25">
      <c r="A26" s="30" t="s">
        <v>34</v>
      </c>
      <c r="B26" s="23">
        <f>'2 Year'!B26+'4 Year'!B26</f>
        <v>0</v>
      </c>
      <c r="C26" s="23">
        <f>'2 Year'!C26+'4 Year'!C26</f>
        <v>0</v>
      </c>
      <c r="D26" s="23">
        <f>'2 Year'!D26+'4 Year'!D26</f>
        <v>1465980</v>
      </c>
      <c r="E26" s="26">
        <f t="shared" si="0"/>
        <v>1465980</v>
      </c>
      <c r="F26" s="24">
        <f t="shared" si="1"/>
        <v>1</v>
      </c>
    </row>
    <row r="27" spans="1:6" s="13" customFormat="1" ht="26.25">
      <c r="A27" s="30" t="s">
        <v>35</v>
      </c>
      <c r="B27" s="23">
        <f>'2 Year'!B27+'4 Year'!B27</f>
        <v>0</v>
      </c>
      <c r="C27" s="23">
        <f>'2 Year'!C27+'4 Year'!C27</f>
        <v>0</v>
      </c>
      <c r="D27" s="23">
        <f>'2 Year'!D27+'4 Year'!D27</f>
        <v>0</v>
      </c>
      <c r="E27" s="26">
        <f t="shared" si="0"/>
        <v>0</v>
      </c>
      <c r="F27" s="24">
        <f t="shared" si="1"/>
        <v>0</v>
      </c>
    </row>
    <row r="28" spans="1:6" s="13" customFormat="1" ht="26.25">
      <c r="A28" s="30" t="s">
        <v>36</v>
      </c>
      <c r="B28" s="23">
        <f>'2 Year'!B28+'4 Year'!B28</f>
        <v>2983000</v>
      </c>
      <c r="C28" s="23">
        <f>'2 Year'!C28+'4 Year'!C28</f>
        <v>2983000</v>
      </c>
      <c r="D28" s="23">
        <f>'2 Year'!D28+'4 Year'!D28</f>
        <v>0</v>
      </c>
      <c r="E28" s="26">
        <f t="shared" si="0"/>
        <v>-2983000</v>
      </c>
      <c r="F28" s="24">
        <f t="shared" si="1"/>
        <v>-1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f>'2 Year'!B30+'4 Year'!B30</f>
        <v>0</v>
      </c>
      <c r="C30" s="23">
        <f>'2 Year'!C30+'4 Year'!C30</f>
        <v>0</v>
      </c>
      <c r="D30" s="23">
        <f>'2 Year'!D30+'4 Year'!D30</f>
        <v>0</v>
      </c>
      <c r="E30" s="23">
        <f>D30-C30</f>
        <v>0</v>
      </c>
      <c r="F30" s="24">
        <f>IF(ISBLANK(E30),"  ",IF(C30&gt;0,E30/C30,IF(E30&gt;0,1,0)))</f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23">
        <f>'2 Year'!B32+'4 Year'!B32</f>
        <v>0</v>
      </c>
      <c r="C32" s="23">
        <f>'2 Year'!C32+'4 Year'!C32</f>
        <v>0</v>
      </c>
      <c r="D32" s="23">
        <f>'2 Year'!D32+'4 Year'!D32</f>
        <v>0</v>
      </c>
      <c r="E32" s="23">
        <f>D32-C32</f>
        <v>0</v>
      </c>
      <c r="F32" s="24">
        <f>IF(ISBLANK(E32),"  ",IF(C32&gt;0,E32/C32,IF(E32&gt;0,1,0)))</f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tr">
        <f>IF(ISBLANK(E33),"  ",IF(C33&gt;0,E33/C33,IF(E33&gt;0,1,0)))</f>
        <v xml:space="preserve">  </v>
      </c>
    </row>
    <row r="34" spans="1:10" s="36" customFormat="1" ht="26.25">
      <c r="A34" s="33" t="s">
        <v>42</v>
      </c>
      <c r="B34" s="34">
        <f>B33+B32+B30+B10+B9+B8</f>
        <v>752157715.82999992</v>
      </c>
      <c r="C34" s="34">
        <f>C33+C32+C30+C10+C9+C8</f>
        <v>752803014</v>
      </c>
      <c r="D34" s="34">
        <f>D33+D32+D30+D10+D9+D8</f>
        <v>736341412</v>
      </c>
      <c r="E34" s="34">
        <f>D34-C34</f>
        <v>-16461602</v>
      </c>
      <c r="F34" s="35">
        <f>IF(ISBLANK(E34),"  ",IF(C34&gt;0,E34/C34,IF(E34&gt;0,1,0)))</f>
        <v>-2.1867077700090078E-2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f>'2 Year'!B36+'4 Year'!B36</f>
        <v>0</v>
      </c>
      <c r="C36" s="23">
        <f>'2 Year'!C36+'4 Year'!C36</f>
        <v>0</v>
      </c>
      <c r="D36" s="23">
        <f>'2 Year'!D36+'4 Year'!D36</f>
        <v>0</v>
      </c>
      <c r="E36" s="23">
        <f t="shared" ref="E36:E41" si="2">D36-C36</f>
        <v>0</v>
      </c>
      <c r="F36" s="24">
        <f t="shared" ref="F36:F41" si="3">IF(ISBLANK(E36),"  ",IF(C36&gt;0,E36/C36,IF(E36&gt;0,1,0)))</f>
        <v>0</v>
      </c>
    </row>
    <row r="37" spans="1:10" s="13" customFormat="1" ht="26.25">
      <c r="A37" s="38" t="s">
        <v>45</v>
      </c>
      <c r="B37" s="23">
        <f>'2 Year'!B37+'4 Year'!B37</f>
        <v>0</v>
      </c>
      <c r="C37" s="23">
        <f>'2 Year'!C37+'4 Year'!C37</f>
        <v>0</v>
      </c>
      <c r="D37" s="23">
        <f>'2 Year'!D37+'4 Year'!D37</f>
        <v>0</v>
      </c>
      <c r="E37" s="26">
        <f t="shared" si="2"/>
        <v>0</v>
      </c>
      <c r="F37" s="24">
        <f t="shared" si="3"/>
        <v>0</v>
      </c>
    </row>
    <row r="38" spans="1:10" s="13" customFormat="1" ht="26.25">
      <c r="A38" s="38" t="s">
        <v>46</v>
      </c>
      <c r="B38" s="23">
        <f>'2 Year'!B38+'4 Year'!B38</f>
        <v>61579624</v>
      </c>
      <c r="C38" s="23">
        <f>'2 Year'!C38+'4 Year'!C38</f>
        <v>0</v>
      </c>
      <c r="D38" s="23">
        <f>'2 Year'!D38+'4 Year'!D38</f>
        <v>0</v>
      </c>
      <c r="E38" s="26">
        <f t="shared" si="2"/>
        <v>0</v>
      </c>
      <c r="F38" s="24">
        <f t="shared" si="3"/>
        <v>0</v>
      </c>
    </row>
    <row r="39" spans="1:10" s="13" customFormat="1" ht="26.25">
      <c r="A39" s="38" t="s">
        <v>47</v>
      </c>
      <c r="B39" s="23">
        <f>'2 Year'!B39+'4 Year'!B39</f>
        <v>0</v>
      </c>
      <c r="C39" s="23">
        <f>'2 Year'!C39+'4 Year'!C39</f>
        <v>0</v>
      </c>
      <c r="D39" s="23">
        <f>'2 Year'!D39+'4 Year'!D39</f>
        <v>0</v>
      </c>
      <c r="E39" s="26">
        <f t="shared" si="2"/>
        <v>0</v>
      </c>
      <c r="F39" s="24">
        <f t="shared" si="3"/>
        <v>0</v>
      </c>
    </row>
    <row r="40" spans="1:10" s="13" customFormat="1" ht="26.25">
      <c r="A40" s="39" t="s">
        <v>48</v>
      </c>
      <c r="B40" s="23">
        <f>'2 Year'!B40+'4 Year'!B40</f>
        <v>0</v>
      </c>
      <c r="C40" s="23">
        <f>'2 Year'!C40+'4 Year'!C40</f>
        <v>0</v>
      </c>
      <c r="D40" s="23">
        <f>'2 Year'!D40+'4 Year'!D40</f>
        <v>0</v>
      </c>
      <c r="E40" s="26">
        <f t="shared" si="2"/>
        <v>0</v>
      </c>
      <c r="F40" s="24">
        <f t="shared" si="3"/>
        <v>0</v>
      </c>
    </row>
    <row r="41" spans="1:10" s="36" customFormat="1" ht="26.25">
      <c r="A41" s="31" t="s">
        <v>49</v>
      </c>
      <c r="B41" s="40">
        <f>SUM(B36:B40)</f>
        <v>61579624</v>
      </c>
      <c r="C41" s="40">
        <f>SUM(C36:C40)</f>
        <v>0</v>
      </c>
      <c r="D41" s="40">
        <f>SUM(D36:D40)</f>
        <v>0</v>
      </c>
      <c r="E41" s="40">
        <f t="shared" si="2"/>
        <v>0</v>
      </c>
      <c r="F41" s="35">
        <f t="shared" si="3"/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42">
        <f>'2 Year'!B43+'4 Year'!B43</f>
        <v>8054234</v>
      </c>
      <c r="C43" s="42">
        <f>'2 Year'!C43+'4 Year'!C43</f>
        <v>8906097</v>
      </c>
      <c r="D43" s="42">
        <f>'2 Year'!D43+'4 Year'!D43</f>
        <v>8516917</v>
      </c>
      <c r="E43" s="42">
        <f>D43-C43</f>
        <v>-389180</v>
      </c>
      <c r="F43" s="35">
        <f>IF(ISBLANK(E43),"  ",IF(C43&gt;0,E43/C43,IF(E43&gt;0,1,0)))</f>
        <v>-4.369815419706298E-2</v>
      </c>
    </row>
    <row r="44" spans="1:10" s="13" customFormat="1" ht="26.25">
      <c r="A44" s="29" t="s">
        <v>50</v>
      </c>
      <c r="B44" s="34"/>
      <c r="C44" s="34"/>
      <c r="D44" s="34"/>
      <c r="E44" s="28"/>
      <c r="F44" s="20"/>
    </row>
    <row r="45" spans="1:10" s="36" customFormat="1" ht="26.25">
      <c r="A45" s="41" t="s">
        <v>52</v>
      </c>
      <c r="B45" s="42">
        <f>'2 Year'!B45+'4 Year'!B45</f>
        <v>238063646</v>
      </c>
      <c r="C45" s="42">
        <f>'2 Year'!C45+'4 Year'!C45</f>
        <v>238063646</v>
      </c>
      <c r="D45" s="42">
        <f>'2 Year'!D45+'4 Year'!D45</f>
        <v>0</v>
      </c>
      <c r="E45" s="42">
        <f>D45-C45</f>
        <v>-238063646</v>
      </c>
      <c r="F45" s="35">
        <f>IF(ISBLANK(E45),"  ",IF(C45&gt;0,E45/C45,IF(E45&gt;0,1,0)))</f>
        <v>-1</v>
      </c>
    </row>
    <row r="46" spans="1:10" s="13" customFormat="1" ht="26.25">
      <c r="A46" s="29" t="s">
        <v>50</v>
      </c>
      <c r="B46" s="34"/>
      <c r="C46" s="34"/>
      <c r="D46" s="34"/>
      <c r="E46" s="28"/>
      <c r="F46" s="20"/>
    </row>
    <row r="47" spans="1:10" s="36" customFormat="1" ht="26.25">
      <c r="A47" s="31" t="s">
        <v>53</v>
      </c>
      <c r="B47" s="42">
        <f>'2 Year'!B47+'4 Year'!B47</f>
        <v>791047326.63</v>
      </c>
      <c r="C47" s="42">
        <f>'2 Year'!C47+'4 Year'!C47</f>
        <v>729352104</v>
      </c>
      <c r="D47" s="42">
        <f>'2 Year'!D47+'4 Year'!D47</f>
        <v>979468501</v>
      </c>
      <c r="E47" s="40">
        <f>D47-C47</f>
        <v>250116397</v>
      </c>
      <c r="F47" s="35">
        <f>IF(ISBLANK(E47),"  ",IF(C47&gt;0,E47/C47,IF(E47&gt;0,1,0)))</f>
        <v>0.34292956122054319</v>
      </c>
    </row>
    <row r="48" spans="1:10" s="13" customFormat="1" ht="26.25">
      <c r="A48" s="29" t="s">
        <v>50</v>
      </c>
      <c r="B48" s="34"/>
      <c r="C48" s="34"/>
      <c r="D48" s="34"/>
      <c r="E48" s="28"/>
      <c r="F48" s="20"/>
    </row>
    <row r="49" spans="1:13" s="36" customFormat="1" ht="26.25">
      <c r="A49" s="43" t="s">
        <v>54</v>
      </c>
      <c r="B49" s="42">
        <f>'2 Year'!B49+'4 Year'!B49</f>
        <v>0</v>
      </c>
      <c r="C49" s="42">
        <f>'2 Year'!C49+'4 Year'!C49</f>
        <v>0</v>
      </c>
      <c r="D49" s="42">
        <f>'2 Year'!D49+'4 Year'!D49</f>
        <v>0</v>
      </c>
      <c r="E49" s="44">
        <f>D49-C49</f>
        <v>0</v>
      </c>
      <c r="F49" s="35">
        <f>IF(ISBLANK(E49),"  ",IF(C49&gt;0,E49/C49,IF(E49&gt;0,1,0)))</f>
        <v>0</v>
      </c>
      <c r="M49" s="36" t="s">
        <v>50</v>
      </c>
    </row>
    <row r="50" spans="1:13" s="13" customFormat="1" ht="26.25">
      <c r="A50" s="31"/>
      <c r="B50" s="40"/>
      <c r="C50" s="40"/>
      <c r="D50" s="40"/>
      <c r="E50" s="19"/>
      <c r="F50" s="45"/>
    </row>
    <row r="51" spans="1:13" s="36" customFormat="1" ht="26.25">
      <c r="A51" s="31" t="s">
        <v>55</v>
      </c>
      <c r="B51" s="42">
        <f>'2 Year'!B51+'4 Year'!B51</f>
        <v>10000</v>
      </c>
      <c r="C51" s="42">
        <f>'2 Year'!C51+'4 Year'!C51</f>
        <v>10000</v>
      </c>
      <c r="D51" s="42">
        <f>'2 Year'!D51+'4 Year'!D51</f>
        <v>0</v>
      </c>
      <c r="E51" s="44">
        <f>D51-C51</f>
        <v>-10000</v>
      </c>
      <c r="F51" s="35">
        <f>IF(ISBLANK(E51),"  ",IF(C51&gt;0,E51/C51,IF(E51&gt;0,1,0)))</f>
        <v>-1</v>
      </c>
    </row>
    <row r="52" spans="1:13" s="13" customFormat="1" ht="26.25">
      <c r="A52" s="29"/>
      <c r="B52" s="28"/>
      <c r="C52" s="34"/>
      <c r="D52" s="34"/>
      <c r="E52" s="28"/>
      <c r="F52" s="20"/>
    </row>
    <row r="53" spans="1:13" s="36" customFormat="1" ht="26.25">
      <c r="A53" s="46" t="s">
        <v>56</v>
      </c>
      <c r="B53" s="40">
        <f>B49+B47+B45+B43+B34-B41</f>
        <v>1727743298.46</v>
      </c>
      <c r="C53" s="40">
        <f>C49+C47+C45+C43+C34-C41</f>
        <v>1729124861</v>
      </c>
      <c r="D53" s="42">
        <f>D49+D47+D45+D43+D34-D41</f>
        <v>1724326830</v>
      </c>
      <c r="E53" s="40">
        <f>D53-C53</f>
        <v>-4798031</v>
      </c>
      <c r="F53" s="35">
        <f>IF(ISBLANK(E53),"  ",IF(C53&gt;0,E53/C53,IF(E53&gt;0,1,0)))</f>
        <v>-2.7748320021407638E-3</v>
      </c>
    </row>
    <row r="54" spans="1:13" s="13" customFormat="1" ht="26.25">
      <c r="A54" s="47"/>
      <c r="B54" s="28"/>
      <c r="C54" s="34"/>
      <c r="D54" s="34"/>
      <c r="E54" s="28"/>
      <c r="F54" s="20" t="s">
        <v>50</v>
      </c>
    </row>
    <row r="55" spans="1:13" s="13" customFormat="1" ht="26.25">
      <c r="A55" s="48"/>
      <c r="B55" s="19"/>
      <c r="C55" s="40"/>
      <c r="D55" s="40"/>
      <c r="E55" s="19"/>
      <c r="F55" s="21" t="s">
        <v>50</v>
      </c>
    </row>
    <row r="56" spans="1:13" s="13" customFormat="1" ht="26.25">
      <c r="A56" s="46" t="s">
        <v>57</v>
      </c>
      <c r="B56" s="19"/>
      <c r="C56" s="40"/>
      <c r="D56" s="40"/>
      <c r="E56" s="19"/>
      <c r="F56" s="21"/>
    </row>
    <row r="57" spans="1:13" s="13" customFormat="1" ht="26.25">
      <c r="A57" s="27" t="s">
        <v>58</v>
      </c>
      <c r="B57" s="23">
        <f>'2 Year'!B57+'4 Year'!B57</f>
        <v>734472788.1500001</v>
      </c>
      <c r="C57" s="23">
        <f>'2 Year'!C57+'4 Year'!C57</f>
        <v>765118229.68000007</v>
      </c>
      <c r="D57" s="23">
        <f>'2 Year'!D57+'4 Year'!D57</f>
        <v>763560192.95000005</v>
      </c>
      <c r="E57" s="19">
        <f t="shared" ref="E57:E70" si="4">D57-C57</f>
        <v>-1558036.7300000191</v>
      </c>
      <c r="F57" s="24">
        <f t="shared" ref="F57:F70" si="5">IF(ISBLANK(E57),"  ",IF(C57&gt;0,E57/C57,IF(E57&gt;0,1,0)))</f>
        <v>-2.0363346075960654E-3</v>
      </c>
    </row>
    <row r="58" spans="1:13" s="13" customFormat="1" ht="26.25">
      <c r="A58" s="29" t="s">
        <v>59</v>
      </c>
      <c r="B58" s="23">
        <f>'2 Year'!B58+'4 Year'!B58</f>
        <v>98738444.300000012</v>
      </c>
      <c r="C58" s="23">
        <f>'2 Year'!C58+'4 Year'!C58</f>
        <v>100060361</v>
      </c>
      <c r="D58" s="23">
        <f>'2 Year'!D58+'4 Year'!D58</f>
        <v>99202290.599999994</v>
      </c>
      <c r="E58" s="28">
        <f t="shared" si="4"/>
        <v>-858070.40000000596</v>
      </c>
      <c r="F58" s="24">
        <f t="shared" si="5"/>
        <v>-8.575527725709544E-3</v>
      </c>
    </row>
    <row r="59" spans="1:13" s="13" customFormat="1" ht="26.25">
      <c r="A59" s="29" t="s">
        <v>60</v>
      </c>
      <c r="B59" s="23">
        <f>'2 Year'!B59+'4 Year'!B59</f>
        <v>13707766.609999999</v>
      </c>
      <c r="C59" s="23">
        <f>'2 Year'!C59+'4 Year'!C59</f>
        <v>12279388</v>
      </c>
      <c r="D59" s="23">
        <f>'2 Year'!D59+'4 Year'!D59</f>
        <v>11835634</v>
      </c>
      <c r="E59" s="28">
        <f t="shared" si="4"/>
        <v>-443754</v>
      </c>
      <c r="F59" s="24">
        <f t="shared" si="5"/>
        <v>-3.6138120238565635E-2</v>
      </c>
    </row>
    <row r="60" spans="1:13" s="13" customFormat="1" ht="26.25">
      <c r="A60" s="29" t="s">
        <v>61</v>
      </c>
      <c r="B60" s="23">
        <f>'2 Year'!B60+'4 Year'!B60</f>
        <v>169609120.47</v>
      </c>
      <c r="C60" s="23">
        <f>'2 Year'!C60+'4 Year'!C60</f>
        <v>171808673</v>
      </c>
      <c r="D60" s="23">
        <f>'2 Year'!D60+'4 Year'!D60</f>
        <v>168031840</v>
      </c>
      <c r="E60" s="28">
        <f t="shared" si="4"/>
        <v>-3776833</v>
      </c>
      <c r="F60" s="24">
        <f t="shared" si="5"/>
        <v>-2.1982784303327924E-2</v>
      </c>
    </row>
    <row r="61" spans="1:13" s="13" customFormat="1" ht="26.25">
      <c r="A61" s="29" t="s">
        <v>62</v>
      </c>
      <c r="B61" s="23">
        <f>'2 Year'!B61+'4 Year'!B61</f>
        <v>83428720.289999992</v>
      </c>
      <c r="C61" s="23">
        <f>'2 Year'!C61+'4 Year'!C61</f>
        <v>82840634</v>
      </c>
      <c r="D61" s="23">
        <f>'2 Year'!D61+'4 Year'!D61</f>
        <v>83336069</v>
      </c>
      <c r="E61" s="28">
        <f t="shared" si="4"/>
        <v>495435</v>
      </c>
      <c r="F61" s="24">
        <f t="shared" si="5"/>
        <v>5.9805795305719169E-3</v>
      </c>
    </row>
    <row r="62" spans="1:13" s="13" customFormat="1" ht="26.25">
      <c r="A62" s="29" t="s">
        <v>63</v>
      </c>
      <c r="B62" s="23">
        <f>'2 Year'!B62+'4 Year'!B62</f>
        <v>213829248.52999997</v>
      </c>
      <c r="C62" s="23">
        <f>'2 Year'!C62+'4 Year'!C62</f>
        <v>209785221.94</v>
      </c>
      <c r="D62" s="23">
        <f>'2 Year'!D62+'4 Year'!D62</f>
        <v>213784530.94999999</v>
      </c>
      <c r="E62" s="28">
        <f t="shared" si="4"/>
        <v>3999309.0099999905</v>
      </c>
      <c r="F62" s="24">
        <f t="shared" si="5"/>
        <v>1.9063826198128579E-2</v>
      </c>
    </row>
    <row r="63" spans="1:13" s="13" customFormat="1" ht="26.25">
      <c r="A63" s="29" t="s">
        <v>64</v>
      </c>
      <c r="B63" s="23">
        <f>'2 Year'!B63+'4 Year'!B63</f>
        <v>128591787.83999999</v>
      </c>
      <c r="C63" s="23">
        <f>'2 Year'!C63+'4 Year'!C63</f>
        <v>130638500</v>
      </c>
      <c r="D63" s="23">
        <f>'2 Year'!D63+'4 Year'!D63</f>
        <v>140452480</v>
      </c>
      <c r="E63" s="28">
        <f t="shared" si="4"/>
        <v>9813980</v>
      </c>
      <c r="F63" s="24">
        <f t="shared" si="5"/>
        <v>7.5123183441328553E-2</v>
      </c>
    </row>
    <row r="64" spans="1:13" s="13" customFormat="1" ht="26.25">
      <c r="A64" s="29" t="s">
        <v>65</v>
      </c>
      <c r="B64" s="23">
        <f>'2 Year'!B64+'4 Year'!B64</f>
        <v>213258744.83999997</v>
      </c>
      <c r="C64" s="23">
        <f>'2 Year'!C64+'4 Year'!C64</f>
        <v>207176683.74000001</v>
      </c>
      <c r="D64" s="23">
        <f>'2 Year'!D64+'4 Year'!D64</f>
        <v>201985188.44999999</v>
      </c>
      <c r="E64" s="28">
        <f t="shared" si="4"/>
        <v>-5191495.2900000215</v>
      </c>
      <c r="F64" s="24">
        <f t="shared" si="5"/>
        <v>-2.5058299014551168E-2</v>
      </c>
    </row>
    <row r="65" spans="1:6" s="36" customFormat="1" ht="26.25">
      <c r="A65" s="49" t="s">
        <v>66</v>
      </c>
      <c r="B65" s="264">
        <f>SUM(B57:B64)</f>
        <v>1655636621.03</v>
      </c>
      <c r="C65" s="51">
        <f>SUM(C57:C64)</f>
        <v>1679707691.3600001</v>
      </c>
      <c r="D65" s="51">
        <f>SUM(D57:D64)</f>
        <v>1682188225.9500003</v>
      </c>
      <c r="E65" s="34">
        <f t="shared" si="4"/>
        <v>2480534.5900001526</v>
      </c>
      <c r="F65" s="35">
        <f t="shared" si="5"/>
        <v>1.4767656317580776E-3</v>
      </c>
    </row>
    <row r="66" spans="1:6" s="13" customFormat="1" ht="26.25">
      <c r="A66" s="29" t="s">
        <v>67</v>
      </c>
      <c r="B66" s="23">
        <f>'2 Year'!B66+'4 Year'!B66</f>
        <v>0</v>
      </c>
      <c r="C66" s="23">
        <f>'2 Year'!C66+'4 Year'!C66</f>
        <v>0</v>
      </c>
      <c r="D66" s="23">
        <f>'2 Year'!D66+'4 Year'!D66</f>
        <v>0</v>
      </c>
      <c r="E66" s="28">
        <f t="shared" si="4"/>
        <v>0</v>
      </c>
      <c r="F66" s="24">
        <f t="shared" si="5"/>
        <v>0</v>
      </c>
    </row>
    <row r="67" spans="1:6" s="13" customFormat="1" ht="26.25">
      <c r="A67" s="29" t="s">
        <v>68</v>
      </c>
      <c r="B67" s="23">
        <f>'2 Year'!B67+'4 Year'!B67</f>
        <v>9803840.7799999993</v>
      </c>
      <c r="C67" s="23">
        <f>'2 Year'!C67+'4 Year'!C67</f>
        <v>9331859</v>
      </c>
      <c r="D67" s="23">
        <f>'2 Year'!D67+'4 Year'!D67</f>
        <v>11059233.84</v>
      </c>
      <c r="E67" s="28">
        <f t="shared" si="4"/>
        <v>1727374.8399999999</v>
      </c>
      <c r="F67" s="24">
        <f t="shared" si="5"/>
        <v>0.18510511571167115</v>
      </c>
    </row>
    <row r="68" spans="1:6" s="13" customFormat="1" ht="26.25">
      <c r="A68" s="29" t="s">
        <v>69</v>
      </c>
      <c r="B68" s="23">
        <f>'2 Year'!B68+'4 Year'!B68</f>
        <v>38196642.899999999</v>
      </c>
      <c r="C68" s="23">
        <f>'2 Year'!C68+'4 Year'!C68</f>
        <v>34989863</v>
      </c>
      <c r="D68" s="23">
        <f>'2 Year'!D68+'4 Year'!D68</f>
        <v>30272768</v>
      </c>
      <c r="E68" s="28">
        <f t="shared" si="4"/>
        <v>-4717095</v>
      </c>
      <c r="F68" s="24">
        <f t="shared" si="5"/>
        <v>-0.13481318860836922</v>
      </c>
    </row>
    <row r="69" spans="1:6" s="13" customFormat="1" ht="26.25">
      <c r="A69" s="29" t="s">
        <v>70</v>
      </c>
      <c r="B69" s="23">
        <f>'2 Year'!B69+'4 Year'!B69</f>
        <v>850737.5</v>
      </c>
      <c r="C69" s="23">
        <f>'2 Year'!C69+'4 Year'!C69</f>
        <v>881604</v>
      </c>
      <c r="D69" s="23">
        <f>'2 Year'!D69+'4 Year'!D69</f>
        <v>806604</v>
      </c>
      <c r="E69" s="28">
        <f t="shared" si="4"/>
        <v>-75000</v>
      </c>
      <c r="F69" s="24">
        <f t="shared" si="5"/>
        <v>-8.5072209291246412E-2</v>
      </c>
    </row>
    <row r="70" spans="1:6" s="36" customFormat="1" ht="26.25">
      <c r="A70" s="50" t="s">
        <v>71</v>
      </c>
      <c r="B70" s="51">
        <f>B69+B68+B67+B66+B65</f>
        <v>1704487842.21</v>
      </c>
      <c r="C70" s="51">
        <f>C69+C68+C67+C66+C65</f>
        <v>1724911017.3600001</v>
      </c>
      <c r="D70" s="51">
        <f>D69+D68+D67+D66+D65</f>
        <v>1724326831.7900002</v>
      </c>
      <c r="E70" s="51">
        <f t="shared" si="4"/>
        <v>-584185.56999993324</v>
      </c>
      <c r="F70" s="35">
        <f t="shared" si="5"/>
        <v>-3.3867577174736657E-4</v>
      </c>
    </row>
    <row r="71" spans="1:6" s="13" customFormat="1" ht="26.25">
      <c r="A71" s="48"/>
      <c r="B71" s="19"/>
      <c r="C71" s="40"/>
      <c r="D71" s="40"/>
      <c r="E71" s="19"/>
      <c r="F71" s="21"/>
    </row>
    <row r="72" spans="1:6" s="13" customFormat="1" ht="26.25">
      <c r="A72" s="46" t="s">
        <v>72</v>
      </c>
      <c r="B72" s="19"/>
      <c r="C72" s="40"/>
      <c r="D72" s="40"/>
      <c r="E72" s="19"/>
      <c r="F72" s="21"/>
    </row>
    <row r="73" spans="1:6" s="13" customFormat="1" ht="26.25">
      <c r="A73" s="27" t="s">
        <v>73</v>
      </c>
      <c r="B73" s="23">
        <f>'2 Year'!B73+'4 Year'!B73</f>
        <v>885673904.07000005</v>
      </c>
      <c r="C73" s="23">
        <f>'2 Year'!C73+'4 Year'!C73</f>
        <v>903966969.5</v>
      </c>
      <c r="D73" s="23">
        <f>'2 Year'!D73+'4 Year'!D73</f>
        <v>888901507</v>
      </c>
      <c r="E73" s="19">
        <f t="shared" ref="E73:E91" si="6">D73-C73</f>
        <v>-15065462.5</v>
      </c>
      <c r="F73" s="24">
        <f t="shared" ref="F73:F91" si="7">IF(ISBLANK(E73),"  ",IF(C73&gt;0,E73/C73,IF(E73&gt;0,1,0)))</f>
        <v>-1.6665943566868346E-2</v>
      </c>
    </row>
    <row r="74" spans="1:6" s="13" customFormat="1" ht="26.25">
      <c r="A74" s="29" t="s">
        <v>74</v>
      </c>
      <c r="B74" s="23">
        <f>'2 Year'!B74+'4 Year'!B74</f>
        <v>46592736.930000007</v>
      </c>
      <c r="C74" s="23">
        <f>'2 Year'!C74+'4 Year'!C74</f>
        <v>43749416.5</v>
      </c>
      <c r="D74" s="23">
        <f>'2 Year'!D74+'4 Year'!D74</f>
        <v>43880212</v>
      </c>
      <c r="E74" s="28">
        <f t="shared" si="6"/>
        <v>130795.5</v>
      </c>
      <c r="F74" s="24">
        <f t="shared" si="7"/>
        <v>2.989651301977936E-3</v>
      </c>
    </row>
    <row r="75" spans="1:6" s="13" customFormat="1" ht="26.25">
      <c r="A75" s="29" t="s">
        <v>75</v>
      </c>
      <c r="B75" s="23">
        <f>'2 Year'!B75+'4 Year'!B75</f>
        <v>305280721.98000002</v>
      </c>
      <c r="C75" s="23">
        <f>'2 Year'!C75+'4 Year'!C75</f>
        <v>311836062.86000001</v>
      </c>
      <c r="D75" s="23">
        <f>'2 Year'!D75+'4 Year'!D75</f>
        <v>341471159</v>
      </c>
      <c r="E75" s="28">
        <f t="shared" si="6"/>
        <v>29635096.139999986</v>
      </c>
      <c r="F75" s="24">
        <f t="shared" si="7"/>
        <v>9.5034217236461119E-2</v>
      </c>
    </row>
    <row r="76" spans="1:6" s="36" customFormat="1" ht="26.25">
      <c r="A76" s="49" t="s">
        <v>76</v>
      </c>
      <c r="B76" s="51">
        <f>SUM(B73:B75)</f>
        <v>1237547362.98</v>
      </c>
      <c r="C76" s="51">
        <f>SUM(C73:C75)</f>
        <v>1259552448.8600001</v>
      </c>
      <c r="D76" s="51">
        <f>SUM(D73:D75)</f>
        <v>1274252878</v>
      </c>
      <c r="E76" s="34">
        <f t="shared" si="6"/>
        <v>14700429.139999866</v>
      </c>
      <c r="F76" s="35">
        <f t="shared" si="7"/>
        <v>1.1671152839490708E-2</v>
      </c>
    </row>
    <row r="77" spans="1:6" s="13" customFormat="1" ht="26.25">
      <c r="A77" s="29" t="s">
        <v>77</v>
      </c>
      <c r="B77" s="23">
        <f>'2 Year'!B77+'4 Year'!B77</f>
        <v>6963319.6799999988</v>
      </c>
      <c r="C77" s="23">
        <f>'2 Year'!C77+'4 Year'!C77</f>
        <v>7523751</v>
      </c>
      <c r="D77" s="23">
        <f>'2 Year'!D77+'4 Year'!D77</f>
        <v>8015102</v>
      </c>
      <c r="E77" s="28">
        <f t="shared" si="6"/>
        <v>491351</v>
      </c>
      <c r="F77" s="24">
        <f t="shared" si="7"/>
        <v>6.5306653556184938E-2</v>
      </c>
    </row>
    <row r="78" spans="1:6" s="13" customFormat="1" ht="26.25">
      <c r="A78" s="29" t="s">
        <v>78</v>
      </c>
      <c r="B78" s="23">
        <f>'2 Year'!B78+'4 Year'!B78</f>
        <v>133685444.12</v>
      </c>
      <c r="C78" s="23">
        <f>'2 Year'!C78+'4 Year'!C78</f>
        <v>138323691.5</v>
      </c>
      <c r="D78" s="23">
        <f>'2 Year'!D78+'4 Year'!D78</f>
        <v>135952018.94999999</v>
      </c>
      <c r="E78" s="28">
        <f t="shared" si="6"/>
        <v>-2371672.5500000119</v>
      </c>
      <c r="F78" s="24">
        <f t="shared" si="7"/>
        <v>-1.714581590674228E-2</v>
      </c>
    </row>
    <row r="79" spans="1:6" s="13" customFormat="1" ht="26.25">
      <c r="A79" s="29" t="s">
        <v>79</v>
      </c>
      <c r="B79" s="23">
        <f>'2 Year'!B79+'4 Year'!B79</f>
        <v>39583861.189999998</v>
      </c>
      <c r="C79" s="23">
        <f>'2 Year'!C79+'4 Year'!C79</f>
        <v>37300698</v>
      </c>
      <c r="D79" s="23">
        <f>'2 Year'!D79+'4 Year'!D79</f>
        <v>34935259.549999997</v>
      </c>
      <c r="E79" s="28">
        <f t="shared" si="6"/>
        <v>-2365438.450000003</v>
      </c>
      <c r="F79" s="24">
        <f t="shared" si="7"/>
        <v>-6.3415393728020936E-2</v>
      </c>
    </row>
    <row r="80" spans="1:6" s="36" customFormat="1" ht="26.25">
      <c r="A80" s="32" t="s">
        <v>80</v>
      </c>
      <c r="B80" s="51">
        <f>SUM(B77:B79)</f>
        <v>180232624.99000001</v>
      </c>
      <c r="C80" s="51">
        <f>SUM(C77:C79)</f>
        <v>183148140.5</v>
      </c>
      <c r="D80" s="51">
        <f>SUM(D77:D79)</f>
        <v>178902380.5</v>
      </c>
      <c r="E80" s="34">
        <f t="shared" si="6"/>
        <v>-4245760</v>
      </c>
      <c r="F80" s="35">
        <f t="shared" si="7"/>
        <v>-2.3182108147038489E-2</v>
      </c>
    </row>
    <row r="81" spans="1:6" s="13" customFormat="1" ht="26.25">
      <c r="A81" s="29" t="s">
        <v>81</v>
      </c>
      <c r="B81" s="23">
        <f>'2 Year'!B81+'4 Year'!B81</f>
        <v>14260703.700000001</v>
      </c>
      <c r="C81" s="23">
        <f>'2 Year'!C81+'4 Year'!C81</f>
        <v>12149779</v>
      </c>
      <c r="D81" s="23">
        <f>'2 Year'!D81+'4 Year'!D81</f>
        <v>11669046</v>
      </c>
      <c r="E81" s="28">
        <f t="shared" si="6"/>
        <v>-480733</v>
      </c>
      <c r="F81" s="24">
        <f t="shared" si="7"/>
        <v>-3.9567221757696169E-2</v>
      </c>
    </row>
    <row r="82" spans="1:6" s="13" customFormat="1" ht="26.25">
      <c r="A82" s="29" t="s">
        <v>82</v>
      </c>
      <c r="B82" s="23">
        <f>'2 Year'!B82+'4 Year'!B82</f>
        <v>203933136.49000001</v>
      </c>
      <c r="C82" s="23">
        <f>'2 Year'!C82+'4 Year'!C82</f>
        <v>198443169</v>
      </c>
      <c r="D82" s="23">
        <f>'2 Year'!D82+'4 Year'!D82</f>
        <v>202041034.44999999</v>
      </c>
      <c r="E82" s="28">
        <f t="shared" si="6"/>
        <v>3597865.4499999881</v>
      </c>
      <c r="F82" s="24">
        <f t="shared" si="7"/>
        <v>1.8130457541725653E-2</v>
      </c>
    </row>
    <row r="83" spans="1:6" s="13" customFormat="1" ht="26.25">
      <c r="A83" s="29" t="s">
        <v>83</v>
      </c>
      <c r="B83" s="23">
        <f>'2 Year'!B83+'4 Year'!B83</f>
        <v>0</v>
      </c>
      <c r="C83" s="23">
        <f>'2 Year'!C83+'4 Year'!C83</f>
        <v>75542</v>
      </c>
      <c r="D83" s="23">
        <f>'2 Year'!D83+'4 Year'!D83</f>
        <v>75542</v>
      </c>
      <c r="E83" s="28">
        <f t="shared" si="6"/>
        <v>0</v>
      </c>
      <c r="F83" s="24">
        <f t="shared" si="7"/>
        <v>0</v>
      </c>
    </row>
    <row r="84" spans="1:6" s="13" customFormat="1" ht="26.25">
      <c r="A84" s="29" t="s">
        <v>84</v>
      </c>
      <c r="B84" s="23">
        <f>'2 Year'!B84+'4 Year'!B84</f>
        <v>28744803.780000001</v>
      </c>
      <c r="C84" s="23">
        <f>'2 Year'!C84+'4 Year'!C84</f>
        <v>28484428</v>
      </c>
      <c r="D84" s="23">
        <f>'2 Year'!D84+'4 Year'!D84</f>
        <v>26634486.84</v>
      </c>
      <c r="E84" s="28">
        <f t="shared" si="6"/>
        <v>-1849941.1600000001</v>
      </c>
      <c r="F84" s="24">
        <f t="shared" si="7"/>
        <v>-6.4945701560164742E-2</v>
      </c>
    </row>
    <row r="85" spans="1:6" s="36" customFormat="1" ht="26.25">
      <c r="A85" s="32" t="s">
        <v>85</v>
      </c>
      <c r="B85" s="264">
        <f>SUM(B81:B84)</f>
        <v>246938643.97</v>
      </c>
      <c r="C85" s="51">
        <f>SUM(C81:C84)</f>
        <v>239152918</v>
      </c>
      <c r="D85" s="51">
        <f>SUM(D81:D84)</f>
        <v>240420109.28999999</v>
      </c>
      <c r="E85" s="34">
        <f t="shared" si="6"/>
        <v>1267191.2899999917</v>
      </c>
      <c r="F85" s="35">
        <f t="shared" si="7"/>
        <v>5.2986653919898721E-3</v>
      </c>
    </row>
    <row r="86" spans="1:6" s="13" customFormat="1" ht="26.25">
      <c r="A86" s="29" t="s">
        <v>86</v>
      </c>
      <c r="B86" s="23">
        <f>'2 Year'!B86+'4 Year'!B86</f>
        <v>21128413.129999999</v>
      </c>
      <c r="C86" s="23">
        <f>'2 Year'!C86+'4 Year'!C86</f>
        <v>24460909</v>
      </c>
      <c r="D86" s="23">
        <f>'2 Year'!D86+'4 Year'!D86</f>
        <v>17432413</v>
      </c>
      <c r="E86" s="28">
        <f t="shared" si="6"/>
        <v>-7028496</v>
      </c>
      <c r="F86" s="24">
        <f t="shared" si="7"/>
        <v>-0.28733584675859758</v>
      </c>
    </row>
    <row r="87" spans="1:6" s="13" customFormat="1" ht="26.25">
      <c r="A87" s="29" t="s">
        <v>87</v>
      </c>
      <c r="B87" s="23">
        <f>'2 Year'!B87+'4 Year'!B87</f>
        <v>13701210.360000001</v>
      </c>
      <c r="C87" s="23">
        <f>'2 Year'!C87+'4 Year'!C87</f>
        <v>13031617</v>
      </c>
      <c r="D87" s="23">
        <f>'2 Year'!D87+'4 Year'!D87</f>
        <v>10921982</v>
      </c>
      <c r="E87" s="28">
        <f t="shared" si="6"/>
        <v>-2109635</v>
      </c>
      <c r="F87" s="24">
        <f t="shared" si="7"/>
        <v>-0.16188589643173215</v>
      </c>
    </row>
    <row r="88" spans="1:6" s="13" customFormat="1" ht="26.25">
      <c r="A88" s="38" t="s">
        <v>88</v>
      </c>
      <c r="B88" s="23">
        <f>'2 Year'!B88+'4 Year'!B88</f>
        <v>4939577.78</v>
      </c>
      <c r="C88" s="23">
        <f>'2 Year'!C88+'4 Year'!C88</f>
        <v>5564984</v>
      </c>
      <c r="D88" s="23">
        <f>'2 Year'!D88+'4 Year'!D88</f>
        <v>2397070</v>
      </c>
      <c r="E88" s="28">
        <f t="shared" si="6"/>
        <v>-3167914</v>
      </c>
      <c r="F88" s="24">
        <f t="shared" si="7"/>
        <v>-0.56925842014999506</v>
      </c>
    </row>
    <row r="89" spans="1:6" s="36" customFormat="1" ht="26.25">
      <c r="A89" s="52" t="s">
        <v>89</v>
      </c>
      <c r="B89" s="51">
        <f>SUM(B86:B88)</f>
        <v>39769201.270000003</v>
      </c>
      <c r="C89" s="51">
        <f>SUM(C86:C88)</f>
        <v>43057510</v>
      </c>
      <c r="D89" s="51">
        <f>SUM(D86:D88)</f>
        <v>30751465</v>
      </c>
      <c r="E89" s="51">
        <f t="shared" si="6"/>
        <v>-12306045</v>
      </c>
      <c r="F89" s="35">
        <f t="shared" si="7"/>
        <v>-0.28580484565874803</v>
      </c>
    </row>
    <row r="90" spans="1:6" s="13" customFormat="1" ht="26.25">
      <c r="A90" s="38" t="s">
        <v>90</v>
      </c>
      <c r="B90" s="23">
        <f>'2 Year'!B90+'4 Year'!B90</f>
        <v>0</v>
      </c>
      <c r="C90" s="23">
        <f>'2 Year'!C90+'4 Year'!C90</f>
        <v>0</v>
      </c>
      <c r="D90" s="23">
        <f>'2 Year'!D90+'4 Year'!D90</f>
        <v>0</v>
      </c>
      <c r="E90" s="28">
        <f t="shared" si="6"/>
        <v>0</v>
      </c>
      <c r="F90" s="24">
        <f t="shared" si="7"/>
        <v>0</v>
      </c>
    </row>
    <row r="91" spans="1:6" s="36" customFormat="1" ht="27" thickBot="1">
      <c r="A91" s="53" t="s">
        <v>71</v>
      </c>
      <c r="B91" s="54">
        <f>B89+B85+B80+B76+B90</f>
        <v>1704487833.21</v>
      </c>
      <c r="C91" s="54">
        <f>C89+C85+C80+C76+C90</f>
        <v>1724911017.3600001</v>
      </c>
      <c r="D91" s="55">
        <f>D89+D85+D80+D76+D90</f>
        <v>1724326832.79</v>
      </c>
      <c r="E91" s="54">
        <f t="shared" si="6"/>
        <v>-584184.57000017166</v>
      </c>
      <c r="F91" s="56">
        <f t="shared" si="7"/>
        <v>-3.3867519200745446E-4</v>
      </c>
    </row>
    <row r="92" spans="1:6" s="60" customFormat="1" ht="32.25" thickBot="1">
      <c r="A92" s="57"/>
      <c r="B92" s="58"/>
      <c r="C92" s="58"/>
      <c r="D92" s="58"/>
      <c r="E92" s="59"/>
      <c r="F92" s="59"/>
    </row>
    <row r="93" spans="1:6" s="13" customFormat="1" ht="26.25">
      <c r="A93" s="160" t="s">
        <v>43</v>
      </c>
      <c r="B93" s="252"/>
      <c r="C93" s="252"/>
      <c r="D93" s="252"/>
      <c r="E93" s="161"/>
      <c r="F93" s="163"/>
    </row>
    <row r="94" spans="1:6" s="13" customFormat="1" ht="26.25">
      <c r="A94" s="164" t="s">
        <v>121</v>
      </c>
      <c r="B94" s="253">
        <f>'LSU BOS'!B94</f>
        <v>127407</v>
      </c>
      <c r="C94" s="253">
        <f>'LSU BOS'!C94</f>
        <v>127407</v>
      </c>
      <c r="D94" s="253">
        <f>'LSU BOS'!D94+LSUBR!D94+LSUA!D94+LSUS!D94+UNO!D94+LSUE!D94+LSULAW!D94+LSUAG!D94+Penn!D94+EAConway!D94+HPLong!D94+HSCNO!D94+HSCS!D94</f>
        <v>0</v>
      </c>
      <c r="E94" s="19">
        <f>D94-C94</f>
        <v>-127407</v>
      </c>
      <c r="F94" s="24">
        <f>IF(ISBLANK(E94),"  ",IF(C94&gt;0,E94/C94,IF(E94&gt;0,1,0)))</f>
        <v>-1</v>
      </c>
    </row>
    <row r="95" spans="1:6" s="13" customFormat="1" ht="26.25">
      <c r="A95" s="168" t="s">
        <v>45</v>
      </c>
      <c r="B95" s="253">
        <f>'LSU BOS'!B95+LSUBR!B95+LSUA!B95+LSUS!B95+UNO!B95+LSUE!B95+LSULAW!B95+LSUAG!B95+Penn!B95+EAConway!B95+HPLong!B95+HSCNO!B95+HSCS!B95</f>
        <v>0</v>
      </c>
      <c r="C95" s="253">
        <f>'LSU BOS'!C95+LSUBR!C95+LSUA!C95+LSUS!C95+UNO!C95+LSUE!C95+LSULAW!C95+LSUAG!C95+Penn!C95+EAConway!C95+HPLong!C95+HSCNO!C95+HSCS!C95</f>
        <v>0</v>
      </c>
      <c r="D95" s="253">
        <f>'LSU BOS'!D95+LSUBR!D95+LSUA!D95+LSUS!D95+UNO!D95+LSUE!D95+LSULAW!D95+LSUAG!D95+Penn!D95+EAConway!D95+HPLong!D95+HSCNO!D95+HSCS!D95</f>
        <v>0</v>
      </c>
      <c r="E95" s="28">
        <f>D95-C95</f>
        <v>0</v>
      </c>
      <c r="F95" s="24">
        <f>IF(ISBLANK(E95),"  ",IF(C95&gt;0,E95/C95,IF(E95&gt;0,1,0)))</f>
        <v>0</v>
      </c>
    </row>
    <row r="96" spans="1:6" s="13" customFormat="1" ht="26.25">
      <c r="A96" s="168" t="s">
        <v>122</v>
      </c>
      <c r="B96" s="253">
        <f>'LSU BOS'!B96+LSUBR!B96+LSUA!B96+LSUS!B96+UNO!B96+LSUE!B96+LSULAW!B96+LSUAG!B96+Penn!B96+EAConway!B96+HPLong!B96+HSCNO!B96+HSCS!B96</f>
        <v>41927964</v>
      </c>
      <c r="C96" s="253">
        <f>'LSU BOS'!C96+LSUBR!C96+LSUA!C96+LSUS!C96+UNO!C96+LSUE!C96+LSULAW!C96+LSUAG!C96+Penn!C96+EAConway!C96+HPLong!C96+HSCNO!C96+HSCS!C96</f>
        <v>-127407</v>
      </c>
      <c r="D96" s="253">
        <f>'LSU BOS'!D96+LSUBR!D96+LSUA!D96+LSUS!D96+UNO!D96+LSUE!D96+LSULAW!D96+LSUAG!D96+Penn!D96+EAConway!D96+HPLong!D96+HSCNO!D96+HSCS!D96</f>
        <v>0</v>
      </c>
      <c r="E96" s="28">
        <f>D96-C96</f>
        <v>127407</v>
      </c>
      <c r="F96" s="24">
        <f>IF(ISBLANK(E96),"  ",IF(C96&gt;0,E96/C96,IF(E96&gt;0,1,0)))</f>
        <v>1</v>
      </c>
    </row>
    <row r="97" spans="1:10" s="13" customFormat="1" ht="26.25" hidden="1">
      <c r="A97" s="168" t="s">
        <v>47</v>
      </c>
      <c r="B97" s="253">
        <v>0</v>
      </c>
      <c r="C97" s="253">
        <v>0</v>
      </c>
      <c r="D97" s="253"/>
      <c r="E97" s="169">
        <v>0</v>
      </c>
      <c r="F97" s="167">
        <v>0</v>
      </c>
    </row>
    <row r="98" spans="1:10" s="13" customFormat="1" ht="26.25" hidden="1">
      <c r="A98" s="170" t="s">
        <v>48</v>
      </c>
      <c r="B98" s="253">
        <v>0</v>
      </c>
      <c r="C98" s="253">
        <v>0</v>
      </c>
      <c r="D98" s="253"/>
      <c r="E98" s="169">
        <v>0</v>
      </c>
      <c r="F98" s="167">
        <v>0</v>
      </c>
    </row>
    <row r="99" spans="1:10" s="36" customFormat="1" ht="27" thickBot="1">
      <c r="A99" s="171" t="s">
        <v>49</v>
      </c>
      <c r="B99" s="254">
        <f>SUM(B94:B96)</f>
        <v>42055371</v>
      </c>
      <c r="C99" s="254">
        <f>SUM(C94:C96)</f>
        <v>0</v>
      </c>
      <c r="D99" s="254">
        <f>SUM(D94:D96)</f>
        <v>0</v>
      </c>
      <c r="E99" s="266">
        <f>D99-C99</f>
        <v>0</v>
      </c>
      <c r="F99" s="265">
        <f>IF(ISBLANK(E99),"  ",IF(C99&gt;0,E99/C99,IF(E99&gt;0,1,0)))</f>
        <v>0</v>
      </c>
      <c r="J99" s="36" t="s">
        <v>50</v>
      </c>
    </row>
    <row r="100" spans="1:10" s="36" customFormat="1" ht="26.25">
      <c r="A100" s="175"/>
      <c r="B100" s="176"/>
      <c r="C100" s="176"/>
      <c r="D100" s="176"/>
      <c r="E100" s="176"/>
      <c r="F100" s="177"/>
    </row>
    <row r="101" spans="1:10" s="60" customFormat="1" ht="31.5">
      <c r="A101" s="61" t="s">
        <v>91</v>
      </c>
      <c r="B101" s="62"/>
      <c r="C101" s="62"/>
      <c r="D101" s="62"/>
      <c r="E101" s="59"/>
      <c r="F101" s="59"/>
    </row>
    <row r="102" spans="1:10" s="60" customFormat="1" ht="31.5">
      <c r="A102" s="61" t="s">
        <v>92</v>
      </c>
      <c r="B102" s="62"/>
      <c r="C102" s="62"/>
      <c r="D102" s="62"/>
      <c r="E102" s="59"/>
      <c r="F102" s="59"/>
    </row>
    <row r="103" spans="1:10">
      <c r="A103" s="63" t="s">
        <v>50</v>
      </c>
      <c r="B103" s="64"/>
      <c r="C103" s="64"/>
      <c r="D103" s="64"/>
    </row>
  </sheetData>
  <pageMargins left="0.7" right="0.7" top="0.31" bottom="0.3" header="0.3" footer="0.3"/>
  <pageSetup scale="2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5"/>
  <sheetViews>
    <sheetView topLeftCell="A67" zoomScale="60" zoomScaleNormal="60" workbookViewId="0">
      <selection activeCell="F17" sqref="F17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0.285156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4" t="s">
        <v>154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f>1343504+4763325</f>
        <v>6106829</v>
      </c>
      <c r="C8" s="23">
        <f>4763325+1343504</f>
        <v>6106829</v>
      </c>
      <c r="D8" s="23">
        <f>5698481+1495092</f>
        <v>7193573</v>
      </c>
      <c r="E8" s="23">
        <f t="shared" ref="E8:E28" si="0">D8-C8</f>
        <v>1086744</v>
      </c>
      <c r="F8" s="24">
        <f t="shared" ref="F8:F28" si="1">IF(ISBLANK(E8),"  ",IF(C8&gt;0,E8/C8,IF(E8&gt;0,1,0)))</f>
        <v>0.17795553142228152</v>
      </c>
    </row>
    <row r="9" spans="1:6" s="13" customFormat="1" ht="26.25">
      <c r="A9" s="22" t="s">
        <v>17</v>
      </c>
      <c r="B9" s="23">
        <v>0</v>
      </c>
      <c r="C9" s="23">
        <f>'SU BOS'!C9+SUBR!C9+SUNO!C9+SUS!C9+SUAg!C9+SULaw!C9</f>
        <v>0</v>
      </c>
      <c r="D9" s="23">
        <f>'SU BOS'!D9+SUBR!D9+SUNO!D9+SUS!D9+SUAg!D9+SULaw!D9</f>
        <v>0</v>
      </c>
      <c r="E9" s="23">
        <f t="shared" si="0"/>
        <v>0</v>
      </c>
      <c r="F9" s="24">
        <f t="shared" si="1"/>
        <v>0</v>
      </c>
    </row>
    <row r="10" spans="1:6" s="13" customFormat="1" ht="26.25">
      <c r="A10" s="25" t="s">
        <v>18</v>
      </c>
      <c r="B10" s="255">
        <v>10125000</v>
      </c>
      <c r="C10" s="26">
        <f>SUM(C11:C28)</f>
        <v>10125000</v>
      </c>
      <c r="D10" s="26">
        <f>SUM(D11:D28)</f>
        <v>10000000</v>
      </c>
      <c r="E10" s="26">
        <f t="shared" si="0"/>
        <v>-125000</v>
      </c>
      <c r="F10" s="24">
        <f t="shared" si="1"/>
        <v>-1.2345679012345678E-2</v>
      </c>
    </row>
    <row r="11" spans="1:6" s="13" customFormat="1" ht="26.25">
      <c r="A11" s="27" t="s">
        <v>19</v>
      </c>
      <c r="B11" s="28">
        <v>0</v>
      </c>
      <c r="C11" s="23">
        <v>0</v>
      </c>
      <c r="D11" s="23">
        <f>'SU BOS'!D11+SUBR!D11+SUNO!D11+SUS!D11+SUAg!D11+SULaw!D11</f>
        <v>0</v>
      </c>
      <c r="E11" s="26">
        <f t="shared" si="0"/>
        <v>0</v>
      </c>
      <c r="F11" s="24">
        <f t="shared" si="1"/>
        <v>0</v>
      </c>
    </row>
    <row r="12" spans="1:6" s="13" customFormat="1" ht="26.25">
      <c r="A12" s="29" t="s">
        <v>20</v>
      </c>
      <c r="B12" s="28">
        <v>0</v>
      </c>
      <c r="C12" s="23">
        <v>0</v>
      </c>
      <c r="D12" s="23">
        <v>0</v>
      </c>
      <c r="E12" s="26">
        <f t="shared" si="0"/>
        <v>0</v>
      </c>
      <c r="F12" s="24">
        <f t="shared" si="1"/>
        <v>0</v>
      </c>
    </row>
    <row r="13" spans="1:6" s="13" customFormat="1" ht="26.25">
      <c r="A13" s="29" t="s">
        <v>21</v>
      </c>
      <c r="B13" s="28">
        <v>0</v>
      </c>
      <c r="C13" s="23">
        <v>0</v>
      </c>
      <c r="D13" s="23">
        <v>0</v>
      </c>
      <c r="E13" s="26">
        <f t="shared" si="0"/>
        <v>0</v>
      </c>
      <c r="F13" s="24">
        <f t="shared" si="1"/>
        <v>0</v>
      </c>
    </row>
    <row r="14" spans="1:6" s="13" customFormat="1" ht="26.25">
      <c r="A14" s="29" t="s">
        <v>22</v>
      </c>
      <c r="B14" s="28">
        <v>0</v>
      </c>
      <c r="C14" s="23">
        <f>'SU BOS'!C14+SUBR!C14+SUNO!C14+SUS!C14+SUAg!C14+SULaw!C14</f>
        <v>0</v>
      </c>
      <c r="D14" s="23">
        <f>'SU BOS'!D14+SUBR!D14+SUNO!D14+SUS!D14+SUAg!D14+SULaw!D14</f>
        <v>0</v>
      </c>
      <c r="E14" s="26">
        <f t="shared" si="0"/>
        <v>0</v>
      </c>
      <c r="F14" s="24">
        <f t="shared" si="1"/>
        <v>0</v>
      </c>
    </row>
    <row r="15" spans="1:6" s="13" customFormat="1" ht="26.25">
      <c r="A15" s="29" t="s">
        <v>23</v>
      </c>
      <c r="B15" s="28">
        <v>0</v>
      </c>
      <c r="C15" s="23">
        <f>'SU BOS'!C15+SUBR!C15+SUNO!C15+SUS!C15+SUAg!C15+SULaw!C15</f>
        <v>0</v>
      </c>
      <c r="D15" s="23">
        <f>'SU BOS'!D15+SUBR!D15+SUNO!D15+SUS!D15+SUAg!D15+SULaw!D15</f>
        <v>0</v>
      </c>
      <c r="E15" s="26">
        <f t="shared" si="0"/>
        <v>0</v>
      </c>
      <c r="F15" s="24">
        <f t="shared" si="1"/>
        <v>0</v>
      </c>
    </row>
    <row r="16" spans="1:6" s="13" customFormat="1" ht="26.25">
      <c r="A16" s="29" t="s">
        <v>24</v>
      </c>
      <c r="B16" s="28">
        <v>0</v>
      </c>
      <c r="C16" s="23">
        <v>0</v>
      </c>
      <c r="D16" s="23">
        <v>0</v>
      </c>
      <c r="E16" s="26">
        <f t="shared" si="0"/>
        <v>0</v>
      </c>
      <c r="F16" s="24">
        <f t="shared" si="1"/>
        <v>0</v>
      </c>
    </row>
    <row r="17" spans="1:6" s="13" customFormat="1" ht="26.25">
      <c r="A17" s="29" t="s">
        <v>25</v>
      </c>
      <c r="B17" s="28">
        <v>0</v>
      </c>
      <c r="C17" s="23">
        <v>0</v>
      </c>
      <c r="D17" s="23">
        <v>0</v>
      </c>
      <c r="E17" s="26">
        <v>0</v>
      </c>
      <c r="F17" s="24">
        <f t="shared" si="1"/>
        <v>0</v>
      </c>
    </row>
    <row r="18" spans="1:6" s="13" customFormat="1" ht="26.25">
      <c r="A18" s="29" t="s">
        <v>26</v>
      </c>
      <c r="B18" s="28">
        <v>0</v>
      </c>
      <c r="C18" s="23">
        <f>'SU BOS'!C18+SUBR!C18+SUNO!C18+SUS!C18+SUAg!C18+SULaw!C18</f>
        <v>0</v>
      </c>
      <c r="D18" s="23">
        <f>'SU BOS'!D18+SUBR!D18+SUNO!D18+SUS!D18+SUAg!D18+SULaw!D18</f>
        <v>0</v>
      </c>
      <c r="E18" s="26">
        <f t="shared" si="0"/>
        <v>0</v>
      </c>
      <c r="F18" s="24">
        <f t="shared" si="1"/>
        <v>0</v>
      </c>
    </row>
    <row r="19" spans="1:6" s="13" customFormat="1" ht="26.25">
      <c r="A19" s="29" t="s">
        <v>27</v>
      </c>
      <c r="B19" s="28">
        <v>0</v>
      </c>
      <c r="C19" s="23">
        <f>'SU BOS'!C19+SUBR!C19+SUNO!C19+SUS!C19+SUAg!C19+SULaw!C19</f>
        <v>0</v>
      </c>
      <c r="D19" s="23">
        <f>'SU BOS'!D19+SUBR!D19+SUNO!D19+SUS!D19+SUAg!D19+SULaw!D19</f>
        <v>0</v>
      </c>
      <c r="E19" s="26">
        <f t="shared" si="0"/>
        <v>0</v>
      </c>
      <c r="F19" s="24">
        <f t="shared" si="1"/>
        <v>0</v>
      </c>
    </row>
    <row r="20" spans="1:6" s="13" customFormat="1" ht="26.25">
      <c r="A20" s="29" t="s">
        <v>28</v>
      </c>
      <c r="B20" s="28">
        <v>0</v>
      </c>
      <c r="C20" s="23">
        <f>'SU BOS'!C20+SUBR!C20+SUNO!C20+SUS!C20+SUAg!C20+SULaw!C20</f>
        <v>0</v>
      </c>
      <c r="D20" s="23">
        <f>'SU BOS'!D20+SUBR!D20+SUNO!D20+SUS!D20+SUAg!D20+SULaw!D20</f>
        <v>0</v>
      </c>
      <c r="E20" s="26">
        <f t="shared" si="0"/>
        <v>0</v>
      </c>
      <c r="F20" s="24">
        <f t="shared" si="1"/>
        <v>0</v>
      </c>
    </row>
    <row r="21" spans="1:6" s="13" customFormat="1" ht="26.25">
      <c r="A21" s="29" t="s">
        <v>29</v>
      </c>
      <c r="B21" s="28">
        <v>0</v>
      </c>
      <c r="C21" s="23">
        <f>'SU BOS'!C21+SUBR!C21+SUNO!C21+SUS!C21+SUAg!C21+SULaw!C21</f>
        <v>0</v>
      </c>
      <c r="D21" s="23">
        <f>'SU BOS'!D21+SUBR!D21+SUNO!D21+SUS!D21+SUAg!D21+SULaw!D21</f>
        <v>0</v>
      </c>
      <c r="E21" s="26">
        <f t="shared" si="0"/>
        <v>0</v>
      </c>
      <c r="F21" s="24">
        <f t="shared" si="1"/>
        <v>0</v>
      </c>
    </row>
    <row r="22" spans="1:6" s="13" customFormat="1" ht="26.25">
      <c r="A22" s="29" t="s">
        <v>30</v>
      </c>
      <c r="B22" s="28">
        <v>0</v>
      </c>
      <c r="C22" s="23">
        <f>'SU BOS'!C22+SUBR!C22+SUNO!C22+SUS!C22+SUAg!C22+SULaw!C22</f>
        <v>0</v>
      </c>
      <c r="D22" s="23">
        <f>'SU BOS'!D22+SUBR!D22+SUNO!D22+SUS!D22+SUAg!D22+SULaw!D22</f>
        <v>0</v>
      </c>
      <c r="E22" s="26">
        <f t="shared" si="0"/>
        <v>0</v>
      </c>
      <c r="F22" s="24">
        <f t="shared" si="1"/>
        <v>0</v>
      </c>
    </row>
    <row r="23" spans="1:6" s="13" customFormat="1" ht="26.25">
      <c r="A23" s="30" t="s">
        <v>31</v>
      </c>
      <c r="B23" s="28">
        <v>0</v>
      </c>
      <c r="C23" s="23">
        <f>'SU BOS'!C23+SUBR!C23+SUNO!C23+SUS!C23+SUAg!C23+SULaw!C23</f>
        <v>0</v>
      </c>
      <c r="D23" s="23">
        <f>'SU BOS'!D23+SUBR!D23+SUNO!D23+SUS!D23+SUAg!D23+SULaw!D23</f>
        <v>0</v>
      </c>
      <c r="E23" s="26">
        <f t="shared" si="0"/>
        <v>0</v>
      </c>
      <c r="F23" s="24">
        <f t="shared" si="1"/>
        <v>0</v>
      </c>
    </row>
    <row r="24" spans="1:6" s="13" customFormat="1" ht="26.25">
      <c r="A24" s="30" t="s">
        <v>32</v>
      </c>
      <c r="B24" s="28">
        <v>10000000</v>
      </c>
      <c r="C24" s="23">
        <v>10000000</v>
      </c>
      <c r="D24" s="23">
        <v>10000000</v>
      </c>
      <c r="E24" s="26">
        <f t="shared" si="0"/>
        <v>0</v>
      </c>
      <c r="F24" s="24">
        <f t="shared" si="1"/>
        <v>0</v>
      </c>
    </row>
    <row r="25" spans="1:6" s="13" customFormat="1" ht="26.25">
      <c r="A25" s="30" t="s">
        <v>33</v>
      </c>
      <c r="B25" s="28">
        <v>0</v>
      </c>
      <c r="C25" s="23">
        <f>'SU BOS'!C25+SUBR!C25+SUNO!C25+SUS!C25+SUAg!C25+SULaw!C25</f>
        <v>0</v>
      </c>
      <c r="D25" s="23">
        <f>'SU BOS'!D25+SUBR!D25+SUNO!D25+SUS!D25+SUAg!D25+SULaw!D25</f>
        <v>0</v>
      </c>
      <c r="E25" s="26">
        <f t="shared" si="0"/>
        <v>0</v>
      </c>
      <c r="F25" s="24">
        <f t="shared" si="1"/>
        <v>0</v>
      </c>
    </row>
    <row r="26" spans="1:6" s="13" customFormat="1" ht="26.25">
      <c r="A26" s="30" t="s">
        <v>34</v>
      </c>
      <c r="B26" s="28">
        <v>0</v>
      </c>
      <c r="C26" s="23">
        <f>'SU BOS'!C26+SUBR!C26+SUNO!C26+SUS!C26+SUAg!C26+SULaw!C26</f>
        <v>0</v>
      </c>
      <c r="D26" s="23">
        <f>'SU BOS'!D26+SUBR!D26+SUNO!D26+SUS!D26+SUAg!D26+SULaw!D26</f>
        <v>0</v>
      </c>
      <c r="E26" s="26">
        <f t="shared" si="0"/>
        <v>0</v>
      </c>
      <c r="F26" s="24">
        <f t="shared" si="1"/>
        <v>0</v>
      </c>
    </row>
    <row r="27" spans="1:6" s="13" customFormat="1" ht="26.25">
      <c r="A27" s="30" t="s">
        <v>35</v>
      </c>
      <c r="B27" s="28">
        <v>0</v>
      </c>
      <c r="C27" s="23">
        <f>'SU BOS'!C27+SUBR!C27+SUNO!C27+SUS!C27+SUAg!C27+SULaw!C27</f>
        <v>0</v>
      </c>
      <c r="D27" s="23">
        <f>'SU BOS'!D27+SUBR!D27+SUNO!D27+SUS!D27+SUAg!D27+SULaw!D27</f>
        <v>0</v>
      </c>
      <c r="E27" s="26">
        <f t="shared" si="0"/>
        <v>0</v>
      </c>
      <c r="F27" s="24">
        <f t="shared" si="1"/>
        <v>0</v>
      </c>
    </row>
    <row r="28" spans="1:6" s="13" customFormat="1" ht="26.25">
      <c r="A28" s="30" t="s">
        <v>36</v>
      </c>
      <c r="B28" s="28">
        <v>125000</v>
      </c>
      <c r="C28" s="23">
        <v>125000</v>
      </c>
      <c r="D28" s="23">
        <v>0</v>
      </c>
      <c r="E28" s="26">
        <f t="shared" si="0"/>
        <v>-125000</v>
      </c>
      <c r="F28" s="24">
        <f t="shared" si="1"/>
        <v>-1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f>'SU BOS'!C30+SUBR!C30+SUNO!C30+SUS!C30+SUAg!C30+SULaw!C30</f>
        <v>0</v>
      </c>
      <c r="D30" s="23">
        <f>'SU BOS'!D30+SUBR!D30+SUNO!D30+SUS!D30+SUAg!D30+SULaw!D30</f>
        <v>0</v>
      </c>
      <c r="E30" s="23">
        <f>D30-C30</f>
        <v>0</v>
      </c>
      <c r="F30" s="24">
        <f>IF(ISBLANK(E30),"  ",IF(C30&gt;0,E30/C30,IF(E30&gt;0,1,0)))</f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23">
        <f>'SU BOS'!C32+SUBR!C32+SUNO!C32+SUS!C32+SUAg!C32+SULaw!C32</f>
        <v>0</v>
      </c>
      <c r="D32" s="23">
        <f>'SU BOS'!D32+SUBR!D32+SUNO!D32+SUS!D32+SUAg!D32+SULaw!D32</f>
        <v>0</v>
      </c>
      <c r="E32" s="23">
        <f>D32-C32</f>
        <v>0</v>
      </c>
      <c r="F32" s="24">
        <f>IF(ISBLANK(E32),"  ",IF(C32&gt;0,E32/C32,IF(E32&gt;0,1,0)))</f>
        <v>0</v>
      </c>
    </row>
    <row r="33" spans="1:9" s="13" customFormat="1" ht="26.25">
      <c r="A33" s="29" t="s">
        <v>40</v>
      </c>
      <c r="B33" s="28"/>
      <c r="C33" s="28"/>
      <c r="D33" s="28"/>
      <c r="E33" s="26"/>
      <c r="F33" s="24" t="str">
        <f>IF(ISBLANK(E33),"  ",IF(C33&gt;0,E33/C33,IF(E33&gt;0,1,0)))</f>
        <v xml:space="preserve">  </v>
      </c>
    </row>
    <row r="34" spans="1:9" s="36" customFormat="1" ht="26.25">
      <c r="A34" s="33" t="s">
        <v>42</v>
      </c>
      <c r="B34" s="34">
        <f>11468504+4763325</f>
        <v>16231829</v>
      </c>
      <c r="C34" s="34">
        <f>C33+C32+C30+C10+C9+C8</f>
        <v>16231829</v>
      </c>
      <c r="D34" s="34">
        <f>D33+D32+D30+D10+D9+D8</f>
        <v>17193573</v>
      </c>
      <c r="E34" s="34">
        <f>D34-C34</f>
        <v>961744</v>
      </c>
      <c r="F34" s="35">
        <f>IF(ISBLANK(E34),"  ",IF(C34&gt;0,E34/C34,IF(E34&gt;0,1,0)))</f>
        <v>5.9250500975583223E-2</v>
      </c>
    </row>
    <row r="35" spans="1:9" s="13" customFormat="1" ht="26.25">
      <c r="A35" s="31" t="s">
        <v>43</v>
      </c>
      <c r="B35" s="28"/>
      <c r="C35" s="28"/>
      <c r="D35" s="28"/>
      <c r="E35" s="28"/>
      <c r="F35" s="20"/>
    </row>
    <row r="36" spans="1:9" s="13" customFormat="1" ht="26.25">
      <c r="A36" s="37" t="s">
        <v>44</v>
      </c>
      <c r="B36" s="23">
        <v>0</v>
      </c>
      <c r="C36" s="23">
        <f>'SU BOS'!C36+SUBR!C36+SUNO!C36+SUS!C36+SUAg!C36+SULaw!C36</f>
        <v>0</v>
      </c>
      <c r="D36" s="23">
        <f>'SU BOS'!D36+SUBR!D36+SUNO!D36+SUS!D36+SUAg!D36+SULaw!D36</f>
        <v>0</v>
      </c>
      <c r="E36" s="23">
        <f t="shared" ref="E36:E41" si="2">D36-C36</f>
        <v>0</v>
      </c>
      <c r="F36" s="24">
        <f t="shared" ref="F36:F41" si="3">IF(ISBLANK(E36),"  ",IF(C36&gt;0,E36/C36,IF(E36&gt;0,1,0)))</f>
        <v>0</v>
      </c>
    </row>
    <row r="37" spans="1:9" s="13" customFormat="1" ht="26.25">
      <c r="A37" s="38" t="s">
        <v>45</v>
      </c>
      <c r="B37" s="23">
        <v>0</v>
      </c>
      <c r="C37" s="23">
        <f>'SU BOS'!C37+SUBR!C37+SUNO!C37+SUS!C37+SUAg!C37+SULaw!C37</f>
        <v>0</v>
      </c>
      <c r="D37" s="23">
        <f>'SU BOS'!D37+SUBR!D37+SUNO!D37+SUS!D37+SUAg!D37+SULaw!D37</f>
        <v>0</v>
      </c>
      <c r="E37" s="26">
        <f t="shared" si="2"/>
        <v>0</v>
      </c>
      <c r="F37" s="24">
        <f t="shared" si="3"/>
        <v>0</v>
      </c>
    </row>
    <row r="38" spans="1:9" s="13" customFormat="1" ht="26.25">
      <c r="A38" s="38" t="s">
        <v>46</v>
      </c>
      <c r="B38" s="23">
        <v>0</v>
      </c>
      <c r="C38" s="23">
        <f>'SU BOS'!C38+SUBR!C38+SUNO!C38+SUS!C38+SUAg!C38+SULaw!C38</f>
        <v>0</v>
      </c>
      <c r="D38" s="23">
        <f>'SU BOS'!D38+SUBR!D38+SUNO!D38+SUS!D38+SUAg!D38+SULaw!D38</f>
        <v>0</v>
      </c>
      <c r="E38" s="26">
        <f t="shared" si="2"/>
        <v>0</v>
      </c>
      <c r="F38" s="24">
        <f t="shared" si="3"/>
        <v>0</v>
      </c>
    </row>
    <row r="39" spans="1:9" s="13" customFormat="1" ht="26.25">
      <c r="A39" s="38" t="s">
        <v>47</v>
      </c>
      <c r="B39" s="23">
        <v>0</v>
      </c>
      <c r="C39" s="23">
        <f>'SU BOS'!C39+SUBR!C39+SUNO!C39+SUS!C39+SUAg!C39+SULaw!C39</f>
        <v>0</v>
      </c>
      <c r="D39" s="23">
        <f>'SU BOS'!D39+SUBR!D39+SUNO!D39+SUS!D39+SUAg!D39+SULaw!D39</f>
        <v>0</v>
      </c>
      <c r="E39" s="26">
        <f t="shared" si="2"/>
        <v>0</v>
      </c>
      <c r="F39" s="24">
        <f t="shared" si="3"/>
        <v>0</v>
      </c>
    </row>
    <row r="40" spans="1:9" s="13" customFormat="1" ht="26.25">
      <c r="A40" s="39" t="s">
        <v>48</v>
      </c>
      <c r="B40" s="23">
        <v>0</v>
      </c>
      <c r="C40" s="23">
        <f>'SU BOS'!C40+SUBR!C40+SUNO!C40+SUS!C40+SUAg!C40+SULaw!C40</f>
        <v>0</v>
      </c>
      <c r="D40" s="23">
        <f>'SU BOS'!D40+SUBR!D40+SUNO!D40+SUS!D40+SUAg!D40+SULaw!D40</f>
        <v>0</v>
      </c>
      <c r="E40" s="26">
        <f t="shared" si="2"/>
        <v>0</v>
      </c>
      <c r="F40" s="24">
        <f t="shared" si="3"/>
        <v>0</v>
      </c>
    </row>
    <row r="41" spans="1:9" s="36" customFormat="1" ht="26.25">
      <c r="A41" s="31" t="s">
        <v>49</v>
      </c>
      <c r="B41" s="40">
        <v>0</v>
      </c>
      <c r="C41" s="40">
        <f>SUM(C36:C40)</f>
        <v>0</v>
      </c>
      <c r="D41" s="40">
        <f>SUM(D36:D40)</f>
        <v>0</v>
      </c>
      <c r="E41" s="40">
        <f t="shared" si="2"/>
        <v>0</v>
      </c>
      <c r="F41" s="35">
        <f t="shared" si="3"/>
        <v>0</v>
      </c>
      <c r="I41" s="36" t="s">
        <v>50</v>
      </c>
    </row>
    <row r="42" spans="1:9" s="13" customFormat="1" ht="26.25">
      <c r="A42" s="29" t="s">
        <v>50</v>
      </c>
      <c r="B42" s="28"/>
      <c r="C42" s="28"/>
      <c r="D42" s="28"/>
      <c r="E42" s="28"/>
      <c r="F42" s="20"/>
    </row>
    <row r="43" spans="1:9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f>D43-C43</f>
        <v>0</v>
      </c>
      <c r="F43" s="35">
        <f>IF(ISBLANK(E43),"  ",IF(C43&gt;0,E43/C43,IF(E43&gt;0,1,0)))</f>
        <v>0</v>
      </c>
    </row>
    <row r="44" spans="1:9" s="13" customFormat="1" ht="26.25">
      <c r="A44" s="29" t="s">
        <v>50</v>
      </c>
      <c r="B44" s="28"/>
      <c r="C44" s="28"/>
      <c r="D44" s="28"/>
      <c r="E44" s="28"/>
      <c r="F44" s="20"/>
    </row>
    <row r="45" spans="1:9" s="36" customFormat="1" ht="26.25">
      <c r="A45" s="41" t="s">
        <v>52</v>
      </c>
      <c r="B45" s="42">
        <v>0</v>
      </c>
      <c r="C45" s="42">
        <v>0</v>
      </c>
      <c r="D45" s="42">
        <f>'SU BOS'!D45+SUBR!D45+SUNO!D45+SUS!D45+SUAg!D45+SULaw!D45</f>
        <v>0</v>
      </c>
      <c r="E45" s="42">
        <f>D45-C45</f>
        <v>0</v>
      </c>
      <c r="F45" s="35">
        <f>IF(ISBLANK(E45),"  ",IF(C45&gt;0,E45/C45,IF(E45&gt;0,1,0)))</f>
        <v>0</v>
      </c>
    </row>
    <row r="46" spans="1:9" s="13" customFormat="1" ht="26.25">
      <c r="A46" s="29" t="s">
        <v>50</v>
      </c>
      <c r="B46" s="28"/>
      <c r="C46" s="34"/>
      <c r="D46" s="34"/>
      <c r="E46" s="28"/>
      <c r="F46" s="20"/>
    </row>
    <row r="47" spans="1:9" s="36" customFormat="1" ht="26.25">
      <c r="A47" s="31" t="s">
        <v>53</v>
      </c>
      <c r="B47" s="40">
        <v>0</v>
      </c>
      <c r="C47" s="42">
        <v>0</v>
      </c>
      <c r="D47" s="42">
        <v>0</v>
      </c>
      <c r="E47" s="40">
        <f>D47-C47</f>
        <v>0</v>
      </c>
      <c r="F47" s="35">
        <f>IF(ISBLANK(E47),"  ",IF(C47&gt;0,E47/C47,IF(E47&gt;0,1,0)))</f>
        <v>0</v>
      </c>
    </row>
    <row r="48" spans="1:9" s="13" customFormat="1" ht="26.25">
      <c r="A48" s="29" t="s">
        <v>50</v>
      </c>
      <c r="B48" s="28"/>
      <c r="C48" s="34"/>
      <c r="D48" s="34"/>
      <c r="E48" s="28"/>
      <c r="F48" s="20"/>
    </row>
    <row r="49" spans="1:12" s="36" customFormat="1" ht="26.25">
      <c r="A49" s="43" t="s">
        <v>54</v>
      </c>
      <c r="B49" s="44">
        <v>7777103</v>
      </c>
      <c r="C49" s="42">
        <v>9202724</v>
      </c>
      <c r="D49" s="42">
        <v>0</v>
      </c>
      <c r="E49" s="44">
        <f>D49-C49</f>
        <v>-9202724</v>
      </c>
      <c r="F49" s="35">
        <f>IF(ISBLANK(E49),"  ",IF(C49&gt;0,E49/C49,IF(E49&gt;0,1,0)))</f>
        <v>-1</v>
      </c>
      <c r="L49" s="36" t="s">
        <v>50</v>
      </c>
    </row>
    <row r="50" spans="1:12" s="13" customFormat="1" ht="26.25">
      <c r="A50" s="31"/>
      <c r="B50" s="19"/>
      <c r="C50" s="40"/>
      <c r="D50" s="40"/>
      <c r="E50" s="19"/>
      <c r="F50" s="45"/>
    </row>
    <row r="51" spans="1:12" s="36" customFormat="1" ht="26.25">
      <c r="A51" s="31" t="s">
        <v>55</v>
      </c>
      <c r="B51" s="40">
        <v>0</v>
      </c>
      <c r="C51" s="42">
        <f>'SU BOS'!C51+SUBR!C51+SUNO!C51+SUS!C51+SUAg!C51+SULaw!C51</f>
        <v>0</v>
      </c>
      <c r="D51" s="42">
        <f>'SU BOS'!D51+SUBR!D51+SUNO!D51+SUS!D51+SUAg!D51+SULaw!D51</f>
        <v>0</v>
      </c>
      <c r="E51" s="44">
        <f>D51-C51</f>
        <v>0</v>
      </c>
      <c r="F51" s="35">
        <f>IF(ISBLANK(E51),"  ",IF(C51&gt;0,E51/C51,IF(E51&gt;0,1,0)))</f>
        <v>0</v>
      </c>
    </row>
    <row r="52" spans="1:12" s="13" customFormat="1" ht="26.25">
      <c r="A52" s="29"/>
      <c r="B52" s="28"/>
      <c r="C52" s="34"/>
      <c r="D52" s="34"/>
      <c r="E52" s="28"/>
      <c r="F52" s="20"/>
    </row>
    <row r="53" spans="1:12" s="36" customFormat="1" ht="26.25">
      <c r="A53" s="46" t="s">
        <v>56</v>
      </c>
      <c r="B53" s="40">
        <f>11468504+12540428</f>
        <v>24008932</v>
      </c>
      <c r="C53" s="40">
        <f>C49+C47+C45+C43+C34-C41</f>
        <v>25434553</v>
      </c>
      <c r="D53" s="42">
        <f>D49+D47+D45+D43+D34-D41</f>
        <v>17193573</v>
      </c>
      <c r="E53" s="40">
        <f>D53-C53</f>
        <v>-8240980</v>
      </c>
      <c r="F53" s="35">
        <f>IF(ISBLANK(E53),"  ",IF(C53&gt;0,E53/C53,IF(E53&gt;0,1,0)))</f>
        <v>-0.32400726680748038</v>
      </c>
    </row>
    <row r="54" spans="1:12" s="13" customFormat="1" ht="26.25">
      <c r="A54" s="47"/>
      <c r="B54" s="28"/>
      <c r="C54" s="34"/>
      <c r="D54" s="34"/>
      <c r="E54" s="28"/>
      <c r="F54" s="20" t="s">
        <v>50</v>
      </c>
    </row>
    <row r="55" spans="1:12" s="13" customFormat="1" ht="26.25">
      <c r="A55" s="48"/>
      <c r="B55" s="19"/>
      <c r="C55" s="40"/>
      <c r="D55" s="40"/>
      <c r="E55" s="19"/>
      <c r="F55" s="21" t="s">
        <v>50</v>
      </c>
    </row>
    <row r="56" spans="1:12" s="13" customFormat="1" ht="26.25">
      <c r="A56" s="46" t="s">
        <v>57</v>
      </c>
      <c r="B56" s="19"/>
      <c r="C56" s="40"/>
      <c r="D56" s="40"/>
      <c r="E56" s="19"/>
      <c r="F56" s="21"/>
    </row>
    <row r="57" spans="1:12" s="13" customFormat="1" ht="26.25">
      <c r="A57" s="27" t="s">
        <v>58</v>
      </c>
      <c r="B57" s="19">
        <v>0</v>
      </c>
      <c r="C57" s="23">
        <v>0</v>
      </c>
      <c r="D57" s="23">
        <v>0</v>
      </c>
      <c r="E57" s="19">
        <f t="shared" ref="E57:E70" si="4">D57-C57</f>
        <v>0</v>
      </c>
      <c r="F57" s="24">
        <f t="shared" ref="F57:F70" si="5">IF(ISBLANK(E57),"  ",IF(C57&gt;0,E57/C57,IF(E57&gt;0,1,0)))</f>
        <v>0</v>
      </c>
    </row>
    <row r="58" spans="1:12" s="13" customFormat="1" ht="26.25">
      <c r="A58" s="29" t="s">
        <v>59</v>
      </c>
      <c r="B58" s="28">
        <v>0</v>
      </c>
      <c r="C58" s="23">
        <v>0</v>
      </c>
      <c r="D58" s="23">
        <v>0</v>
      </c>
      <c r="E58" s="28">
        <f t="shared" si="4"/>
        <v>0</v>
      </c>
      <c r="F58" s="24">
        <f t="shared" si="5"/>
        <v>0</v>
      </c>
    </row>
    <row r="59" spans="1:12" s="13" customFormat="1" ht="26.25">
      <c r="A59" s="29" t="s">
        <v>60</v>
      </c>
      <c r="B59" s="28">
        <v>0</v>
      </c>
      <c r="C59" s="23">
        <v>0</v>
      </c>
      <c r="D59" s="23">
        <v>0</v>
      </c>
      <c r="E59" s="28">
        <f t="shared" si="4"/>
        <v>0</v>
      </c>
      <c r="F59" s="24">
        <f t="shared" si="5"/>
        <v>0</v>
      </c>
    </row>
    <row r="60" spans="1:12" s="13" customFormat="1" ht="26.25">
      <c r="A60" s="29" t="s">
        <v>61</v>
      </c>
      <c r="B60" s="28">
        <v>1702552</v>
      </c>
      <c r="C60" s="23">
        <v>1702552</v>
      </c>
      <c r="D60" s="23">
        <v>1710684</v>
      </c>
      <c r="E60" s="28">
        <f t="shared" si="4"/>
        <v>8132</v>
      </c>
      <c r="F60" s="24">
        <f t="shared" si="5"/>
        <v>4.776359253638068E-3</v>
      </c>
    </row>
    <row r="61" spans="1:12" s="13" customFormat="1" ht="26.25">
      <c r="A61" s="29" t="s">
        <v>62</v>
      </c>
      <c r="B61" s="28">
        <v>0</v>
      </c>
      <c r="C61" s="23">
        <v>0</v>
      </c>
      <c r="D61" s="23">
        <v>0</v>
      </c>
      <c r="E61" s="28">
        <f t="shared" si="4"/>
        <v>0</v>
      </c>
      <c r="F61" s="24">
        <f t="shared" si="5"/>
        <v>0</v>
      </c>
    </row>
    <row r="62" spans="1:12" s="13" customFormat="1" ht="26.25">
      <c r="A62" s="29" t="s">
        <v>63</v>
      </c>
      <c r="B62" s="28">
        <v>1343506.1299999994</v>
      </c>
      <c r="C62" s="23">
        <v>1343506</v>
      </c>
      <c r="D62" s="23">
        <v>1495092</v>
      </c>
      <c r="E62" s="28">
        <f t="shared" si="4"/>
        <v>151586</v>
      </c>
      <c r="F62" s="24">
        <f t="shared" si="5"/>
        <v>0.11282867363450554</v>
      </c>
    </row>
    <row r="63" spans="1:12" s="13" customFormat="1" ht="26.25">
      <c r="A63" s="29" t="s">
        <v>64</v>
      </c>
      <c r="B63" s="28">
        <v>0</v>
      </c>
      <c r="C63" s="23">
        <v>0</v>
      </c>
      <c r="D63" s="23">
        <v>0</v>
      </c>
      <c r="E63" s="28">
        <f t="shared" si="4"/>
        <v>0</v>
      </c>
      <c r="F63" s="24">
        <f t="shared" si="5"/>
        <v>0</v>
      </c>
    </row>
    <row r="64" spans="1:12" s="13" customFormat="1" ht="26.25">
      <c r="A64" s="29" t="s">
        <v>65</v>
      </c>
      <c r="B64" s="28">
        <v>0</v>
      </c>
      <c r="C64" s="23">
        <v>0</v>
      </c>
      <c r="D64" s="23">
        <v>0</v>
      </c>
      <c r="E64" s="28">
        <f t="shared" si="4"/>
        <v>0</v>
      </c>
      <c r="F64" s="24">
        <f t="shared" si="5"/>
        <v>0</v>
      </c>
    </row>
    <row r="65" spans="1:6" s="36" customFormat="1" ht="26.25">
      <c r="A65" s="49" t="s">
        <v>66</v>
      </c>
      <c r="B65" s="34">
        <f>1343506.13+1702552</f>
        <v>3046058.13</v>
      </c>
      <c r="C65" s="51">
        <f>SUM(C57:C64)</f>
        <v>3046058</v>
      </c>
      <c r="D65" s="51">
        <f>SUM(D57:D64)</f>
        <v>3205776</v>
      </c>
      <c r="E65" s="34">
        <f t="shared" si="4"/>
        <v>159718</v>
      </c>
      <c r="F65" s="35">
        <f t="shared" si="5"/>
        <v>5.2434326595225698E-2</v>
      </c>
    </row>
    <row r="66" spans="1:6" s="13" customFormat="1" ht="26.25">
      <c r="A66" s="29" t="s">
        <v>67</v>
      </c>
      <c r="B66" s="28">
        <v>0</v>
      </c>
      <c r="C66" s="23">
        <f>'SU BOS'!C66+SUBR!C66+SUNO!C66+SUS!C66+SUAg!C66+SULaw!C66</f>
        <v>0</v>
      </c>
      <c r="D66" s="23">
        <f>'SU BOS'!D66+SUBR!D66+SUNO!D66+SUS!D66+SUAg!D66+SULaw!D66</f>
        <v>0</v>
      </c>
      <c r="E66" s="28">
        <f t="shared" si="4"/>
        <v>0</v>
      </c>
      <c r="F66" s="24">
        <f t="shared" si="5"/>
        <v>0</v>
      </c>
    </row>
    <row r="67" spans="1:6" s="13" customFormat="1" ht="26.25">
      <c r="A67" s="29" t="s">
        <v>68</v>
      </c>
      <c r="B67" s="28">
        <v>0</v>
      </c>
      <c r="C67" s="23">
        <v>0</v>
      </c>
      <c r="D67" s="23">
        <v>0</v>
      </c>
      <c r="E67" s="28">
        <f t="shared" si="4"/>
        <v>0</v>
      </c>
      <c r="F67" s="24">
        <f t="shared" si="5"/>
        <v>0</v>
      </c>
    </row>
    <row r="68" spans="1:6" s="13" customFormat="1" ht="26.25">
      <c r="A68" s="29" t="s">
        <v>69</v>
      </c>
      <c r="B68" s="28">
        <v>0</v>
      </c>
      <c r="C68" s="23">
        <v>0</v>
      </c>
      <c r="D68" s="23">
        <v>0</v>
      </c>
      <c r="E68" s="28">
        <f t="shared" si="4"/>
        <v>0</v>
      </c>
      <c r="F68" s="24">
        <f t="shared" si="5"/>
        <v>0</v>
      </c>
    </row>
    <row r="69" spans="1:6" s="13" customFormat="1" ht="26.25">
      <c r="A69" s="29" t="s">
        <v>70</v>
      </c>
      <c r="B69" s="28">
        <f>10125000+10837876</f>
        <v>20962876</v>
      </c>
      <c r="C69" s="23">
        <f>10125000+12263497</f>
        <v>22388497</v>
      </c>
      <c r="D69" s="23">
        <f>10000000+3987797</f>
        <v>13987797</v>
      </c>
      <c r="E69" s="28">
        <f t="shared" si="4"/>
        <v>-8400700</v>
      </c>
      <c r="F69" s="24">
        <f t="shared" si="5"/>
        <v>-0.37522393754256927</v>
      </c>
    </row>
    <row r="70" spans="1:6" s="36" customFormat="1" ht="26.25">
      <c r="A70" s="50" t="s">
        <v>71</v>
      </c>
      <c r="B70" s="260">
        <f>11468506.13+12540428</f>
        <v>24008934.130000003</v>
      </c>
      <c r="C70" s="51">
        <f>C69+C68+C67+C66+C65</f>
        <v>25434555</v>
      </c>
      <c r="D70" s="51">
        <f>D69+D68+D67+D66+D65</f>
        <v>17193573</v>
      </c>
      <c r="E70" s="51">
        <f t="shared" si="4"/>
        <v>-8240982</v>
      </c>
      <c r="F70" s="35">
        <f t="shared" si="5"/>
        <v>-0.32400731996294019</v>
      </c>
    </row>
    <row r="71" spans="1:6" s="13" customFormat="1" ht="26.25">
      <c r="A71" s="48"/>
      <c r="B71" s="19"/>
      <c r="C71" s="40"/>
      <c r="D71" s="40"/>
      <c r="E71" s="19"/>
      <c r="F71" s="21"/>
    </row>
    <row r="72" spans="1:6" s="13" customFormat="1" ht="26.25">
      <c r="A72" s="46" t="s">
        <v>72</v>
      </c>
      <c r="B72" s="19"/>
      <c r="C72" s="40"/>
      <c r="D72" s="40"/>
      <c r="E72" s="19"/>
      <c r="F72" s="21"/>
    </row>
    <row r="73" spans="1:6" s="13" customFormat="1" ht="26.25">
      <c r="A73" s="27" t="s">
        <v>73</v>
      </c>
      <c r="B73" s="23">
        <f>751914.159999999+841390</f>
        <v>1593304.159999999</v>
      </c>
      <c r="C73" s="42">
        <f>751914+841390</f>
        <v>1593304</v>
      </c>
      <c r="D73" s="42">
        <f>827592+800000</f>
        <v>1627592</v>
      </c>
      <c r="E73" s="19">
        <f t="shared" ref="E73:E91" si="6">D73-C73</f>
        <v>34288</v>
      </c>
      <c r="F73" s="24">
        <f t="shared" ref="F73:F91" si="7">IF(ISBLANK(E73),"  ",IF(C73&gt;0,E73/C73,IF(E73&gt;0,1,0)))</f>
        <v>2.1520061457198376E-2</v>
      </c>
    </row>
    <row r="74" spans="1:6" s="13" customFormat="1" ht="26.25">
      <c r="A74" s="29" t="s">
        <v>74</v>
      </c>
      <c r="B74" s="255">
        <f>2372+2349</f>
        <v>4721</v>
      </c>
      <c r="C74" s="42">
        <f>2372+2349</f>
        <v>4721</v>
      </c>
      <c r="D74" s="42">
        <f>15000+5000</f>
        <v>20000</v>
      </c>
      <c r="E74" s="28">
        <f t="shared" si="6"/>
        <v>15279</v>
      </c>
      <c r="F74" s="24">
        <f t="shared" si="7"/>
        <v>3.2363905952128786</v>
      </c>
    </row>
    <row r="75" spans="1:6" s="13" customFormat="1" ht="26.25">
      <c r="A75" s="29" t="s">
        <v>75</v>
      </c>
      <c r="B75" s="19">
        <f>148830.97+258338</f>
        <v>407168.97</v>
      </c>
      <c r="C75" s="42">
        <f>148831+258338</f>
        <v>407169</v>
      </c>
      <c r="D75" s="42">
        <f>200000+300000</f>
        <v>500000</v>
      </c>
      <c r="E75" s="28">
        <f t="shared" si="6"/>
        <v>92831</v>
      </c>
      <c r="F75" s="24">
        <f t="shared" si="7"/>
        <v>0.22799132546927689</v>
      </c>
    </row>
    <row r="76" spans="1:6" s="36" customFormat="1" ht="26.25">
      <c r="A76" s="49" t="s">
        <v>76</v>
      </c>
      <c r="B76" s="260">
        <f>903117.129999999+1102077</f>
        <v>2005194.129999999</v>
      </c>
      <c r="C76" s="51">
        <f>SUM(C73:C75)</f>
        <v>2005194</v>
      </c>
      <c r="D76" s="51">
        <f>SUM(D73:D75)</f>
        <v>2147592</v>
      </c>
      <c r="E76" s="34">
        <f t="shared" si="6"/>
        <v>142398</v>
      </c>
      <c r="F76" s="35">
        <f t="shared" si="7"/>
        <v>7.1014575148339767E-2</v>
      </c>
    </row>
    <row r="77" spans="1:6" s="13" customFormat="1" ht="26.25">
      <c r="A77" s="29" t="s">
        <v>77</v>
      </c>
      <c r="B77" s="255">
        <f>82623+21197</f>
        <v>103820</v>
      </c>
      <c r="C77" s="42">
        <f>82623+21197</f>
        <v>103820</v>
      </c>
      <c r="D77" s="42">
        <f>82500+21000</f>
        <v>103500</v>
      </c>
      <c r="E77" s="28">
        <f t="shared" si="6"/>
        <v>-320</v>
      </c>
      <c r="F77" s="24">
        <f t="shared" si="7"/>
        <v>-3.0822577538046621E-3</v>
      </c>
    </row>
    <row r="78" spans="1:6" s="13" customFormat="1" ht="26.25">
      <c r="A78" s="29" t="s">
        <v>78</v>
      </c>
      <c r="B78" s="23">
        <f>450230+275348</f>
        <v>725578</v>
      </c>
      <c r="C78" s="42">
        <f>275348+450230</f>
        <v>725578</v>
      </c>
      <c r="D78" s="42">
        <f>285000+450000</f>
        <v>735000</v>
      </c>
      <c r="E78" s="28">
        <f t="shared" si="6"/>
        <v>9422</v>
      </c>
      <c r="F78" s="24">
        <f t="shared" si="7"/>
        <v>1.2985509483473864E-2</v>
      </c>
    </row>
    <row r="79" spans="1:6" s="13" customFormat="1" ht="26.25">
      <c r="A79" s="29" t="s">
        <v>79</v>
      </c>
      <c r="B79" s="19">
        <f>3413+43288</f>
        <v>46701</v>
      </c>
      <c r="C79" s="42">
        <f>43288+3413</f>
        <v>46701</v>
      </c>
      <c r="D79" s="42">
        <f>45000+3500</f>
        <v>48500</v>
      </c>
      <c r="E79" s="28">
        <f t="shared" si="6"/>
        <v>1799</v>
      </c>
      <c r="F79" s="24">
        <f t="shared" si="7"/>
        <v>3.8521659065116377E-2</v>
      </c>
    </row>
    <row r="80" spans="1:6" s="36" customFormat="1" ht="26.25">
      <c r="A80" s="32" t="s">
        <v>80</v>
      </c>
      <c r="B80" s="260">
        <f>474840+401259</f>
        <v>876099</v>
      </c>
      <c r="C80" s="51">
        <f>SUM(C77:C79)</f>
        <v>876099</v>
      </c>
      <c r="D80" s="51">
        <f>SUM(D77:D79)</f>
        <v>887000</v>
      </c>
      <c r="E80" s="34">
        <f t="shared" si="6"/>
        <v>10901</v>
      </c>
      <c r="F80" s="35">
        <f t="shared" si="7"/>
        <v>1.2442657736169085E-2</v>
      </c>
    </row>
    <row r="81" spans="1:6" s="13" customFormat="1" ht="26.25">
      <c r="A81" s="29" t="s">
        <v>81</v>
      </c>
      <c r="B81" s="19">
        <f>121270+4342</f>
        <v>125612</v>
      </c>
      <c r="C81" s="42">
        <f>4342+121270</f>
        <v>125612</v>
      </c>
      <c r="D81" s="42">
        <f>5000+127184</f>
        <v>132184</v>
      </c>
      <c r="E81" s="28">
        <f t="shared" si="6"/>
        <v>6572</v>
      </c>
      <c r="F81" s="24">
        <f t="shared" si="7"/>
        <v>5.231984205330701E-2</v>
      </c>
    </row>
    <row r="82" spans="1:6" s="13" customFormat="1" ht="26.25">
      <c r="A82" s="29" t="s">
        <v>82</v>
      </c>
      <c r="B82" s="28">
        <f>10837876+10125000</f>
        <v>20962876</v>
      </c>
      <c r="C82" s="42">
        <f>10125000+12263497</f>
        <v>22388497</v>
      </c>
      <c r="D82" s="42">
        <f>10000000+3987797</f>
        <v>13987797</v>
      </c>
      <c r="E82" s="28">
        <f t="shared" si="6"/>
        <v>-8400700</v>
      </c>
      <c r="F82" s="24">
        <f t="shared" si="7"/>
        <v>-0.37522393754256927</v>
      </c>
    </row>
    <row r="83" spans="1:6" s="13" customFormat="1" ht="26.25">
      <c r="A83" s="29" t="s">
        <v>83</v>
      </c>
      <c r="B83" s="28">
        <v>0</v>
      </c>
      <c r="C83" s="42">
        <v>0</v>
      </c>
      <c r="D83" s="42">
        <v>0</v>
      </c>
      <c r="E83" s="28">
        <f t="shared" si="6"/>
        <v>0</v>
      </c>
      <c r="F83" s="24">
        <f t="shared" si="7"/>
        <v>0</v>
      </c>
    </row>
    <row r="84" spans="1:6" s="13" customFormat="1" ht="26.25">
      <c r="A84" s="29" t="s">
        <v>84</v>
      </c>
      <c r="B84" s="28">
        <v>0</v>
      </c>
      <c r="C84" s="42">
        <v>0</v>
      </c>
      <c r="D84" s="42">
        <v>0</v>
      </c>
      <c r="E84" s="28">
        <f t="shared" si="6"/>
        <v>0</v>
      </c>
      <c r="F84" s="24">
        <f t="shared" si="7"/>
        <v>0</v>
      </c>
    </row>
    <row r="85" spans="1:6" s="36" customFormat="1" ht="26.25">
      <c r="A85" s="32" t="s">
        <v>85</v>
      </c>
      <c r="B85" s="34">
        <f>10959146+10129342</f>
        <v>21088488</v>
      </c>
      <c r="C85" s="51">
        <f>SUM(C81:C84)</f>
        <v>22514109</v>
      </c>
      <c r="D85" s="51">
        <f>SUM(D81:D84)</f>
        <v>14119981</v>
      </c>
      <c r="E85" s="34">
        <f t="shared" si="6"/>
        <v>-8394128</v>
      </c>
      <c r="F85" s="35">
        <f t="shared" si="7"/>
        <v>-0.37283856092195344</v>
      </c>
    </row>
    <row r="86" spans="1:6" s="13" customFormat="1" ht="26.25">
      <c r="A86" s="29" t="s">
        <v>86</v>
      </c>
      <c r="B86" s="28">
        <f>4365+34788</f>
        <v>39153</v>
      </c>
      <c r="C86" s="42">
        <f>34788+4365</f>
        <v>39153</v>
      </c>
      <c r="D86" s="42">
        <f>35000+4000</f>
        <v>39000</v>
      </c>
      <c r="E86" s="28">
        <f t="shared" si="6"/>
        <v>-153</v>
      </c>
      <c r="F86" s="24">
        <f t="shared" si="7"/>
        <v>-3.9077465328327329E-3</v>
      </c>
    </row>
    <row r="87" spans="1:6" s="13" customFormat="1" ht="26.25">
      <c r="A87" s="29" t="s">
        <v>87</v>
      </c>
      <c r="B87" s="28">
        <v>0</v>
      </c>
      <c r="C87" s="42">
        <v>0</v>
      </c>
      <c r="D87" s="42">
        <v>0</v>
      </c>
      <c r="E87" s="28">
        <f t="shared" si="6"/>
        <v>0</v>
      </c>
      <c r="F87" s="24">
        <f t="shared" si="7"/>
        <v>0</v>
      </c>
    </row>
    <row r="88" spans="1:6" s="13" customFormat="1" ht="26.25">
      <c r="A88" s="38" t="s">
        <v>88</v>
      </c>
      <c r="B88" s="28">
        <v>0</v>
      </c>
      <c r="C88" s="42">
        <v>0</v>
      </c>
      <c r="D88" s="42">
        <v>0</v>
      </c>
      <c r="E88" s="28">
        <f t="shared" si="6"/>
        <v>0</v>
      </c>
      <c r="F88" s="24">
        <f t="shared" si="7"/>
        <v>0</v>
      </c>
    </row>
    <row r="89" spans="1:6" s="36" customFormat="1" ht="26.25">
      <c r="A89" s="52" t="s">
        <v>89</v>
      </c>
      <c r="B89" s="260">
        <f>4365+34788</f>
        <v>39153</v>
      </c>
      <c r="C89" s="51">
        <f>SUM(C86:C88)</f>
        <v>39153</v>
      </c>
      <c r="D89" s="51">
        <f>SUM(D86:D88)</f>
        <v>39000</v>
      </c>
      <c r="E89" s="51">
        <f t="shared" si="6"/>
        <v>-153</v>
      </c>
      <c r="F89" s="35">
        <f t="shared" si="7"/>
        <v>-3.9077465328327329E-3</v>
      </c>
    </row>
    <row r="90" spans="1:6" s="13" customFormat="1" ht="26.25">
      <c r="A90" s="38" t="s">
        <v>90</v>
      </c>
      <c r="B90" s="28">
        <v>0</v>
      </c>
      <c r="C90" s="42">
        <f>'SU BOS'!C90+SUBR!C90+SUNO!C90+SUS!C90+SUAg!C90+SULaw!C90</f>
        <v>0</v>
      </c>
      <c r="D90" s="42">
        <f>'SU BOS'!D90+SUBR!D90+SUNO!D90+SUS!D90+SUAg!D90+SULaw!D90</f>
        <v>0</v>
      </c>
      <c r="E90" s="28">
        <f t="shared" si="6"/>
        <v>0</v>
      </c>
      <c r="F90" s="24">
        <f t="shared" si="7"/>
        <v>0</v>
      </c>
    </row>
    <row r="91" spans="1:6" s="36" customFormat="1" ht="27" thickBot="1">
      <c r="A91" s="53" t="s">
        <v>71</v>
      </c>
      <c r="B91" s="263">
        <f>12540428+11468506.13</f>
        <v>24008934.130000003</v>
      </c>
      <c r="C91" s="54">
        <f>C89+C85+C80+C76+C90</f>
        <v>25434555</v>
      </c>
      <c r="D91" s="55">
        <f>D89+D85+D80+D76+D90</f>
        <v>17193573</v>
      </c>
      <c r="E91" s="54">
        <f t="shared" si="6"/>
        <v>-8240982</v>
      </c>
      <c r="F91" s="56">
        <f t="shared" si="7"/>
        <v>-0.32400731996294019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topLeftCell="A16" zoomScale="60" zoomScaleNormal="60" workbookViewId="0">
      <selection activeCell="N20" sqref="N20"/>
    </sheetView>
  </sheetViews>
  <sheetFormatPr defaultRowHeight="15.75"/>
  <cols>
    <col min="1" max="1" width="102.28515625" style="65" customWidth="1"/>
    <col min="2" max="2" width="32.7109375" style="66" customWidth="1"/>
    <col min="3" max="4" width="32.85546875" style="66" customWidth="1"/>
    <col min="5" max="5" width="30.285156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4" t="s">
        <v>103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1004915</v>
      </c>
      <c r="C8" s="23">
        <v>1004915</v>
      </c>
      <c r="D8" s="23">
        <v>1006212</v>
      </c>
      <c r="E8" s="23">
        <v>1297</v>
      </c>
      <c r="F8" s="24">
        <v>1.2906564236776245E-3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98">
        <v>0</v>
      </c>
      <c r="C10" s="26">
        <v>0</v>
      </c>
      <c r="D10" s="26">
        <v>0</v>
      </c>
      <c r="E10" s="26">
        <v>0</v>
      </c>
      <c r="F10" s="24">
        <v>0</v>
      </c>
    </row>
    <row r="11" spans="1:6" s="13" customFormat="1" ht="26.25">
      <c r="A11" s="27" t="s">
        <v>19</v>
      </c>
      <c r="B11" s="299">
        <v>0</v>
      </c>
      <c r="C11" s="28">
        <v>0</v>
      </c>
      <c r="D11" s="28">
        <v>0</v>
      </c>
      <c r="E11" s="26">
        <v>0</v>
      </c>
      <c r="F11" s="24">
        <v>0</v>
      </c>
    </row>
    <row r="12" spans="1:6" s="13" customFormat="1" ht="26.25">
      <c r="A12" s="29" t="s">
        <v>20</v>
      </c>
      <c r="B12" s="299">
        <v>0</v>
      </c>
      <c r="C12" s="28">
        <v>0</v>
      </c>
      <c r="D12" s="28">
        <v>0</v>
      </c>
      <c r="E12" s="26">
        <v>0</v>
      </c>
      <c r="F12" s="24">
        <v>0</v>
      </c>
    </row>
    <row r="13" spans="1:6" s="13" customFormat="1" ht="26.25">
      <c r="A13" s="29" t="s">
        <v>21</v>
      </c>
      <c r="B13" s="299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99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13" customFormat="1" ht="26.25">
      <c r="A15" s="29" t="s">
        <v>23</v>
      </c>
      <c r="B15" s="299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299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99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99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99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99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99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99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99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99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99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99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99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99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13" customFormat="1" ht="26.25">
      <c r="A29" s="31" t="s">
        <v>37</v>
      </c>
      <c r="B29" s="299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99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99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00">
        <v>1004915</v>
      </c>
      <c r="C34" s="34">
        <v>1004915</v>
      </c>
      <c r="D34" s="34">
        <v>1006212</v>
      </c>
      <c r="E34" s="34">
        <v>1297</v>
      </c>
      <c r="F34" s="35">
        <v>1.2906564236776245E-3</v>
      </c>
    </row>
    <row r="35" spans="1:10" s="13" customFormat="1" ht="26.25">
      <c r="A35" s="31" t="s">
        <v>43</v>
      </c>
      <c r="B35" s="299"/>
      <c r="C35" s="28"/>
      <c r="D35" s="28"/>
      <c r="E35" s="28"/>
      <c r="F35" s="20"/>
    </row>
    <row r="36" spans="1:10" s="13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13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13" customFormat="1" ht="26.25">
      <c r="A38" s="38" t="s">
        <v>46</v>
      </c>
      <c r="B38" s="23">
        <v>0</v>
      </c>
      <c r="C38" s="23">
        <v>0</v>
      </c>
      <c r="D38" s="23">
        <v>0</v>
      </c>
      <c r="E38" s="26">
        <v>0</v>
      </c>
      <c r="F38" s="24">
        <v>0</v>
      </c>
    </row>
    <row r="39" spans="1:10" s="13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13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0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99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99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0</v>
      </c>
      <c r="C45" s="42">
        <v>0</v>
      </c>
      <c r="D45" s="42">
        <v>0</v>
      </c>
      <c r="E45" s="42">
        <v>0</v>
      </c>
      <c r="F45" s="35">
        <v>0</v>
      </c>
    </row>
    <row r="46" spans="1:10" s="13" customFormat="1" ht="26.25">
      <c r="A46" s="29" t="s">
        <v>50</v>
      </c>
      <c r="B46" s="299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0</v>
      </c>
      <c r="C47" s="40">
        <v>0</v>
      </c>
      <c r="D47" s="40">
        <v>0</v>
      </c>
      <c r="E47" s="40">
        <v>0</v>
      </c>
      <c r="F47" s="35">
        <v>0</v>
      </c>
    </row>
    <row r="48" spans="1:10" s="13" customFormat="1" ht="26.25">
      <c r="A48" s="29" t="s">
        <v>50</v>
      </c>
      <c r="B48" s="299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99"/>
      <c r="C52" s="28"/>
      <c r="D52" s="28"/>
      <c r="E52" s="28"/>
      <c r="F52" s="20"/>
    </row>
    <row r="53" spans="1:6" s="36" customFormat="1" ht="26.25">
      <c r="A53" s="46" t="s">
        <v>56</v>
      </c>
      <c r="B53" s="40">
        <v>1004915</v>
      </c>
      <c r="C53" s="40">
        <v>1004915</v>
      </c>
      <c r="D53" s="40">
        <v>1006212</v>
      </c>
      <c r="E53" s="40">
        <v>1297</v>
      </c>
      <c r="F53" s="35">
        <v>1.2906564236776245E-3</v>
      </c>
    </row>
    <row r="54" spans="1:6" s="13" customFormat="1" ht="26.25">
      <c r="A54" s="47"/>
      <c r="B54" s="299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0</v>
      </c>
      <c r="C57" s="19">
        <v>0</v>
      </c>
      <c r="D57" s="19">
        <v>0</v>
      </c>
      <c r="E57" s="19">
        <v>0</v>
      </c>
      <c r="F57" s="24">
        <v>0</v>
      </c>
    </row>
    <row r="58" spans="1:6" s="13" customFormat="1" ht="26.25">
      <c r="A58" s="29" t="s">
        <v>59</v>
      </c>
      <c r="B58" s="299">
        <v>0</v>
      </c>
      <c r="C58" s="28">
        <v>0</v>
      </c>
      <c r="D58" s="28">
        <v>0</v>
      </c>
      <c r="E58" s="28">
        <v>0</v>
      </c>
      <c r="F58" s="24">
        <v>0</v>
      </c>
    </row>
    <row r="59" spans="1:6" s="13" customFormat="1" ht="26.25">
      <c r="A59" s="29" t="s">
        <v>60</v>
      </c>
      <c r="B59" s="299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13" customFormat="1" ht="26.25">
      <c r="A60" s="29" t="s">
        <v>61</v>
      </c>
      <c r="B60" s="299">
        <v>1004915</v>
      </c>
      <c r="C60" s="28">
        <v>1004915</v>
      </c>
      <c r="D60" s="28">
        <v>1006212</v>
      </c>
      <c r="E60" s="28">
        <v>1297</v>
      </c>
      <c r="F60" s="24">
        <v>1.2906564236776245E-3</v>
      </c>
    </row>
    <row r="61" spans="1:6" s="13" customFormat="1" ht="26.25">
      <c r="A61" s="29" t="s">
        <v>62</v>
      </c>
      <c r="B61" s="299">
        <v>0</v>
      </c>
      <c r="C61" s="28">
        <v>0</v>
      </c>
      <c r="D61" s="28">
        <v>0</v>
      </c>
      <c r="E61" s="28">
        <v>0</v>
      </c>
      <c r="F61" s="24">
        <v>0</v>
      </c>
    </row>
    <row r="62" spans="1:6" s="13" customFormat="1" ht="26.25">
      <c r="A62" s="29" t="s">
        <v>63</v>
      </c>
      <c r="B62" s="299">
        <v>0</v>
      </c>
      <c r="C62" s="28">
        <v>0</v>
      </c>
      <c r="D62" s="28">
        <v>0</v>
      </c>
      <c r="E62" s="28">
        <v>0</v>
      </c>
      <c r="F62" s="24">
        <v>0</v>
      </c>
    </row>
    <row r="63" spans="1:6" s="13" customFormat="1" ht="26.25">
      <c r="A63" s="29" t="s">
        <v>64</v>
      </c>
      <c r="B63" s="299">
        <v>0</v>
      </c>
      <c r="C63" s="28">
        <v>0</v>
      </c>
      <c r="D63" s="28">
        <v>0</v>
      </c>
      <c r="E63" s="28">
        <v>0</v>
      </c>
      <c r="F63" s="24">
        <v>0</v>
      </c>
    </row>
    <row r="64" spans="1:6" s="13" customFormat="1" ht="26.25">
      <c r="A64" s="29" t="s">
        <v>65</v>
      </c>
      <c r="B64" s="299">
        <v>0</v>
      </c>
      <c r="C64" s="28">
        <v>0</v>
      </c>
      <c r="D64" s="28">
        <v>0</v>
      </c>
      <c r="E64" s="28">
        <v>0</v>
      </c>
      <c r="F64" s="24">
        <v>0</v>
      </c>
    </row>
    <row r="65" spans="1:6" s="36" customFormat="1" ht="26.25">
      <c r="A65" s="49" t="s">
        <v>66</v>
      </c>
      <c r="B65" s="300">
        <v>1004915</v>
      </c>
      <c r="C65" s="34">
        <v>1004915</v>
      </c>
      <c r="D65" s="34">
        <v>1006212</v>
      </c>
      <c r="E65" s="34">
        <v>1297</v>
      </c>
      <c r="F65" s="35">
        <v>1.2906564236776245E-3</v>
      </c>
    </row>
    <row r="66" spans="1:6" s="13" customFormat="1" ht="26.25">
      <c r="A66" s="29" t="s">
        <v>67</v>
      </c>
      <c r="B66" s="299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99">
        <v>0</v>
      </c>
      <c r="C67" s="28">
        <v>0</v>
      </c>
      <c r="D67" s="28">
        <v>0</v>
      </c>
      <c r="E67" s="28">
        <v>0</v>
      </c>
      <c r="F67" s="24">
        <v>0</v>
      </c>
    </row>
    <row r="68" spans="1:6" s="13" customFormat="1" ht="26.25">
      <c r="A68" s="29" t="s">
        <v>69</v>
      </c>
      <c r="B68" s="299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13" customFormat="1" ht="26.25">
      <c r="A69" s="29" t="s">
        <v>70</v>
      </c>
      <c r="B69" s="299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50" t="s">
        <v>71</v>
      </c>
      <c r="B70" s="301">
        <v>1004915</v>
      </c>
      <c r="C70" s="51">
        <v>1004915</v>
      </c>
      <c r="D70" s="51">
        <v>1006212</v>
      </c>
      <c r="E70" s="51">
        <v>1297</v>
      </c>
      <c r="F70" s="35">
        <v>1.2906564236776245E-3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265979</v>
      </c>
      <c r="C73" s="23">
        <v>265979</v>
      </c>
      <c r="D73" s="23">
        <v>250000</v>
      </c>
      <c r="E73" s="19">
        <v>-15979</v>
      </c>
      <c r="F73" s="24">
        <v>-6.0076171427067553E-2</v>
      </c>
    </row>
    <row r="74" spans="1:6" s="13" customFormat="1" ht="26.25">
      <c r="A74" s="29" t="s">
        <v>74</v>
      </c>
      <c r="B74" s="298">
        <v>0</v>
      </c>
      <c r="C74" s="23">
        <v>0</v>
      </c>
      <c r="D74" s="23">
        <v>0</v>
      </c>
      <c r="E74" s="28">
        <v>0</v>
      </c>
      <c r="F74" s="24">
        <v>0</v>
      </c>
    </row>
    <row r="75" spans="1:6" s="13" customFormat="1" ht="26.25">
      <c r="A75" s="29" t="s">
        <v>75</v>
      </c>
      <c r="B75" s="19">
        <v>76970</v>
      </c>
      <c r="C75" s="23">
        <v>76970</v>
      </c>
      <c r="D75" s="23">
        <v>85000</v>
      </c>
      <c r="E75" s="28">
        <v>8030</v>
      </c>
      <c r="F75" s="24">
        <v>0.10432636091983889</v>
      </c>
    </row>
    <row r="76" spans="1:6" s="36" customFormat="1" ht="26.25">
      <c r="A76" s="49" t="s">
        <v>76</v>
      </c>
      <c r="B76" s="301">
        <v>342949</v>
      </c>
      <c r="C76" s="51">
        <v>342949</v>
      </c>
      <c r="D76" s="51">
        <v>335000</v>
      </c>
      <c r="E76" s="34">
        <v>-7949</v>
      </c>
      <c r="F76" s="35">
        <v>-2.3178373460776967E-2</v>
      </c>
    </row>
    <row r="77" spans="1:6" s="13" customFormat="1" ht="26.25">
      <c r="A77" s="29" t="s">
        <v>77</v>
      </c>
      <c r="B77" s="298">
        <v>9963</v>
      </c>
      <c r="C77" s="26">
        <v>9963</v>
      </c>
      <c r="D77" s="26">
        <v>10000</v>
      </c>
      <c r="E77" s="28">
        <v>37</v>
      </c>
      <c r="F77" s="24">
        <v>3.713740841112115E-3</v>
      </c>
    </row>
    <row r="78" spans="1:6" s="13" customFormat="1" ht="26.25">
      <c r="A78" s="29" t="s">
        <v>78</v>
      </c>
      <c r="B78" s="23">
        <v>143557</v>
      </c>
      <c r="C78" s="23">
        <v>143557</v>
      </c>
      <c r="D78" s="23">
        <v>169492</v>
      </c>
      <c r="E78" s="28">
        <v>25935</v>
      </c>
      <c r="F78" s="24">
        <v>0.18065994692003873</v>
      </c>
    </row>
    <row r="79" spans="1:6" s="13" customFormat="1" ht="26.25">
      <c r="A79" s="29" t="s">
        <v>79</v>
      </c>
      <c r="B79" s="19">
        <v>24552</v>
      </c>
      <c r="C79" s="19">
        <v>24552</v>
      </c>
      <c r="D79" s="19">
        <v>23000</v>
      </c>
      <c r="E79" s="28">
        <v>-1552</v>
      </c>
      <c r="F79" s="24">
        <v>-6.321277289019224E-2</v>
      </c>
    </row>
    <row r="80" spans="1:6" s="36" customFormat="1" ht="26.25">
      <c r="A80" s="32" t="s">
        <v>80</v>
      </c>
      <c r="B80" s="301">
        <v>178072</v>
      </c>
      <c r="C80" s="51">
        <v>178072</v>
      </c>
      <c r="D80" s="51">
        <v>202492</v>
      </c>
      <c r="E80" s="34">
        <v>24420</v>
      </c>
      <c r="F80" s="35">
        <v>0.13713554068017431</v>
      </c>
    </row>
    <row r="81" spans="1:6" s="13" customFormat="1" ht="26.25">
      <c r="A81" s="29" t="s">
        <v>81</v>
      </c>
      <c r="B81" s="19">
        <v>10900</v>
      </c>
      <c r="C81" s="19">
        <v>10900</v>
      </c>
      <c r="D81" s="19">
        <v>25000</v>
      </c>
      <c r="E81" s="28">
        <v>14100</v>
      </c>
      <c r="F81" s="24">
        <v>1.2935779816513762</v>
      </c>
    </row>
    <row r="82" spans="1:6" s="13" customFormat="1" ht="26.25">
      <c r="A82" s="29" t="s">
        <v>82</v>
      </c>
      <c r="B82" s="299">
        <v>472994</v>
      </c>
      <c r="C82" s="28">
        <v>472994</v>
      </c>
      <c r="D82" s="28">
        <v>441720</v>
      </c>
      <c r="E82" s="28">
        <v>-31274</v>
      </c>
      <c r="F82" s="24">
        <v>-6.6119231956430741E-2</v>
      </c>
    </row>
    <row r="83" spans="1:6" s="13" customFormat="1" ht="26.25">
      <c r="A83" s="29" t="s">
        <v>83</v>
      </c>
      <c r="B83" s="299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299">
        <v>0</v>
      </c>
      <c r="C84" s="28">
        <v>0</v>
      </c>
      <c r="D84" s="28">
        <v>0</v>
      </c>
      <c r="E84" s="28">
        <v>0</v>
      </c>
      <c r="F84" s="24">
        <v>0</v>
      </c>
    </row>
    <row r="85" spans="1:6" s="36" customFormat="1" ht="26.25">
      <c r="A85" s="32" t="s">
        <v>85</v>
      </c>
      <c r="B85" s="300">
        <v>483894</v>
      </c>
      <c r="C85" s="34">
        <v>483894</v>
      </c>
      <c r="D85" s="34">
        <v>466720</v>
      </c>
      <c r="E85" s="34">
        <v>-17174</v>
      </c>
      <c r="F85" s="35">
        <v>-3.5491243950121307E-2</v>
      </c>
    </row>
    <row r="86" spans="1:6" s="13" customFormat="1" ht="26.25">
      <c r="A86" s="29" t="s">
        <v>86</v>
      </c>
      <c r="B86" s="299">
        <v>0</v>
      </c>
      <c r="C86" s="28">
        <v>0</v>
      </c>
      <c r="D86" s="28">
        <v>2000</v>
      </c>
      <c r="E86" s="28">
        <v>2000</v>
      </c>
      <c r="F86" s="24">
        <v>1</v>
      </c>
    </row>
    <row r="87" spans="1:6" s="13" customFormat="1" ht="26.25">
      <c r="A87" s="29" t="s">
        <v>87</v>
      </c>
      <c r="B87" s="299">
        <v>0</v>
      </c>
      <c r="C87" s="28">
        <v>0</v>
      </c>
      <c r="D87" s="28">
        <v>0</v>
      </c>
      <c r="E87" s="28">
        <v>0</v>
      </c>
      <c r="F87" s="24">
        <v>0</v>
      </c>
    </row>
    <row r="88" spans="1:6" s="13" customFormat="1" ht="26.25">
      <c r="A88" s="38" t="s">
        <v>88</v>
      </c>
      <c r="B88" s="299">
        <v>0</v>
      </c>
      <c r="C88" s="28">
        <v>0</v>
      </c>
      <c r="D88" s="28">
        <v>0</v>
      </c>
      <c r="E88" s="28">
        <v>0</v>
      </c>
      <c r="F88" s="24">
        <v>0</v>
      </c>
    </row>
    <row r="89" spans="1:6" s="36" customFormat="1" ht="26.25">
      <c r="A89" s="52" t="s">
        <v>89</v>
      </c>
      <c r="B89" s="301">
        <v>0</v>
      </c>
      <c r="C89" s="51">
        <v>0</v>
      </c>
      <c r="D89" s="51">
        <v>2000</v>
      </c>
      <c r="E89" s="51">
        <v>2000</v>
      </c>
      <c r="F89" s="35">
        <v>1</v>
      </c>
    </row>
    <row r="90" spans="1:6" s="13" customFormat="1" ht="26.25">
      <c r="A90" s="38" t="s">
        <v>90</v>
      </c>
      <c r="B90" s="299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36" customFormat="1" ht="27" thickBot="1">
      <c r="A91" s="53" t="s">
        <v>71</v>
      </c>
      <c r="B91" s="302">
        <v>1004915</v>
      </c>
      <c r="C91" s="54">
        <v>1004915</v>
      </c>
      <c r="D91" s="55">
        <v>1006212</v>
      </c>
      <c r="E91" s="54">
        <v>1297</v>
      </c>
      <c r="F91" s="56">
        <v>1.2906564236776245E-3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zoomScale="50" zoomScaleNormal="50" workbookViewId="0">
      <selection activeCell="G17" sqref="G17"/>
    </sheetView>
  </sheetViews>
  <sheetFormatPr defaultColWidth="103" defaultRowHeight="15.75"/>
  <cols>
    <col min="1" max="1" width="103" style="65"/>
    <col min="2" max="2" width="32.7109375" style="66" customWidth="1"/>
    <col min="3" max="4" width="32.5703125" style="66" customWidth="1"/>
    <col min="5" max="5" width="30.5703125" style="120" customWidth="1"/>
    <col min="6" max="6" width="31.28515625" style="121" customWidth="1"/>
    <col min="7" max="16384" width="103" style="65"/>
  </cols>
  <sheetData>
    <row r="1" spans="1:6" s="6" customFormat="1" ht="46.5">
      <c r="A1" s="1" t="s">
        <v>0</v>
      </c>
      <c r="D1" s="284" t="s">
        <v>1</v>
      </c>
      <c r="E1" s="84" t="s">
        <v>100</v>
      </c>
      <c r="F1" s="288"/>
    </row>
    <row r="2" spans="1:6" s="6" customFormat="1" ht="46.5">
      <c r="A2" s="1" t="s">
        <v>2</v>
      </c>
      <c r="B2" s="2"/>
      <c r="C2" s="2"/>
      <c r="D2" s="2"/>
      <c r="E2" s="86"/>
      <c r="F2" s="85"/>
    </row>
    <row r="3" spans="1:6" s="6" customFormat="1" ht="47.25" thickBot="1">
      <c r="A3" s="7" t="s">
        <v>3</v>
      </c>
      <c r="B3" s="8"/>
      <c r="C3" s="8"/>
      <c r="D3" s="8"/>
      <c r="E3" s="86"/>
      <c r="F3" s="85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87" t="s">
        <v>7</v>
      </c>
      <c r="F4" s="88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89" t="s">
        <v>13</v>
      </c>
      <c r="F5" s="90" t="s">
        <v>12</v>
      </c>
    </row>
    <row r="6" spans="1:6" s="13" customFormat="1" ht="26.25">
      <c r="A6" s="18" t="s">
        <v>14</v>
      </c>
      <c r="B6" s="19"/>
      <c r="C6" s="19"/>
      <c r="D6" s="19"/>
      <c r="E6" s="91"/>
      <c r="F6" s="92"/>
    </row>
    <row r="7" spans="1:6" s="13" customFormat="1" ht="26.25">
      <c r="A7" s="18" t="s">
        <v>15</v>
      </c>
      <c r="B7" s="19"/>
      <c r="C7" s="19"/>
      <c r="D7" s="19"/>
      <c r="E7" s="91"/>
      <c r="F7" s="93"/>
    </row>
    <row r="8" spans="1:6" s="13" customFormat="1" ht="26.25">
      <c r="A8" s="22" t="s">
        <v>16</v>
      </c>
      <c r="B8" s="23">
        <v>13413387</v>
      </c>
      <c r="C8" s="23">
        <v>13413387</v>
      </c>
      <c r="D8" s="23">
        <v>12119229</v>
      </c>
      <c r="E8" s="94">
        <v>-1294158</v>
      </c>
      <c r="F8" s="95">
        <v>-9.6482566260110147E-2</v>
      </c>
    </row>
    <row r="9" spans="1:6" s="13" customFormat="1" ht="26.25">
      <c r="A9" s="22" t="s">
        <v>17</v>
      </c>
      <c r="B9" s="96">
        <v>0</v>
      </c>
      <c r="C9" s="96">
        <v>0</v>
      </c>
      <c r="D9" s="96">
        <v>0</v>
      </c>
      <c r="E9" s="94">
        <v>0</v>
      </c>
      <c r="F9" s="95">
        <v>0</v>
      </c>
    </row>
    <row r="10" spans="1:6" s="13" customFormat="1" ht="26.25">
      <c r="A10" s="25" t="s">
        <v>18</v>
      </c>
      <c r="B10" s="290">
        <v>517755</v>
      </c>
      <c r="C10" s="97">
        <v>519720</v>
      </c>
      <c r="D10" s="97">
        <v>470057</v>
      </c>
      <c r="E10" s="98">
        <v>-49663</v>
      </c>
      <c r="F10" s="95">
        <v>-9.5557223120141616E-2</v>
      </c>
    </row>
    <row r="11" spans="1:6" s="13" customFormat="1" ht="26.25">
      <c r="A11" s="27" t="s">
        <v>19</v>
      </c>
      <c r="B11" s="99">
        <v>10847</v>
      </c>
      <c r="C11" s="99">
        <v>10847</v>
      </c>
      <c r="D11" s="99">
        <v>0</v>
      </c>
      <c r="E11" s="98">
        <v>-10847</v>
      </c>
      <c r="F11" s="95">
        <v>-1</v>
      </c>
    </row>
    <row r="12" spans="1:6" s="13" customFormat="1" ht="26.25">
      <c r="A12" s="29" t="s">
        <v>20</v>
      </c>
      <c r="B12" s="99">
        <v>506908</v>
      </c>
      <c r="C12" s="99">
        <v>508873</v>
      </c>
      <c r="D12" s="99">
        <v>470057</v>
      </c>
      <c r="E12" s="98">
        <v>-38816</v>
      </c>
      <c r="F12" s="95">
        <v>-7.6278364149797689E-2</v>
      </c>
    </row>
    <row r="13" spans="1:6" s="13" customFormat="1" ht="26.25">
      <c r="A13" s="29" t="s">
        <v>21</v>
      </c>
      <c r="B13" s="100">
        <v>0</v>
      </c>
      <c r="C13" s="100">
        <v>0</v>
      </c>
      <c r="D13" s="100">
        <v>0</v>
      </c>
      <c r="E13" s="98">
        <v>0</v>
      </c>
      <c r="F13" s="95">
        <v>0</v>
      </c>
    </row>
    <row r="14" spans="1:6" s="13" customFormat="1" ht="26.25">
      <c r="A14" s="29" t="s">
        <v>22</v>
      </c>
      <c r="B14" s="100">
        <v>0</v>
      </c>
      <c r="C14" s="100">
        <v>0</v>
      </c>
      <c r="D14" s="100">
        <v>0</v>
      </c>
      <c r="E14" s="98">
        <v>0</v>
      </c>
      <c r="F14" s="95">
        <v>0</v>
      </c>
    </row>
    <row r="15" spans="1:6" s="13" customFormat="1" ht="26.25">
      <c r="A15" s="29" t="s">
        <v>23</v>
      </c>
      <c r="B15" s="100">
        <v>0</v>
      </c>
      <c r="C15" s="100">
        <v>0</v>
      </c>
      <c r="D15" s="100">
        <v>0</v>
      </c>
      <c r="E15" s="98">
        <v>0</v>
      </c>
      <c r="F15" s="95">
        <v>0</v>
      </c>
    </row>
    <row r="16" spans="1:6" s="13" customFormat="1" ht="26.25">
      <c r="A16" s="29" t="s">
        <v>24</v>
      </c>
      <c r="B16" s="100">
        <v>0</v>
      </c>
      <c r="C16" s="100">
        <v>0</v>
      </c>
      <c r="D16" s="100">
        <v>0</v>
      </c>
      <c r="E16" s="98">
        <v>0</v>
      </c>
      <c r="F16" s="95">
        <v>0</v>
      </c>
    </row>
    <row r="17" spans="1:6" s="13" customFormat="1" ht="26.25">
      <c r="A17" s="29" t="s">
        <v>25</v>
      </c>
      <c r="B17" s="100">
        <v>0</v>
      </c>
      <c r="C17" s="100">
        <v>0</v>
      </c>
      <c r="D17" s="100">
        <v>0</v>
      </c>
      <c r="E17" s="98">
        <v>0</v>
      </c>
      <c r="F17" s="95">
        <v>0</v>
      </c>
    </row>
    <row r="18" spans="1:6" s="13" customFormat="1" ht="26.25">
      <c r="A18" s="29" t="s">
        <v>26</v>
      </c>
      <c r="B18" s="100">
        <v>0</v>
      </c>
      <c r="C18" s="100">
        <v>0</v>
      </c>
      <c r="D18" s="100">
        <v>0</v>
      </c>
      <c r="E18" s="98">
        <v>0</v>
      </c>
      <c r="F18" s="95">
        <v>0</v>
      </c>
    </row>
    <row r="19" spans="1:6" s="13" customFormat="1" ht="26.25">
      <c r="A19" s="29" t="s">
        <v>27</v>
      </c>
      <c r="B19" s="100">
        <v>0</v>
      </c>
      <c r="C19" s="100">
        <v>0</v>
      </c>
      <c r="D19" s="100">
        <v>0</v>
      </c>
      <c r="E19" s="98">
        <v>0</v>
      </c>
      <c r="F19" s="95">
        <v>0</v>
      </c>
    </row>
    <row r="20" spans="1:6" s="13" customFormat="1" ht="26.25">
      <c r="A20" s="29" t="s">
        <v>28</v>
      </c>
      <c r="B20" s="100">
        <v>0</v>
      </c>
      <c r="C20" s="100">
        <v>0</v>
      </c>
      <c r="D20" s="100">
        <v>0</v>
      </c>
      <c r="E20" s="98">
        <v>0</v>
      </c>
      <c r="F20" s="95">
        <v>0</v>
      </c>
    </row>
    <row r="21" spans="1:6" s="13" customFormat="1" ht="26.25">
      <c r="A21" s="29" t="s">
        <v>29</v>
      </c>
      <c r="B21" s="100">
        <v>0</v>
      </c>
      <c r="C21" s="100">
        <v>0</v>
      </c>
      <c r="D21" s="100">
        <v>0</v>
      </c>
      <c r="E21" s="98">
        <v>0</v>
      </c>
      <c r="F21" s="95">
        <v>0</v>
      </c>
    </row>
    <row r="22" spans="1:6" s="13" customFormat="1" ht="26.25">
      <c r="A22" s="29" t="s">
        <v>30</v>
      </c>
      <c r="B22" s="100">
        <v>0</v>
      </c>
      <c r="C22" s="100">
        <v>0</v>
      </c>
      <c r="D22" s="100">
        <v>0</v>
      </c>
      <c r="E22" s="98">
        <v>0</v>
      </c>
      <c r="F22" s="95">
        <v>0</v>
      </c>
    </row>
    <row r="23" spans="1:6" s="13" customFormat="1" ht="26.25">
      <c r="A23" s="30" t="s">
        <v>31</v>
      </c>
      <c r="B23" s="100">
        <v>0</v>
      </c>
      <c r="C23" s="100">
        <v>0</v>
      </c>
      <c r="D23" s="100">
        <v>0</v>
      </c>
      <c r="E23" s="98">
        <v>0</v>
      </c>
      <c r="F23" s="95">
        <v>0</v>
      </c>
    </row>
    <row r="24" spans="1:6" s="13" customFormat="1" ht="26.25">
      <c r="A24" s="30" t="s">
        <v>32</v>
      </c>
      <c r="B24" s="100">
        <v>0</v>
      </c>
      <c r="C24" s="100">
        <v>0</v>
      </c>
      <c r="D24" s="100">
        <v>0</v>
      </c>
      <c r="E24" s="98">
        <v>0</v>
      </c>
      <c r="F24" s="95">
        <v>0</v>
      </c>
    </row>
    <row r="25" spans="1:6" s="13" customFormat="1" ht="26.25">
      <c r="A25" s="30" t="s">
        <v>33</v>
      </c>
      <c r="B25" s="100">
        <v>0</v>
      </c>
      <c r="C25" s="100">
        <v>0</v>
      </c>
      <c r="D25" s="100">
        <v>0</v>
      </c>
      <c r="E25" s="98">
        <v>0</v>
      </c>
      <c r="F25" s="95">
        <v>0</v>
      </c>
    </row>
    <row r="26" spans="1:6" s="13" customFormat="1" ht="26.25">
      <c r="A26" s="30" t="s">
        <v>34</v>
      </c>
      <c r="B26" s="100">
        <v>0</v>
      </c>
      <c r="C26" s="100">
        <v>0</v>
      </c>
      <c r="D26" s="100">
        <v>0</v>
      </c>
      <c r="E26" s="98">
        <v>0</v>
      </c>
      <c r="F26" s="95">
        <v>0</v>
      </c>
    </row>
    <row r="27" spans="1:6" s="13" customFormat="1" ht="26.25">
      <c r="A27" s="30" t="s">
        <v>35</v>
      </c>
      <c r="B27" s="100">
        <v>0</v>
      </c>
      <c r="C27" s="100">
        <v>0</v>
      </c>
      <c r="D27" s="100">
        <v>0</v>
      </c>
      <c r="E27" s="98">
        <v>0</v>
      </c>
      <c r="F27" s="95">
        <v>0</v>
      </c>
    </row>
    <row r="28" spans="1:6" s="13" customFormat="1" ht="26.25">
      <c r="A28" s="30" t="s">
        <v>36</v>
      </c>
      <c r="B28" s="100">
        <v>0</v>
      </c>
      <c r="C28" s="100">
        <v>0</v>
      </c>
      <c r="D28" s="100">
        <v>0</v>
      </c>
      <c r="E28" s="98">
        <v>0</v>
      </c>
      <c r="F28" s="95">
        <v>0</v>
      </c>
    </row>
    <row r="29" spans="1:6" s="13" customFormat="1" ht="26.25">
      <c r="A29" s="31" t="s">
        <v>37</v>
      </c>
      <c r="B29" s="100"/>
      <c r="C29" s="100"/>
      <c r="D29" s="100"/>
      <c r="E29" s="101"/>
      <c r="F29" s="92"/>
    </row>
    <row r="30" spans="1:6" s="13" customFormat="1" ht="26.25">
      <c r="A30" s="27" t="s">
        <v>38</v>
      </c>
      <c r="B30" s="96">
        <v>0</v>
      </c>
      <c r="C30" s="96">
        <v>0</v>
      </c>
      <c r="D30" s="96">
        <v>0</v>
      </c>
      <c r="E30" s="94">
        <v>0</v>
      </c>
      <c r="F30" s="95">
        <v>0</v>
      </c>
    </row>
    <row r="31" spans="1:6" s="13" customFormat="1" ht="26.25">
      <c r="A31" s="32" t="s">
        <v>39</v>
      </c>
      <c r="B31" s="100"/>
      <c r="C31" s="100"/>
      <c r="D31" s="100"/>
      <c r="E31" s="101"/>
      <c r="F31" s="92"/>
    </row>
    <row r="32" spans="1:6" s="13" customFormat="1" ht="26.25">
      <c r="A32" s="27" t="s">
        <v>38</v>
      </c>
      <c r="B32" s="102">
        <v>0</v>
      </c>
      <c r="C32" s="102">
        <v>0</v>
      </c>
      <c r="D32" s="102">
        <v>0</v>
      </c>
      <c r="E32" s="94">
        <v>0</v>
      </c>
      <c r="F32" s="95">
        <v>0</v>
      </c>
    </row>
    <row r="33" spans="1:10" s="13" customFormat="1" ht="26.25">
      <c r="A33" s="29" t="s">
        <v>40</v>
      </c>
      <c r="B33" s="28"/>
      <c r="C33" s="28"/>
      <c r="D33" s="28"/>
      <c r="E33" s="98"/>
      <c r="F33" s="95" t="s">
        <v>41</v>
      </c>
    </row>
    <row r="34" spans="1:10" s="36" customFormat="1" ht="26.25">
      <c r="A34" s="33" t="s">
        <v>42</v>
      </c>
      <c r="B34" s="34">
        <v>13931142</v>
      </c>
      <c r="C34" s="34">
        <v>13933107</v>
      </c>
      <c r="D34" s="34">
        <v>12589286</v>
      </c>
      <c r="E34" s="103">
        <v>-1343821</v>
      </c>
      <c r="F34" s="104">
        <v>-9.644804995755793E-2</v>
      </c>
    </row>
    <row r="35" spans="1:10" s="13" customFormat="1" ht="26.25">
      <c r="A35" s="31" t="s">
        <v>43</v>
      </c>
      <c r="B35" s="100"/>
      <c r="C35" s="100"/>
      <c r="D35" s="100"/>
      <c r="E35" s="101"/>
      <c r="F35" s="92"/>
    </row>
    <row r="36" spans="1:10" s="13" customFormat="1" ht="26.25">
      <c r="A36" s="37" t="s">
        <v>44</v>
      </c>
      <c r="B36" s="96">
        <v>0</v>
      </c>
      <c r="C36" s="96">
        <v>0</v>
      </c>
      <c r="D36" s="96">
        <v>0</v>
      </c>
      <c r="E36" s="94">
        <v>0</v>
      </c>
      <c r="F36" s="95">
        <v>0</v>
      </c>
    </row>
    <row r="37" spans="1:10" s="13" customFormat="1" ht="26.25">
      <c r="A37" s="38" t="s">
        <v>45</v>
      </c>
      <c r="B37" s="96">
        <v>0</v>
      </c>
      <c r="C37" s="96">
        <v>0</v>
      </c>
      <c r="D37" s="96">
        <v>0</v>
      </c>
      <c r="E37" s="98">
        <v>0</v>
      </c>
      <c r="F37" s="95">
        <v>0</v>
      </c>
    </row>
    <row r="38" spans="1:10" s="13" customFormat="1" ht="26.25">
      <c r="A38" s="38" t="s">
        <v>46</v>
      </c>
      <c r="B38" s="96">
        <v>3262358</v>
      </c>
      <c r="C38" s="96">
        <v>0</v>
      </c>
      <c r="D38" s="96">
        <v>0</v>
      </c>
      <c r="E38" s="98">
        <v>0</v>
      </c>
      <c r="F38" s="95">
        <v>0</v>
      </c>
    </row>
    <row r="39" spans="1:10" s="13" customFormat="1" ht="26.25">
      <c r="A39" s="38" t="s">
        <v>47</v>
      </c>
      <c r="B39" s="96">
        <v>0</v>
      </c>
      <c r="C39" s="96">
        <v>0</v>
      </c>
      <c r="D39" s="96">
        <v>0</v>
      </c>
      <c r="E39" s="98">
        <v>0</v>
      </c>
      <c r="F39" s="95">
        <v>0</v>
      </c>
    </row>
    <row r="40" spans="1:10" s="13" customFormat="1" ht="26.25">
      <c r="A40" s="39" t="s">
        <v>48</v>
      </c>
      <c r="B40" s="96">
        <v>0</v>
      </c>
      <c r="C40" s="96">
        <v>0</v>
      </c>
      <c r="D40" s="96">
        <v>0</v>
      </c>
      <c r="E40" s="98">
        <v>0</v>
      </c>
      <c r="F40" s="95">
        <v>0</v>
      </c>
    </row>
    <row r="41" spans="1:10" s="36" customFormat="1" ht="26.25">
      <c r="A41" s="31" t="s">
        <v>49</v>
      </c>
      <c r="B41" s="105">
        <v>3262358</v>
      </c>
      <c r="C41" s="105">
        <v>0</v>
      </c>
      <c r="D41" s="105">
        <v>0</v>
      </c>
      <c r="E41" s="106">
        <v>0</v>
      </c>
      <c r="F41" s="104">
        <v>0</v>
      </c>
      <c r="J41" s="36" t="s">
        <v>50</v>
      </c>
    </row>
    <row r="42" spans="1:10" s="13" customFormat="1" ht="26.25">
      <c r="A42" s="29" t="s">
        <v>50</v>
      </c>
      <c r="B42" s="100"/>
      <c r="C42" s="100"/>
      <c r="D42" s="100"/>
      <c r="E42" s="101"/>
      <c r="F42" s="92"/>
    </row>
    <row r="43" spans="1:10" s="36" customFormat="1" ht="26.25">
      <c r="A43" s="41" t="s">
        <v>51</v>
      </c>
      <c r="B43" s="107">
        <v>0</v>
      </c>
      <c r="C43" s="107">
        <v>0</v>
      </c>
      <c r="D43" s="107">
        <v>0</v>
      </c>
      <c r="E43" s="108">
        <v>0</v>
      </c>
      <c r="F43" s="104">
        <v>0</v>
      </c>
    </row>
    <row r="44" spans="1:10" s="13" customFormat="1" ht="26.25">
      <c r="A44" s="29" t="s">
        <v>50</v>
      </c>
      <c r="B44" s="28"/>
      <c r="C44" s="28"/>
      <c r="D44" s="28"/>
      <c r="E44" s="101"/>
      <c r="F44" s="92"/>
    </row>
    <row r="45" spans="1:10" s="36" customFormat="1" ht="26.25">
      <c r="A45" s="41" t="s">
        <v>52</v>
      </c>
      <c r="B45" s="42">
        <v>4198079</v>
      </c>
      <c r="C45" s="42">
        <v>4198079</v>
      </c>
      <c r="D45" s="42">
        <v>0</v>
      </c>
      <c r="E45" s="108">
        <v>-4198079</v>
      </c>
      <c r="F45" s="104">
        <v>-1</v>
      </c>
    </row>
    <row r="46" spans="1:10" s="13" customFormat="1" ht="26.25">
      <c r="A46" s="29" t="s">
        <v>50</v>
      </c>
      <c r="B46" s="28"/>
      <c r="C46" s="28"/>
      <c r="D46" s="28"/>
      <c r="E46" s="101"/>
      <c r="F46" s="92"/>
    </row>
    <row r="47" spans="1:10" s="36" customFormat="1" ht="26.25">
      <c r="A47" s="31" t="s">
        <v>53</v>
      </c>
      <c r="B47" s="40">
        <v>13910402</v>
      </c>
      <c r="C47" s="40">
        <v>12090812</v>
      </c>
      <c r="D47" s="40">
        <v>17642471</v>
      </c>
      <c r="E47" s="106">
        <v>5551659</v>
      </c>
      <c r="F47" s="104">
        <v>0.45916345403435271</v>
      </c>
    </row>
    <row r="48" spans="1:10" s="13" customFormat="1" ht="26.25">
      <c r="A48" s="29" t="s">
        <v>50</v>
      </c>
      <c r="B48" s="28"/>
      <c r="C48" s="28"/>
      <c r="D48" s="28"/>
      <c r="E48" s="101"/>
      <c r="F48" s="92"/>
    </row>
    <row r="49" spans="1:6" s="36" customFormat="1" ht="26.25">
      <c r="A49" s="43" t="s">
        <v>54</v>
      </c>
      <c r="B49" s="109">
        <v>0</v>
      </c>
      <c r="C49" s="109">
        <v>0</v>
      </c>
      <c r="D49" s="109">
        <v>0</v>
      </c>
      <c r="E49" s="110">
        <v>0</v>
      </c>
      <c r="F49" s="104">
        <v>0</v>
      </c>
    </row>
    <row r="50" spans="1:6" s="13" customFormat="1" ht="26.25">
      <c r="A50" s="31"/>
      <c r="B50" s="102"/>
      <c r="C50" s="102"/>
      <c r="D50" s="102"/>
      <c r="E50" s="91"/>
      <c r="F50" s="111"/>
    </row>
    <row r="51" spans="1:6" s="36" customFormat="1" ht="26.25">
      <c r="A51" s="31" t="s">
        <v>55</v>
      </c>
      <c r="B51" s="105">
        <v>0</v>
      </c>
      <c r="C51" s="105">
        <v>0</v>
      </c>
      <c r="D51" s="105">
        <v>0</v>
      </c>
      <c r="E51" s="110">
        <v>0</v>
      </c>
      <c r="F51" s="104">
        <v>0</v>
      </c>
    </row>
    <row r="52" spans="1:6" s="13" customFormat="1" ht="26.25">
      <c r="A52" s="29"/>
      <c r="B52" s="28"/>
      <c r="C52" s="28"/>
      <c r="D52" s="28"/>
      <c r="E52" s="101"/>
      <c r="F52" s="92"/>
    </row>
    <row r="53" spans="1:6" s="36" customFormat="1" ht="26.25">
      <c r="A53" s="46" t="s">
        <v>56</v>
      </c>
      <c r="B53" s="40">
        <v>28777265</v>
      </c>
      <c r="C53" s="40">
        <v>30221998</v>
      </c>
      <c r="D53" s="40">
        <v>30231757</v>
      </c>
      <c r="E53" s="106">
        <v>9759</v>
      </c>
      <c r="F53" s="104">
        <v>3.22910483946164E-4</v>
      </c>
    </row>
    <row r="54" spans="1:6" s="13" customFormat="1" ht="26.25">
      <c r="A54" s="47"/>
      <c r="B54" s="28"/>
      <c r="C54" s="28"/>
      <c r="D54" s="28"/>
      <c r="E54" s="101"/>
      <c r="F54" s="92" t="s">
        <v>50</v>
      </c>
    </row>
    <row r="55" spans="1:6" s="13" customFormat="1" ht="26.25">
      <c r="A55" s="48"/>
      <c r="B55" s="19"/>
      <c r="C55" s="19"/>
      <c r="D55" s="19"/>
      <c r="E55" s="91"/>
      <c r="F55" s="93" t="s">
        <v>50</v>
      </c>
    </row>
    <row r="56" spans="1:6" s="13" customFormat="1" ht="26.25">
      <c r="A56" s="46" t="s">
        <v>57</v>
      </c>
      <c r="B56" s="19"/>
      <c r="C56" s="19"/>
      <c r="D56" s="19"/>
      <c r="E56" s="91"/>
      <c r="F56" s="93"/>
    </row>
    <row r="57" spans="1:6" s="13" customFormat="1" ht="26.25">
      <c r="A57" s="27" t="s">
        <v>58</v>
      </c>
      <c r="B57" s="19">
        <v>11077369</v>
      </c>
      <c r="C57" s="19">
        <v>13227657</v>
      </c>
      <c r="D57" s="19">
        <v>13243830</v>
      </c>
      <c r="E57" s="91">
        <v>16173</v>
      </c>
      <c r="F57" s="95">
        <v>1.2226655106040321E-3</v>
      </c>
    </row>
    <row r="58" spans="1:6" s="13" customFormat="1" ht="26.25">
      <c r="A58" s="29" t="s">
        <v>59</v>
      </c>
      <c r="B58" s="100">
        <v>0</v>
      </c>
      <c r="C58" s="100">
        <v>0</v>
      </c>
      <c r="D58" s="100">
        <v>0</v>
      </c>
      <c r="E58" s="101">
        <v>0</v>
      </c>
      <c r="F58" s="95">
        <v>0</v>
      </c>
    </row>
    <row r="59" spans="1:6" s="13" customFormat="1" ht="26.25">
      <c r="A59" s="29" t="s">
        <v>60</v>
      </c>
      <c r="B59" s="100">
        <v>0</v>
      </c>
      <c r="C59" s="100">
        <v>0</v>
      </c>
      <c r="D59" s="100">
        <v>0</v>
      </c>
      <c r="E59" s="101">
        <v>0</v>
      </c>
      <c r="F59" s="95">
        <v>0</v>
      </c>
    </row>
    <row r="60" spans="1:6" s="13" customFormat="1" ht="26.25">
      <c r="A60" s="29" t="s">
        <v>61</v>
      </c>
      <c r="B60" s="99">
        <v>4480902</v>
      </c>
      <c r="C60" s="99">
        <v>4291768</v>
      </c>
      <c r="D60" s="99">
        <v>4112230</v>
      </c>
      <c r="E60" s="101">
        <v>-179538</v>
      </c>
      <c r="F60" s="95">
        <v>-4.1833109338622221E-2</v>
      </c>
    </row>
    <row r="61" spans="1:6" s="13" customFormat="1" ht="26.25">
      <c r="A61" s="29" t="s">
        <v>62</v>
      </c>
      <c r="B61" s="99">
        <v>2560225</v>
      </c>
      <c r="C61" s="99">
        <v>2574957</v>
      </c>
      <c r="D61" s="99">
        <v>2440848</v>
      </c>
      <c r="E61" s="101">
        <v>-134109</v>
      </c>
      <c r="F61" s="95">
        <v>-5.208203476795923E-2</v>
      </c>
    </row>
    <row r="62" spans="1:6" s="13" customFormat="1" ht="26.25">
      <c r="A62" s="29" t="s">
        <v>63</v>
      </c>
      <c r="B62" s="99">
        <v>5456722</v>
      </c>
      <c r="C62" s="99">
        <v>4955206</v>
      </c>
      <c r="D62" s="99">
        <v>4942012</v>
      </c>
      <c r="E62" s="101">
        <v>-13194</v>
      </c>
      <c r="F62" s="95">
        <v>-2.6626541863244433E-3</v>
      </c>
    </row>
    <row r="63" spans="1:6" s="13" customFormat="1" ht="26.25">
      <c r="A63" s="29" t="s">
        <v>64</v>
      </c>
      <c r="B63" s="99">
        <v>192646</v>
      </c>
      <c r="C63" s="99">
        <v>182000</v>
      </c>
      <c r="D63" s="99">
        <v>185000</v>
      </c>
      <c r="E63" s="101">
        <v>3000</v>
      </c>
      <c r="F63" s="95">
        <v>1.6483516483516484E-2</v>
      </c>
    </row>
    <row r="64" spans="1:6" s="13" customFormat="1" ht="26.25">
      <c r="A64" s="29" t="s">
        <v>65</v>
      </c>
      <c r="B64" s="99">
        <v>4234553</v>
      </c>
      <c r="C64" s="99">
        <v>4205591</v>
      </c>
      <c r="D64" s="99">
        <v>4550669</v>
      </c>
      <c r="E64" s="101">
        <v>345078</v>
      </c>
      <c r="F64" s="95">
        <v>8.2052201462291502E-2</v>
      </c>
    </row>
    <row r="65" spans="1:6" s="36" customFormat="1" ht="26.25">
      <c r="A65" s="49" t="s">
        <v>66</v>
      </c>
      <c r="B65" s="34">
        <v>28002417</v>
      </c>
      <c r="C65" s="34">
        <v>29437179</v>
      </c>
      <c r="D65" s="34">
        <v>29474589</v>
      </c>
      <c r="E65" s="103">
        <v>37410</v>
      </c>
      <c r="F65" s="104">
        <v>1.2708418833204092E-3</v>
      </c>
    </row>
    <row r="66" spans="1:6" s="13" customFormat="1" ht="26.25">
      <c r="A66" s="29" t="s">
        <v>67</v>
      </c>
      <c r="B66" s="100">
        <v>0</v>
      </c>
      <c r="C66" s="100">
        <v>0</v>
      </c>
      <c r="D66" s="100">
        <v>0</v>
      </c>
      <c r="E66" s="101">
        <v>0</v>
      </c>
      <c r="F66" s="95">
        <v>0</v>
      </c>
    </row>
    <row r="67" spans="1:6" s="13" customFormat="1" ht="26.25">
      <c r="A67" s="29" t="s">
        <v>68</v>
      </c>
      <c r="B67" s="99">
        <v>774848</v>
      </c>
      <c r="C67" s="99">
        <v>784819</v>
      </c>
      <c r="D67" s="99">
        <v>757168</v>
      </c>
      <c r="E67" s="101">
        <v>-27651</v>
      </c>
      <c r="F67" s="95">
        <v>-3.5232327453846045E-2</v>
      </c>
    </row>
    <row r="68" spans="1:6" s="13" customFormat="1" ht="26.25">
      <c r="A68" s="29" t="s">
        <v>69</v>
      </c>
      <c r="B68" s="100">
        <v>0</v>
      </c>
      <c r="C68" s="100">
        <v>0</v>
      </c>
      <c r="D68" s="100">
        <v>0</v>
      </c>
      <c r="E68" s="101">
        <v>0</v>
      </c>
      <c r="F68" s="95">
        <v>0</v>
      </c>
    </row>
    <row r="69" spans="1:6" s="13" customFormat="1" ht="26.25">
      <c r="A69" s="29" t="s">
        <v>70</v>
      </c>
      <c r="B69" s="100">
        <v>0</v>
      </c>
      <c r="C69" s="100">
        <v>0</v>
      </c>
      <c r="D69" s="100">
        <v>0</v>
      </c>
      <c r="E69" s="101">
        <v>0</v>
      </c>
      <c r="F69" s="95">
        <v>0</v>
      </c>
    </row>
    <row r="70" spans="1:6" s="36" customFormat="1" ht="26.25">
      <c r="A70" s="50" t="s">
        <v>71</v>
      </c>
      <c r="B70" s="260">
        <v>28777265</v>
      </c>
      <c r="C70" s="51">
        <v>30221998</v>
      </c>
      <c r="D70" s="51">
        <v>30231757</v>
      </c>
      <c r="E70" s="112">
        <v>9759</v>
      </c>
      <c r="F70" s="104">
        <v>3.22910483946164E-4</v>
      </c>
    </row>
    <row r="71" spans="1:6" s="13" customFormat="1" ht="26.25">
      <c r="A71" s="48"/>
      <c r="B71" s="19"/>
      <c r="C71" s="19"/>
      <c r="D71" s="19"/>
      <c r="E71" s="91"/>
      <c r="F71" s="93"/>
    </row>
    <row r="72" spans="1:6" s="13" customFormat="1" ht="26.25">
      <c r="A72" s="46" t="s">
        <v>72</v>
      </c>
      <c r="B72" s="19"/>
      <c r="C72" s="19"/>
      <c r="D72" s="19"/>
      <c r="E72" s="91"/>
      <c r="F72" s="93"/>
    </row>
    <row r="73" spans="1:6" s="13" customFormat="1" ht="26.25">
      <c r="A73" s="27" t="s">
        <v>73</v>
      </c>
      <c r="B73" s="23">
        <v>17866068</v>
      </c>
      <c r="C73" s="23">
        <v>19877077</v>
      </c>
      <c r="D73" s="23">
        <v>20007296</v>
      </c>
      <c r="E73" s="91">
        <v>130219</v>
      </c>
      <c r="F73" s="95">
        <v>6.551214748526657E-3</v>
      </c>
    </row>
    <row r="74" spans="1:6" s="13" customFormat="1" ht="26.25">
      <c r="A74" s="29" t="s">
        <v>74</v>
      </c>
      <c r="B74" s="291">
        <v>0</v>
      </c>
      <c r="C74" s="96">
        <v>0</v>
      </c>
      <c r="D74" s="96">
        <v>0</v>
      </c>
      <c r="E74" s="101">
        <v>0</v>
      </c>
      <c r="F74" s="95">
        <v>0</v>
      </c>
    </row>
    <row r="75" spans="1:6" s="13" customFormat="1" ht="26.25">
      <c r="A75" s="29" t="s">
        <v>75</v>
      </c>
      <c r="B75" s="114">
        <v>5116257</v>
      </c>
      <c r="C75" s="115">
        <v>4931920</v>
      </c>
      <c r="D75" s="115">
        <v>5117318</v>
      </c>
      <c r="E75" s="101">
        <v>185398</v>
      </c>
      <c r="F75" s="95">
        <v>3.7591445116709109E-2</v>
      </c>
    </row>
    <row r="76" spans="1:6" s="36" customFormat="1" ht="26.25">
      <c r="A76" s="49" t="s">
        <v>76</v>
      </c>
      <c r="B76" s="260">
        <v>22982325</v>
      </c>
      <c r="C76" s="51">
        <v>24808997</v>
      </c>
      <c r="D76" s="51">
        <v>25124614</v>
      </c>
      <c r="E76" s="103">
        <v>315617</v>
      </c>
      <c r="F76" s="104">
        <v>1.2721876664340763E-2</v>
      </c>
    </row>
    <row r="77" spans="1:6" s="13" customFormat="1" ht="26.25">
      <c r="A77" s="29" t="s">
        <v>77</v>
      </c>
      <c r="B77" s="290">
        <v>111666</v>
      </c>
      <c r="C77" s="97">
        <v>105788</v>
      </c>
      <c r="D77" s="97">
        <v>115772</v>
      </c>
      <c r="E77" s="101">
        <v>9984</v>
      </c>
      <c r="F77" s="95">
        <v>9.4377434113510045E-2</v>
      </c>
    </row>
    <row r="78" spans="1:6" s="13" customFormat="1" ht="26.25">
      <c r="A78" s="29" t="s">
        <v>78</v>
      </c>
      <c r="B78" s="115">
        <v>3579270</v>
      </c>
      <c r="C78" s="115">
        <v>3853918</v>
      </c>
      <c r="D78" s="115">
        <v>3552063</v>
      </c>
      <c r="E78" s="101">
        <v>-301855</v>
      </c>
      <c r="F78" s="95">
        <v>-7.8324188527104099E-2</v>
      </c>
    </row>
    <row r="79" spans="1:6" s="13" customFormat="1" ht="26.25">
      <c r="A79" s="29" t="s">
        <v>79</v>
      </c>
      <c r="B79" s="114">
        <v>418902</v>
      </c>
      <c r="C79" s="114">
        <v>161916</v>
      </c>
      <c r="D79" s="114">
        <v>222840</v>
      </c>
      <c r="E79" s="101">
        <v>60924</v>
      </c>
      <c r="F79" s="95">
        <v>0.37626917661009412</v>
      </c>
    </row>
    <row r="80" spans="1:6" s="36" customFormat="1" ht="26.25">
      <c r="A80" s="32" t="s">
        <v>80</v>
      </c>
      <c r="B80" s="260">
        <v>4109838</v>
      </c>
      <c r="C80" s="51">
        <v>4121622</v>
      </c>
      <c r="D80" s="51">
        <v>3890675</v>
      </c>
      <c r="E80" s="103">
        <v>-230947</v>
      </c>
      <c r="F80" s="104">
        <v>-5.6033037478934261E-2</v>
      </c>
    </row>
    <row r="81" spans="1:6" s="13" customFormat="1" ht="26.25">
      <c r="A81" s="29" t="s">
        <v>81</v>
      </c>
      <c r="B81" s="114">
        <v>133800</v>
      </c>
      <c r="C81" s="114">
        <v>152560</v>
      </c>
      <c r="D81" s="114">
        <v>83000</v>
      </c>
      <c r="E81" s="101">
        <v>-69560</v>
      </c>
      <c r="F81" s="95">
        <v>-0.45595175668589405</v>
      </c>
    </row>
    <row r="82" spans="1:6" s="13" customFormat="1" ht="26.25">
      <c r="A82" s="29" t="s">
        <v>82</v>
      </c>
      <c r="B82" s="99">
        <v>315205</v>
      </c>
      <c r="C82" s="99">
        <v>344000</v>
      </c>
      <c r="D82" s="99">
        <v>371300</v>
      </c>
      <c r="E82" s="101">
        <v>27300</v>
      </c>
      <c r="F82" s="95">
        <v>7.9360465116279075E-2</v>
      </c>
    </row>
    <row r="83" spans="1:6" s="13" customFormat="1" ht="26.25">
      <c r="A83" s="29" t="s">
        <v>83</v>
      </c>
      <c r="B83" s="100">
        <v>0</v>
      </c>
      <c r="C83" s="100">
        <v>0</v>
      </c>
      <c r="D83" s="100">
        <v>0</v>
      </c>
      <c r="E83" s="101">
        <v>0</v>
      </c>
      <c r="F83" s="95">
        <v>0</v>
      </c>
    </row>
    <row r="84" spans="1:6" s="13" customFormat="1" ht="26.25">
      <c r="A84" s="29" t="s">
        <v>84</v>
      </c>
      <c r="B84" s="99">
        <v>774848</v>
      </c>
      <c r="C84" s="99">
        <v>784819</v>
      </c>
      <c r="D84" s="99">
        <v>757168</v>
      </c>
      <c r="E84" s="101">
        <v>-27651</v>
      </c>
      <c r="F84" s="95">
        <v>-3.5232327453846045E-2</v>
      </c>
    </row>
    <row r="85" spans="1:6" s="36" customFormat="1" ht="26.25">
      <c r="A85" s="32" t="s">
        <v>85</v>
      </c>
      <c r="B85" s="34">
        <v>1223853</v>
      </c>
      <c r="C85" s="34">
        <v>1281379</v>
      </c>
      <c r="D85" s="34">
        <v>1211468</v>
      </c>
      <c r="E85" s="103">
        <v>-69911</v>
      </c>
      <c r="F85" s="104">
        <v>-5.4559189747920012E-2</v>
      </c>
    </row>
    <row r="86" spans="1:6" s="13" customFormat="1" ht="26.25">
      <c r="A86" s="29" t="s">
        <v>86</v>
      </c>
      <c r="B86" s="99">
        <v>461249</v>
      </c>
      <c r="C86" s="99">
        <v>10000</v>
      </c>
      <c r="D86" s="99">
        <v>5000</v>
      </c>
      <c r="E86" s="101">
        <v>-5000</v>
      </c>
      <c r="F86" s="95">
        <v>-0.5</v>
      </c>
    </row>
    <row r="87" spans="1:6" s="13" customFormat="1" ht="26.25">
      <c r="A87" s="29" t="s">
        <v>87</v>
      </c>
      <c r="B87" s="100">
        <v>0</v>
      </c>
      <c r="C87" s="100">
        <v>0</v>
      </c>
      <c r="D87" s="100">
        <v>0</v>
      </c>
      <c r="E87" s="101">
        <v>0</v>
      </c>
      <c r="F87" s="95">
        <v>0</v>
      </c>
    </row>
    <row r="88" spans="1:6" s="13" customFormat="1" ht="26.25">
      <c r="A88" s="38" t="s">
        <v>88</v>
      </c>
      <c r="B88" s="100">
        <v>0</v>
      </c>
      <c r="C88" s="100">
        <v>0</v>
      </c>
      <c r="D88" s="100">
        <v>0</v>
      </c>
      <c r="E88" s="101">
        <v>0</v>
      </c>
      <c r="F88" s="95">
        <v>0</v>
      </c>
    </row>
    <row r="89" spans="1:6" s="36" customFormat="1" ht="26.25">
      <c r="A89" s="52" t="s">
        <v>89</v>
      </c>
      <c r="B89" s="260">
        <v>461249</v>
      </c>
      <c r="C89" s="51">
        <v>10000</v>
      </c>
      <c r="D89" s="51">
        <v>5000</v>
      </c>
      <c r="E89" s="112">
        <v>-5000</v>
      </c>
      <c r="F89" s="104">
        <v>-0.5</v>
      </c>
    </row>
    <row r="90" spans="1:6" s="13" customFormat="1" ht="26.25">
      <c r="A90" s="38" t="s">
        <v>90</v>
      </c>
      <c r="B90" s="100">
        <v>0</v>
      </c>
      <c r="C90" s="100">
        <v>0</v>
      </c>
      <c r="D90" s="113">
        <v>0</v>
      </c>
      <c r="E90" s="101">
        <v>0</v>
      </c>
      <c r="F90" s="95">
        <v>0</v>
      </c>
    </row>
    <row r="91" spans="1:6" s="36" customFormat="1" ht="27" thickBot="1">
      <c r="A91" s="53" t="s">
        <v>71</v>
      </c>
      <c r="B91" s="263">
        <v>28777265</v>
      </c>
      <c r="C91" s="54">
        <v>30221998</v>
      </c>
      <c r="D91" s="55">
        <v>30231757</v>
      </c>
      <c r="E91" s="116">
        <v>9759</v>
      </c>
      <c r="F91" s="117">
        <v>3.22910483946164E-4</v>
      </c>
    </row>
    <row r="92" spans="1:6" s="60" customFormat="1" ht="31.5">
      <c r="A92" s="57"/>
      <c r="B92" s="58"/>
      <c r="C92" s="58"/>
      <c r="D92" s="58"/>
      <c r="E92" s="118"/>
      <c r="F92" s="119"/>
    </row>
    <row r="93" spans="1:6" s="60" customFormat="1" ht="31.5">
      <c r="A93" s="61" t="s">
        <v>91</v>
      </c>
      <c r="B93" s="62"/>
      <c r="C93" s="62"/>
      <c r="D93" s="62"/>
      <c r="E93" s="118"/>
      <c r="F93" s="119"/>
    </row>
    <row r="94" spans="1:6" s="60" customFormat="1" ht="31.5">
      <c r="A94" s="61" t="s">
        <v>92</v>
      </c>
      <c r="B94" s="62"/>
      <c r="C94" s="62"/>
      <c r="D94" s="62"/>
      <c r="E94" s="118"/>
      <c r="F94" s="119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zoomScale="60" zoomScaleNormal="60" workbookViewId="0">
      <selection activeCell="B38" sqref="B38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0.285156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289" t="s">
        <v>99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10353509</v>
      </c>
      <c r="C8" s="23">
        <v>10353509</v>
      </c>
      <c r="D8" s="23">
        <v>9858843</v>
      </c>
      <c r="E8" s="23">
        <v>-494666</v>
      </c>
      <c r="F8" s="24">
        <v>-4.7777618196883781E-2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55">
        <v>399829</v>
      </c>
      <c r="C10" s="26">
        <v>401346</v>
      </c>
      <c r="D10" s="26">
        <v>382386</v>
      </c>
      <c r="E10" s="26">
        <v>-18960</v>
      </c>
      <c r="F10" s="24">
        <v>-4.7241033920856317E-2</v>
      </c>
    </row>
    <row r="11" spans="1:6" s="13" customFormat="1" ht="26.25">
      <c r="A11" s="27" t="s">
        <v>19</v>
      </c>
      <c r="B11" s="28">
        <v>8376</v>
      </c>
      <c r="C11" s="28">
        <v>8376</v>
      </c>
      <c r="D11" s="28">
        <v>0</v>
      </c>
      <c r="E11" s="26">
        <v>-8376</v>
      </c>
      <c r="F11" s="24">
        <v>-1</v>
      </c>
    </row>
    <row r="12" spans="1:6" s="13" customFormat="1" ht="26.25">
      <c r="A12" s="29" t="s">
        <v>20</v>
      </c>
      <c r="B12" s="28">
        <v>391453</v>
      </c>
      <c r="C12" s="28">
        <v>392970</v>
      </c>
      <c r="D12" s="28">
        <v>382386</v>
      </c>
      <c r="E12" s="26">
        <v>-10584</v>
      </c>
      <c r="F12" s="24">
        <v>-2.6933353691121459E-2</v>
      </c>
    </row>
    <row r="13" spans="1:6" s="13" customFormat="1" ht="26.25">
      <c r="A13" s="29" t="s">
        <v>21</v>
      </c>
      <c r="B13" s="28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8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13" customFormat="1" ht="26.25">
      <c r="A15" s="29" t="s">
        <v>23</v>
      </c>
      <c r="B15" s="28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8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8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8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4">
        <v>10753338</v>
      </c>
      <c r="C34" s="34">
        <v>10754855</v>
      </c>
      <c r="D34" s="34">
        <v>10241229</v>
      </c>
      <c r="E34" s="34">
        <v>-513626</v>
      </c>
      <c r="F34" s="35">
        <v>-4.7757594128419213E-2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13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13" customFormat="1" ht="26.25">
      <c r="A38" s="38" t="s">
        <v>46</v>
      </c>
      <c r="B38" s="23">
        <v>949448</v>
      </c>
      <c r="C38" s="23">
        <v>0</v>
      </c>
      <c r="D38" s="23">
        <v>0</v>
      </c>
      <c r="E38" s="26">
        <v>0</v>
      </c>
      <c r="F38" s="24">
        <v>0</v>
      </c>
    </row>
    <row r="39" spans="1:10" s="13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13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949448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3241898</v>
      </c>
      <c r="C45" s="42">
        <v>3241898</v>
      </c>
      <c r="D45" s="42">
        <v>0</v>
      </c>
      <c r="E45" s="42">
        <v>-3241898</v>
      </c>
      <c r="F45" s="35">
        <v>-1</v>
      </c>
    </row>
    <row r="46" spans="1:10" s="13" customFormat="1" ht="26.25">
      <c r="A46" s="29" t="s">
        <v>50</v>
      </c>
      <c r="B46" s="28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12856132.33</v>
      </c>
      <c r="C47" s="40">
        <v>12071052</v>
      </c>
      <c r="D47" s="40">
        <v>15319476</v>
      </c>
      <c r="E47" s="40">
        <v>3248424</v>
      </c>
      <c r="F47" s="35">
        <v>0.26910860793243208</v>
      </c>
    </row>
    <row r="48" spans="1:10" s="13" customFormat="1" ht="26.25">
      <c r="A48" s="29" t="s">
        <v>50</v>
      </c>
      <c r="B48" s="28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8"/>
      <c r="C52" s="28"/>
      <c r="D52" s="28"/>
      <c r="E52" s="28"/>
      <c r="F52" s="20"/>
    </row>
    <row r="53" spans="1:6" s="36" customFormat="1" ht="26.25">
      <c r="A53" s="46" t="s">
        <v>56</v>
      </c>
      <c r="B53" s="40">
        <v>25901920.329999998</v>
      </c>
      <c r="C53" s="40">
        <v>26067805</v>
      </c>
      <c r="D53" s="40">
        <v>25560705</v>
      </c>
      <c r="E53" s="40">
        <v>-507100</v>
      </c>
      <c r="F53" s="35">
        <v>-1.9453114675362961E-2</v>
      </c>
    </row>
    <row r="54" spans="1:6" s="13" customFormat="1" ht="26.25">
      <c r="A54" s="47"/>
      <c r="B54" s="28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12230805</v>
      </c>
      <c r="C57" s="19">
        <v>12329059</v>
      </c>
      <c r="D57" s="19">
        <v>13303446</v>
      </c>
      <c r="E57" s="19">
        <v>974387</v>
      </c>
      <c r="F57" s="24">
        <v>7.9031741189656085E-2</v>
      </c>
    </row>
    <row r="58" spans="1:6" s="13" customFormat="1" ht="26.25">
      <c r="A58" s="29" t="s">
        <v>59</v>
      </c>
      <c r="B58" s="28">
        <v>0</v>
      </c>
      <c r="C58" s="28">
        <v>0</v>
      </c>
      <c r="D58" s="28">
        <v>0</v>
      </c>
      <c r="E58" s="28">
        <v>0</v>
      </c>
      <c r="F58" s="24">
        <v>0</v>
      </c>
    </row>
    <row r="59" spans="1:6" s="13" customFormat="1" ht="26.25">
      <c r="A59" s="29" t="s">
        <v>60</v>
      </c>
      <c r="B59" s="28">
        <v>370298</v>
      </c>
      <c r="C59" s="28">
        <v>370298</v>
      </c>
      <c r="D59" s="28">
        <v>205139</v>
      </c>
      <c r="E59" s="28">
        <v>-165159</v>
      </c>
      <c r="F59" s="24">
        <v>-0.44601645161464548</v>
      </c>
    </row>
    <row r="60" spans="1:6" s="13" customFormat="1" ht="26.25">
      <c r="A60" s="29" t="s">
        <v>61</v>
      </c>
      <c r="B60" s="28">
        <v>1585891</v>
      </c>
      <c r="C60" s="28">
        <v>1586091</v>
      </c>
      <c r="D60" s="28">
        <v>1617386</v>
      </c>
      <c r="E60" s="28">
        <v>31295</v>
      </c>
      <c r="F60" s="24">
        <v>1.9730898164102815E-2</v>
      </c>
    </row>
    <row r="61" spans="1:6" s="13" customFormat="1" ht="26.25">
      <c r="A61" s="29" t="s">
        <v>62</v>
      </c>
      <c r="B61" s="28">
        <v>1888662</v>
      </c>
      <c r="C61" s="28">
        <v>1888663</v>
      </c>
      <c r="D61" s="28">
        <v>2040200</v>
      </c>
      <c r="E61" s="28">
        <v>151537</v>
      </c>
      <c r="F61" s="24">
        <v>8.0235065758158017E-2</v>
      </c>
    </row>
    <row r="62" spans="1:6" s="13" customFormat="1" ht="26.25">
      <c r="A62" s="29" t="s">
        <v>63</v>
      </c>
      <c r="B62" s="28">
        <v>4748004.9800000004</v>
      </c>
      <c r="C62" s="28">
        <v>4815433</v>
      </c>
      <c r="D62" s="28">
        <v>4328039</v>
      </c>
      <c r="E62" s="28">
        <v>-487394</v>
      </c>
      <c r="F62" s="24">
        <v>-0.10121498938932387</v>
      </c>
    </row>
    <row r="63" spans="1:6" s="13" customFormat="1" ht="26.25">
      <c r="A63" s="29" t="s">
        <v>64</v>
      </c>
      <c r="B63" s="28">
        <v>832442</v>
      </c>
      <c r="C63" s="28">
        <v>832442</v>
      </c>
      <c r="D63" s="28">
        <v>400297</v>
      </c>
      <c r="E63" s="28">
        <v>-432145</v>
      </c>
      <c r="F63" s="24">
        <v>-0.51912926065719889</v>
      </c>
    </row>
    <row r="64" spans="1:6" s="13" customFormat="1" ht="26.25">
      <c r="A64" s="29" t="s">
        <v>65</v>
      </c>
      <c r="B64" s="28">
        <v>3097365.98</v>
      </c>
      <c r="C64" s="28">
        <v>3097368</v>
      </c>
      <c r="D64" s="28">
        <v>2899004</v>
      </c>
      <c r="E64" s="28">
        <v>-198364</v>
      </c>
      <c r="F64" s="24">
        <v>-6.4042761467155346E-2</v>
      </c>
    </row>
    <row r="65" spans="1:6" s="36" customFormat="1" ht="26.25">
      <c r="A65" s="49" t="s">
        <v>66</v>
      </c>
      <c r="B65" s="34">
        <v>24753468.960000001</v>
      </c>
      <c r="C65" s="34">
        <v>24919354</v>
      </c>
      <c r="D65" s="34">
        <v>24793511</v>
      </c>
      <c r="E65" s="34">
        <v>-125843</v>
      </c>
      <c r="F65" s="35">
        <v>-5.0500105259550466E-3</v>
      </c>
    </row>
    <row r="66" spans="1:6" s="13" customFormat="1" ht="26.25">
      <c r="A66" s="29" t="s">
        <v>67</v>
      </c>
      <c r="B66" s="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8">
        <v>487707</v>
      </c>
      <c r="C67" s="28">
        <v>487707</v>
      </c>
      <c r="D67" s="28">
        <v>467194</v>
      </c>
      <c r="E67" s="28">
        <v>-20513</v>
      </c>
      <c r="F67" s="24">
        <v>-4.2060089356929467E-2</v>
      </c>
    </row>
    <row r="68" spans="1:6" s="13" customFormat="1" ht="26.25">
      <c r="A68" s="29" t="s">
        <v>69</v>
      </c>
      <c r="B68" s="28">
        <v>660744</v>
      </c>
      <c r="C68" s="28">
        <v>660744</v>
      </c>
      <c r="D68" s="28">
        <v>300000</v>
      </c>
      <c r="E68" s="28">
        <v>-360744</v>
      </c>
      <c r="F68" s="24">
        <v>-0.54596636518833319</v>
      </c>
    </row>
    <row r="69" spans="1:6" s="13" customFormat="1" ht="26.25">
      <c r="A69" s="29" t="s">
        <v>70</v>
      </c>
      <c r="B69" s="28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50" t="s">
        <v>71</v>
      </c>
      <c r="B70" s="260">
        <v>25901919.960000001</v>
      </c>
      <c r="C70" s="51">
        <v>26067805</v>
      </c>
      <c r="D70" s="51">
        <v>25560705</v>
      </c>
      <c r="E70" s="51">
        <v>-507100</v>
      </c>
      <c r="F70" s="35">
        <v>-1.9453114675362961E-2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13735736.48</v>
      </c>
      <c r="C73" s="23">
        <v>13735733.5</v>
      </c>
      <c r="D73" s="23">
        <v>14564588</v>
      </c>
      <c r="E73" s="19">
        <v>828854.5</v>
      </c>
      <c r="F73" s="24">
        <v>6.034293690977624E-2</v>
      </c>
    </row>
    <row r="74" spans="1:6" s="13" customFormat="1" ht="26.25">
      <c r="A74" s="29" t="s">
        <v>74</v>
      </c>
      <c r="B74" s="255">
        <v>1665103.5</v>
      </c>
      <c r="C74" s="23">
        <v>1756419.5</v>
      </c>
      <c r="D74" s="23">
        <v>1665107</v>
      </c>
      <c r="E74" s="28">
        <v>-91312.5</v>
      </c>
      <c r="F74" s="24">
        <v>-5.1987865085761115E-2</v>
      </c>
    </row>
    <row r="75" spans="1:6" s="13" customFormat="1" ht="26.25">
      <c r="A75" s="29" t="s">
        <v>75</v>
      </c>
      <c r="B75" s="19">
        <v>4312500.9800000004</v>
      </c>
      <c r="C75" s="23">
        <v>4319442</v>
      </c>
      <c r="D75" s="23">
        <v>5042956</v>
      </c>
      <c r="E75" s="28">
        <v>723514</v>
      </c>
      <c r="F75" s="24">
        <v>0.16750172823248929</v>
      </c>
    </row>
    <row r="76" spans="1:6" s="36" customFormat="1" ht="26.25">
      <c r="A76" s="49" t="s">
        <v>76</v>
      </c>
      <c r="B76" s="260">
        <v>19713340.960000001</v>
      </c>
      <c r="C76" s="51">
        <v>19811596</v>
      </c>
      <c r="D76" s="51">
        <v>21272651</v>
      </c>
      <c r="E76" s="34">
        <v>1461055</v>
      </c>
      <c r="F76" s="35">
        <v>7.374746587806455E-2</v>
      </c>
    </row>
    <row r="77" spans="1:6" s="13" customFormat="1" ht="26.25">
      <c r="A77" s="29" t="s">
        <v>77</v>
      </c>
      <c r="B77" s="255">
        <v>115886</v>
      </c>
      <c r="C77" s="26">
        <v>115986</v>
      </c>
      <c r="D77" s="26">
        <v>76448</v>
      </c>
      <c r="E77" s="28">
        <v>-39538</v>
      </c>
      <c r="F77" s="24">
        <v>-0.34088596899625817</v>
      </c>
    </row>
    <row r="78" spans="1:6" s="13" customFormat="1" ht="26.25">
      <c r="A78" s="29" t="s">
        <v>78</v>
      </c>
      <c r="B78" s="23">
        <v>2959738</v>
      </c>
      <c r="C78" s="23">
        <v>2605384</v>
      </c>
      <c r="D78" s="23">
        <v>2030767</v>
      </c>
      <c r="E78" s="28">
        <v>-574617</v>
      </c>
      <c r="F78" s="24">
        <v>-0.22054983065835976</v>
      </c>
    </row>
    <row r="79" spans="1:6" s="13" customFormat="1" ht="26.25">
      <c r="A79" s="29" t="s">
        <v>79</v>
      </c>
      <c r="B79" s="19">
        <v>468451</v>
      </c>
      <c r="C79" s="19">
        <v>468501</v>
      </c>
      <c r="D79" s="19">
        <v>378998</v>
      </c>
      <c r="E79" s="28">
        <v>-89503</v>
      </c>
      <c r="F79" s="24">
        <v>-0.19104121442643665</v>
      </c>
    </row>
    <row r="80" spans="1:6" s="36" customFormat="1" ht="26.25">
      <c r="A80" s="32" t="s">
        <v>80</v>
      </c>
      <c r="B80" s="260">
        <v>3544075</v>
      </c>
      <c r="C80" s="51">
        <v>3189871</v>
      </c>
      <c r="D80" s="51">
        <v>2486213</v>
      </c>
      <c r="E80" s="34">
        <v>-703658</v>
      </c>
      <c r="F80" s="35">
        <v>-0.22059136560694775</v>
      </c>
    </row>
    <row r="81" spans="1:6" s="13" customFormat="1" ht="26.25">
      <c r="A81" s="29" t="s">
        <v>81</v>
      </c>
      <c r="B81" s="19">
        <v>592890</v>
      </c>
      <c r="C81" s="19">
        <v>527016</v>
      </c>
      <c r="D81" s="19">
        <v>590350</v>
      </c>
      <c r="E81" s="28">
        <v>63334</v>
      </c>
      <c r="F81" s="24">
        <v>0.12017471955310655</v>
      </c>
    </row>
    <row r="82" spans="1:6" s="13" customFormat="1" ht="26.25">
      <c r="A82" s="29" t="s">
        <v>82</v>
      </c>
      <c r="B82" s="28">
        <v>1230792</v>
      </c>
      <c r="C82" s="28">
        <v>1230792</v>
      </c>
      <c r="D82" s="28">
        <v>400297</v>
      </c>
      <c r="E82" s="28">
        <v>-830495</v>
      </c>
      <c r="F82" s="24">
        <v>-0.67476470435296942</v>
      </c>
    </row>
    <row r="83" spans="1:6" s="13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28">
        <v>660744</v>
      </c>
      <c r="C84" s="28">
        <v>1148451</v>
      </c>
      <c r="D84" s="28">
        <v>767194</v>
      </c>
      <c r="E84" s="28">
        <v>-381257</v>
      </c>
      <c r="F84" s="24">
        <v>-0.33197498195395364</v>
      </c>
    </row>
    <row r="85" spans="1:6" s="36" customFormat="1" ht="26.25">
      <c r="A85" s="32" t="s">
        <v>85</v>
      </c>
      <c r="B85" s="34">
        <v>2484426</v>
      </c>
      <c r="C85" s="34">
        <v>2906259</v>
      </c>
      <c r="D85" s="34">
        <v>1757841</v>
      </c>
      <c r="E85" s="34">
        <v>-1148418</v>
      </c>
      <c r="F85" s="35">
        <v>-0.39515335694444303</v>
      </c>
    </row>
    <row r="86" spans="1:6" s="13" customFormat="1" ht="26.25">
      <c r="A86" s="29" t="s">
        <v>86</v>
      </c>
      <c r="B86" s="28">
        <v>94968</v>
      </c>
      <c r="C86" s="28">
        <v>94968</v>
      </c>
      <c r="D86" s="28">
        <v>25000</v>
      </c>
      <c r="E86" s="28">
        <v>-69968</v>
      </c>
      <c r="F86" s="24">
        <v>-0.73675343273523708</v>
      </c>
    </row>
    <row r="87" spans="1:6" s="13" customFormat="1" ht="26.25">
      <c r="A87" s="29" t="s">
        <v>87</v>
      </c>
      <c r="B87" s="28">
        <v>65110</v>
      </c>
      <c r="C87" s="28">
        <v>65111</v>
      </c>
      <c r="D87" s="28">
        <v>19000</v>
      </c>
      <c r="E87" s="28">
        <v>-46111</v>
      </c>
      <c r="F87" s="24">
        <v>-0.70819062831165236</v>
      </c>
    </row>
    <row r="88" spans="1:6" s="13" customFormat="1" ht="26.25">
      <c r="A88" s="38" t="s">
        <v>88</v>
      </c>
      <c r="B88" s="28">
        <v>0</v>
      </c>
      <c r="C88" s="28">
        <v>0</v>
      </c>
      <c r="D88" s="28">
        <v>0</v>
      </c>
      <c r="E88" s="28">
        <v>0</v>
      </c>
      <c r="F88" s="24">
        <v>0</v>
      </c>
    </row>
    <row r="89" spans="1:6" s="36" customFormat="1" ht="26.25">
      <c r="A89" s="52" t="s">
        <v>89</v>
      </c>
      <c r="B89" s="260">
        <v>160078</v>
      </c>
      <c r="C89" s="51">
        <v>160079</v>
      </c>
      <c r="D89" s="51">
        <v>44000</v>
      </c>
      <c r="E89" s="51">
        <v>-116079</v>
      </c>
      <c r="F89" s="35">
        <v>-0.72513571424109347</v>
      </c>
    </row>
    <row r="90" spans="1:6" s="13" customFormat="1" ht="26.25">
      <c r="A90" s="38" t="s">
        <v>90</v>
      </c>
      <c r="B90" s="28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36" customFormat="1" ht="27" thickBot="1">
      <c r="A91" s="53" t="s">
        <v>71</v>
      </c>
      <c r="B91" s="263">
        <v>25901919.960000001</v>
      </c>
      <c r="C91" s="54">
        <v>26067805</v>
      </c>
      <c r="D91" s="55">
        <v>25560705</v>
      </c>
      <c r="E91" s="54">
        <v>-507100</v>
      </c>
      <c r="F91" s="56">
        <v>-1.9453114675362961E-2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zoomScale="60" zoomScaleNormal="60" workbookViewId="0">
      <selection activeCell="B8" sqref="B8:B91"/>
    </sheetView>
  </sheetViews>
  <sheetFormatPr defaultRowHeight="15.75"/>
  <cols>
    <col min="1" max="1" width="121.140625" style="65" customWidth="1"/>
    <col min="2" max="3" width="33.5703125" style="66" bestFit="1" customWidth="1"/>
    <col min="4" max="4" width="32.85546875" style="66" customWidth="1"/>
    <col min="5" max="5" width="30.285156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4" t="s">
        <v>147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33729556</v>
      </c>
      <c r="C8" s="23">
        <v>33729556</v>
      </c>
      <c r="D8" s="23">
        <v>33152413</v>
      </c>
      <c r="E8" s="23">
        <v>-577143</v>
      </c>
      <c r="F8" s="24">
        <v>-1.7110898228248246E-2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55">
        <v>1305113</v>
      </c>
      <c r="C10" s="255">
        <v>1310066</v>
      </c>
      <c r="D10" s="255">
        <v>2751832</v>
      </c>
      <c r="E10" s="255">
        <v>1441766</v>
      </c>
      <c r="F10" s="24">
        <v>1.1005292863107661</v>
      </c>
    </row>
    <row r="11" spans="1:6" s="13" customFormat="1" ht="26.25">
      <c r="A11" s="27" t="s">
        <v>19</v>
      </c>
      <c r="B11" s="28">
        <v>27342</v>
      </c>
      <c r="C11" s="28">
        <v>27342</v>
      </c>
      <c r="D11" s="28">
        <v>0</v>
      </c>
      <c r="E11" s="255">
        <v>-27342</v>
      </c>
      <c r="F11" s="24">
        <v>-1</v>
      </c>
    </row>
    <row r="12" spans="1:6" s="13" customFormat="1" ht="26.25">
      <c r="A12" s="29" t="s">
        <v>20</v>
      </c>
      <c r="B12" s="28">
        <v>1277771</v>
      </c>
      <c r="C12" s="28">
        <v>1282724</v>
      </c>
      <c r="D12" s="28">
        <v>1285852</v>
      </c>
      <c r="E12" s="255">
        <v>3128</v>
      </c>
      <c r="F12" s="24">
        <v>2.4385604385666754E-3</v>
      </c>
    </row>
    <row r="13" spans="1:6" s="13" customFormat="1" ht="26.25">
      <c r="A13" s="29" t="s">
        <v>21</v>
      </c>
      <c r="B13" s="28">
        <v>0</v>
      </c>
      <c r="C13" s="28">
        <v>0</v>
      </c>
      <c r="D13" s="28">
        <v>0</v>
      </c>
      <c r="E13" s="255">
        <v>0</v>
      </c>
      <c r="F13" s="24">
        <v>0</v>
      </c>
    </row>
    <row r="14" spans="1:6" s="13" customFormat="1" ht="26.25">
      <c r="A14" s="29" t="s">
        <v>22</v>
      </c>
      <c r="B14" s="28">
        <v>0</v>
      </c>
      <c r="C14" s="28">
        <v>0</v>
      </c>
      <c r="D14" s="28">
        <v>0</v>
      </c>
      <c r="E14" s="255">
        <v>0</v>
      </c>
      <c r="F14" s="24">
        <v>0</v>
      </c>
    </row>
    <row r="15" spans="1:6" s="13" customFormat="1" ht="26.25">
      <c r="A15" s="29" t="s">
        <v>23</v>
      </c>
      <c r="B15" s="28">
        <v>0</v>
      </c>
      <c r="C15" s="28">
        <v>0</v>
      </c>
      <c r="D15" s="28">
        <v>0</v>
      </c>
      <c r="E15" s="255">
        <v>0</v>
      </c>
      <c r="F15" s="24">
        <v>0</v>
      </c>
    </row>
    <row r="16" spans="1:6" s="13" customFormat="1" ht="26.25">
      <c r="A16" s="29" t="s">
        <v>24</v>
      </c>
      <c r="B16" s="28">
        <v>0</v>
      </c>
      <c r="C16" s="28">
        <v>0</v>
      </c>
      <c r="D16" s="28">
        <v>0</v>
      </c>
      <c r="E16" s="255">
        <v>0</v>
      </c>
      <c r="F16" s="24">
        <v>0</v>
      </c>
    </row>
    <row r="17" spans="1:6" s="13" customFormat="1" ht="26.25">
      <c r="A17" s="29" t="s">
        <v>25</v>
      </c>
      <c r="B17" s="28">
        <v>0</v>
      </c>
      <c r="C17" s="28">
        <v>0</v>
      </c>
      <c r="D17" s="28">
        <v>0</v>
      </c>
      <c r="E17" s="255">
        <v>0</v>
      </c>
      <c r="F17" s="24">
        <v>0</v>
      </c>
    </row>
    <row r="18" spans="1:6" s="13" customFormat="1" ht="26.25">
      <c r="A18" s="29" t="s">
        <v>26</v>
      </c>
      <c r="B18" s="28">
        <v>0</v>
      </c>
      <c r="C18" s="28">
        <v>0</v>
      </c>
      <c r="D18" s="28">
        <v>0</v>
      </c>
      <c r="E18" s="255">
        <v>0</v>
      </c>
      <c r="F18" s="24">
        <v>0</v>
      </c>
    </row>
    <row r="19" spans="1:6" s="13" customFormat="1" ht="26.25">
      <c r="A19" s="29" t="s">
        <v>27</v>
      </c>
      <c r="B19" s="28">
        <v>0</v>
      </c>
      <c r="C19" s="28">
        <v>0</v>
      </c>
      <c r="D19" s="28">
        <v>0</v>
      </c>
      <c r="E19" s="255">
        <v>0</v>
      </c>
      <c r="F19" s="24">
        <v>0</v>
      </c>
    </row>
    <row r="20" spans="1:6" s="13" customFormat="1" ht="26.25">
      <c r="A20" s="29" t="s">
        <v>28</v>
      </c>
      <c r="B20" s="28">
        <v>0</v>
      </c>
      <c r="C20" s="28">
        <v>0</v>
      </c>
      <c r="D20" s="28">
        <v>0</v>
      </c>
      <c r="E20" s="255">
        <v>0</v>
      </c>
      <c r="F20" s="24">
        <v>0</v>
      </c>
    </row>
    <row r="21" spans="1:6" s="13" customFormat="1" ht="26.25">
      <c r="A21" s="29" t="s">
        <v>29</v>
      </c>
      <c r="B21" s="28">
        <v>0</v>
      </c>
      <c r="C21" s="28">
        <v>0</v>
      </c>
      <c r="D21" s="28">
        <v>0</v>
      </c>
      <c r="E21" s="255">
        <v>0</v>
      </c>
      <c r="F21" s="24">
        <v>0</v>
      </c>
    </row>
    <row r="22" spans="1:6" s="13" customFormat="1" ht="26.25">
      <c r="A22" s="29" t="s">
        <v>30</v>
      </c>
      <c r="B22" s="28">
        <v>0</v>
      </c>
      <c r="C22" s="28">
        <v>0</v>
      </c>
      <c r="D22" s="28">
        <v>0</v>
      </c>
      <c r="E22" s="255">
        <v>0</v>
      </c>
      <c r="F22" s="24">
        <v>0</v>
      </c>
    </row>
    <row r="23" spans="1:6" s="13" customFormat="1" ht="26.25">
      <c r="A23" s="256" t="s">
        <v>31</v>
      </c>
      <c r="B23" s="28">
        <v>0</v>
      </c>
      <c r="C23" s="28">
        <v>0</v>
      </c>
      <c r="D23" s="28">
        <v>0</v>
      </c>
      <c r="E23" s="255">
        <v>0</v>
      </c>
      <c r="F23" s="24">
        <v>0</v>
      </c>
    </row>
    <row r="24" spans="1:6" s="13" customFormat="1" ht="26.25">
      <c r="A24" s="256" t="s">
        <v>32</v>
      </c>
      <c r="B24" s="28">
        <v>0</v>
      </c>
      <c r="C24" s="28">
        <v>0</v>
      </c>
      <c r="D24" s="28">
        <v>0</v>
      </c>
      <c r="E24" s="255">
        <v>0</v>
      </c>
      <c r="F24" s="24">
        <v>0</v>
      </c>
    </row>
    <row r="25" spans="1:6" s="13" customFormat="1" ht="26.25">
      <c r="A25" s="256" t="s">
        <v>33</v>
      </c>
      <c r="B25" s="28">
        <v>0</v>
      </c>
      <c r="C25" s="28">
        <v>0</v>
      </c>
      <c r="D25" s="28">
        <v>0</v>
      </c>
      <c r="E25" s="255">
        <v>0</v>
      </c>
      <c r="F25" s="24">
        <v>0</v>
      </c>
    </row>
    <row r="26" spans="1:6" s="13" customFormat="1" ht="26.25">
      <c r="A26" s="256" t="s">
        <v>34</v>
      </c>
      <c r="B26" s="28">
        <v>0</v>
      </c>
      <c r="C26" s="28">
        <v>0</v>
      </c>
      <c r="D26" s="28">
        <v>1465980</v>
      </c>
      <c r="E26" s="255">
        <v>1465980</v>
      </c>
      <c r="F26" s="24">
        <v>1</v>
      </c>
    </row>
    <row r="27" spans="1:6" s="13" customFormat="1" ht="26.25">
      <c r="A27" s="256" t="s">
        <v>35</v>
      </c>
      <c r="B27" s="28">
        <v>0</v>
      </c>
      <c r="C27" s="28">
        <v>0</v>
      </c>
      <c r="D27" s="28">
        <v>0</v>
      </c>
      <c r="E27" s="255">
        <v>0</v>
      </c>
      <c r="F27" s="24">
        <v>0</v>
      </c>
    </row>
    <row r="28" spans="1:6" s="13" customFormat="1" ht="26.25">
      <c r="A28" s="256" t="s">
        <v>36</v>
      </c>
      <c r="B28" s="28">
        <v>0</v>
      </c>
      <c r="C28" s="28">
        <v>0</v>
      </c>
      <c r="D28" s="28">
        <v>0</v>
      </c>
      <c r="E28" s="255">
        <v>0</v>
      </c>
      <c r="F28" s="24">
        <v>0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8"/>
      <c r="C33" s="28"/>
      <c r="D33" s="28"/>
      <c r="E33" s="255"/>
      <c r="F33" s="24" t="s">
        <v>41</v>
      </c>
    </row>
    <row r="34" spans="1:10" s="36" customFormat="1" ht="26.25">
      <c r="A34" s="257" t="s">
        <v>42</v>
      </c>
      <c r="B34" s="34">
        <v>35034669</v>
      </c>
      <c r="C34" s="34">
        <v>35039622</v>
      </c>
      <c r="D34" s="34">
        <v>35904245</v>
      </c>
      <c r="E34" s="34">
        <v>864623</v>
      </c>
      <c r="F34" s="35">
        <v>2.4675580118986445E-2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13" customFormat="1" ht="26.25">
      <c r="A37" s="258" t="s">
        <v>45</v>
      </c>
      <c r="B37" s="23">
        <v>0</v>
      </c>
      <c r="C37" s="23">
        <v>0</v>
      </c>
      <c r="D37" s="23">
        <v>0</v>
      </c>
      <c r="E37" s="255">
        <v>0</v>
      </c>
      <c r="F37" s="24">
        <v>0</v>
      </c>
    </row>
    <row r="38" spans="1:10" s="13" customFormat="1" ht="26.25">
      <c r="A38" s="258" t="s">
        <v>46</v>
      </c>
      <c r="B38" s="23">
        <v>3049467</v>
      </c>
      <c r="C38" s="23">
        <v>0</v>
      </c>
      <c r="D38" s="23">
        <v>0</v>
      </c>
      <c r="E38" s="255">
        <v>0</v>
      </c>
      <c r="F38" s="24">
        <v>0</v>
      </c>
    </row>
    <row r="39" spans="1:10" s="13" customFormat="1" ht="26.25">
      <c r="A39" s="258" t="s">
        <v>47</v>
      </c>
      <c r="B39" s="23">
        <v>0</v>
      </c>
      <c r="C39" s="23">
        <v>0</v>
      </c>
      <c r="D39" s="23">
        <v>0</v>
      </c>
      <c r="E39" s="255">
        <v>0</v>
      </c>
      <c r="F39" s="24">
        <v>0</v>
      </c>
    </row>
    <row r="40" spans="1:10" s="13" customFormat="1" ht="26.25">
      <c r="A40" s="39" t="s">
        <v>48</v>
      </c>
      <c r="B40" s="23">
        <v>0</v>
      </c>
      <c r="C40" s="23">
        <v>0</v>
      </c>
      <c r="D40" s="23">
        <v>0</v>
      </c>
      <c r="E40" s="255">
        <v>0</v>
      </c>
      <c r="F40" s="24">
        <v>0</v>
      </c>
    </row>
    <row r="41" spans="1:10" s="36" customFormat="1" ht="26.25">
      <c r="A41" s="31" t="s">
        <v>49</v>
      </c>
      <c r="B41" s="40">
        <v>3049467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10582158</v>
      </c>
      <c r="C45" s="42">
        <v>10582158</v>
      </c>
      <c r="D45" s="42">
        <v>0</v>
      </c>
      <c r="E45" s="42">
        <v>-10582158</v>
      </c>
      <c r="F45" s="35">
        <v>-1</v>
      </c>
    </row>
    <row r="46" spans="1:10" s="13" customFormat="1" ht="26.25">
      <c r="A46" s="29" t="s">
        <v>50</v>
      </c>
      <c r="B46" s="28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43755461</v>
      </c>
      <c r="C47" s="40">
        <v>40921653</v>
      </c>
      <c r="D47" s="40">
        <v>54000000</v>
      </c>
      <c r="E47" s="40">
        <v>13078347</v>
      </c>
      <c r="F47" s="35">
        <v>0.31959478762991317</v>
      </c>
    </row>
    <row r="48" spans="1:10" s="13" customFormat="1" ht="26.25">
      <c r="A48" s="29" t="s">
        <v>50</v>
      </c>
      <c r="B48" s="28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8"/>
      <c r="C52" s="28"/>
      <c r="D52" s="28"/>
      <c r="E52" s="28"/>
      <c r="F52" s="20"/>
    </row>
    <row r="53" spans="1:6" s="36" customFormat="1" ht="26.25">
      <c r="A53" s="46" t="s">
        <v>56</v>
      </c>
      <c r="B53" s="40">
        <v>86322821</v>
      </c>
      <c r="C53" s="40">
        <v>86543433</v>
      </c>
      <c r="D53" s="40">
        <v>89904245</v>
      </c>
      <c r="E53" s="40">
        <v>3360812</v>
      </c>
      <c r="F53" s="35">
        <v>3.8833818852552333E-2</v>
      </c>
    </row>
    <row r="54" spans="1:6" s="13" customFormat="1" ht="26.25">
      <c r="A54" s="47"/>
      <c r="B54" s="28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48014429</v>
      </c>
      <c r="C57" s="19">
        <v>47106352</v>
      </c>
      <c r="D57" s="19">
        <v>48853597</v>
      </c>
      <c r="E57" s="19">
        <v>1747245</v>
      </c>
      <c r="F57" s="24">
        <v>3.7091494582301765E-2</v>
      </c>
    </row>
    <row r="58" spans="1:6" s="13" customFormat="1" ht="26.25">
      <c r="A58" s="29" t="s">
        <v>59</v>
      </c>
      <c r="B58" s="28">
        <v>0</v>
      </c>
      <c r="C58" s="28">
        <v>0</v>
      </c>
      <c r="D58" s="28">
        <v>0</v>
      </c>
      <c r="E58" s="28">
        <v>0</v>
      </c>
      <c r="F58" s="24">
        <v>0</v>
      </c>
    </row>
    <row r="59" spans="1:6" s="13" customFormat="1" ht="26.25">
      <c r="A59" s="29" t="s">
        <v>60</v>
      </c>
      <c r="B59" s="28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13" customFormat="1" ht="26.25">
      <c r="A60" s="29" t="s">
        <v>61</v>
      </c>
      <c r="B60" s="28">
        <v>8022375</v>
      </c>
      <c r="C60" s="28">
        <v>8383295</v>
      </c>
      <c r="D60" s="28">
        <v>8462430</v>
      </c>
      <c r="E60" s="28">
        <v>79135</v>
      </c>
      <c r="F60" s="24">
        <v>9.4396057874618512E-3</v>
      </c>
    </row>
    <row r="61" spans="1:6" s="13" customFormat="1" ht="26.25">
      <c r="A61" s="29" t="s">
        <v>62</v>
      </c>
      <c r="B61" s="28">
        <v>3271728</v>
      </c>
      <c r="C61" s="28">
        <v>3625699</v>
      </c>
      <c r="D61" s="28">
        <v>3748480</v>
      </c>
      <c r="E61" s="28">
        <v>122781</v>
      </c>
      <c r="F61" s="24">
        <v>3.3864090758775063E-2</v>
      </c>
    </row>
    <row r="62" spans="1:6" s="13" customFormat="1" ht="26.25">
      <c r="A62" s="29" t="s">
        <v>63</v>
      </c>
      <c r="B62" s="28">
        <v>11967832</v>
      </c>
      <c r="C62" s="28">
        <v>12110507</v>
      </c>
      <c r="D62" s="28">
        <v>13212499</v>
      </c>
      <c r="E62" s="28">
        <v>1101992</v>
      </c>
      <c r="F62" s="24">
        <v>9.0994704020236308E-2</v>
      </c>
    </row>
    <row r="63" spans="1:6" s="13" customFormat="1" ht="26.25">
      <c r="A63" s="29" t="s">
        <v>64</v>
      </c>
      <c r="B63" s="28">
        <v>2507966</v>
      </c>
      <c r="C63" s="28">
        <v>2536250</v>
      </c>
      <c r="D63" s="28">
        <v>1768674</v>
      </c>
      <c r="E63" s="28">
        <v>-767576</v>
      </c>
      <c r="F63" s="24">
        <v>-0.3026420896993593</v>
      </c>
    </row>
    <row r="64" spans="1:6" s="13" customFormat="1" ht="26.25">
      <c r="A64" s="29" t="s">
        <v>65</v>
      </c>
      <c r="B64" s="28">
        <v>11803531</v>
      </c>
      <c r="C64" s="28">
        <v>12088077</v>
      </c>
      <c r="D64" s="28">
        <v>11699332</v>
      </c>
      <c r="E64" s="28">
        <v>-388745</v>
      </c>
      <c r="F64" s="24">
        <v>-3.2159374894782683E-2</v>
      </c>
    </row>
    <row r="65" spans="1:6" s="36" customFormat="1" ht="26.25">
      <c r="A65" s="49" t="s">
        <v>66</v>
      </c>
      <c r="B65" s="34">
        <v>85587861</v>
      </c>
      <c r="C65" s="34">
        <v>85850180</v>
      </c>
      <c r="D65" s="34">
        <v>87745012</v>
      </c>
      <c r="E65" s="34">
        <v>1894832</v>
      </c>
      <c r="F65" s="35">
        <v>2.2071380630768626E-2</v>
      </c>
    </row>
    <row r="66" spans="1:6" s="13" customFormat="1" ht="26.25">
      <c r="A66" s="29" t="s">
        <v>67</v>
      </c>
      <c r="B66" s="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8">
        <v>0</v>
      </c>
      <c r="C67" s="28">
        <v>0</v>
      </c>
      <c r="D67" s="28">
        <v>1465980</v>
      </c>
      <c r="E67" s="28">
        <v>1465980</v>
      </c>
      <c r="F67" s="24">
        <v>1</v>
      </c>
    </row>
    <row r="68" spans="1:6" s="13" customFormat="1" ht="26.25">
      <c r="A68" s="29" t="s">
        <v>69</v>
      </c>
      <c r="B68" s="28">
        <v>734960</v>
      </c>
      <c r="C68" s="28">
        <v>693253</v>
      </c>
      <c r="D68" s="28">
        <v>693253</v>
      </c>
      <c r="E68" s="28">
        <v>0</v>
      </c>
      <c r="F68" s="24">
        <v>0</v>
      </c>
    </row>
    <row r="69" spans="1:6" s="13" customFormat="1" ht="26.25">
      <c r="A69" s="29" t="s">
        <v>70</v>
      </c>
      <c r="B69" s="28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259" t="s">
        <v>71</v>
      </c>
      <c r="B70" s="260">
        <v>86322821</v>
      </c>
      <c r="C70" s="260">
        <v>86543433</v>
      </c>
      <c r="D70" s="260">
        <v>89904245</v>
      </c>
      <c r="E70" s="260">
        <v>3360812</v>
      </c>
      <c r="F70" s="35">
        <v>3.8833818852552333E-2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51915736</v>
      </c>
      <c r="C73" s="23">
        <v>51945429</v>
      </c>
      <c r="D73" s="23">
        <v>51636282</v>
      </c>
      <c r="E73" s="19">
        <v>-309147</v>
      </c>
      <c r="F73" s="24">
        <v>-5.9513802456035159E-3</v>
      </c>
    </row>
    <row r="74" spans="1:6" s="13" customFormat="1" ht="26.25">
      <c r="A74" s="29" t="s">
        <v>74</v>
      </c>
      <c r="B74" s="255">
        <v>0</v>
      </c>
      <c r="C74" s="23">
        <v>25000</v>
      </c>
      <c r="D74" s="23">
        <v>25000</v>
      </c>
      <c r="E74" s="28">
        <v>0</v>
      </c>
      <c r="F74" s="24">
        <v>0</v>
      </c>
    </row>
    <row r="75" spans="1:6" s="13" customFormat="1" ht="26.25">
      <c r="A75" s="29" t="s">
        <v>75</v>
      </c>
      <c r="B75" s="19">
        <v>14927643</v>
      </c>
      <c r="C75" s="23">
        <v>14978454</v>
      </c>
      <c r="D75" s="23">
        <v>17893997</v>
      </c>
      <c r="E75" s="28">
        <v>2915543</v>
      </c>
      <c r="F75" s="24">
        <v>0.1946491273398443</v>
      </c>
    </row>
    <row r="76" spans="1:6" s="36" customFormat="1" ht="26.25">
      <c r="A76" s="49" t="s">
        <v>76</v>
      </c>
      <c r="B76" s="260">
        <v>66843379</v>
      </c>
      <c r="C76" s="260">
        <v>66948883</v>
      </c>
      <c r="D76" s="260">
        <v>69555279</v>
      </c>
      <c r="E76" s="34">
        <v>2606396</v>
      </c>
      <c r="F76" s="35">
        <v>3.8931134967554279E-2</v>
      </c>
    </row>
    <row r="77" spans="1:6" s="13" customFormat="1" ht="26.25">
      <c r="A77" s="29" t="s">
        <v>77</v>
      </c>
      <c r="B77" s="255">
        <v>145889</v>
      </c>
      <c r="C77" s="255">
        <v>313597</v>
      </c>
      <c r="D77" s="255">
        <v>321311</v>
      </c>
      <c r="E77" s="28">
        <v>7714</v>
      </c>
      <c r="F77" s="24">
        <v>2.4598449602515331E-2</v>
      </c>
    </row>
    <row r="78" spans="1:6" s="13" customFormat="1" ht="26.25">
      <c r="A78" s="29" t="s">
        <v>78</v>
      </c>
      <c r="B78" s="23">
        <v>11065609</v>
      </c>
      <c r="C78" s="23">
        <v>10858349</v>
      </c>
      <c r="D78" s="23">
        <v>10406324</v>
      </c>
      <c r="E78" s="28">
        <v>-452025</v>
      </c>
      <c r="F78" s="24">
        <v>-4.1629256897158122E-2</v>
      </c>
    </row>
    <row r="79" spans="1:6" s="13" customFormat="1" ht="26.25">
      <c r="A79" s="29" t="s">
        <v>79</v>
      </c>
      <c r="B79" s="19">
        <v>1378587</v>
      </c>
      <c r="C79" s="19">
        <v>1600914</v>
      </c>
      <c r="D79" s="19">
        <v>1618879</v>
      </c>
      <c r="E79" s="28">
        <v>17965</v>
      </c>
      <c r="F79" s="24">
        <v>1.1221714595537299E-2</v>
      </c>
    </row>
    <row r="80" spans="1:6" s="36" customFormat="1" ht="26.25">
      <c r="A80" s="32" t="s">
        <v>80</v>
      </c>
      <c r="B80" s="260">
        <v>12590085</v>
      </c>
      <c r="C80" s="260">
        <v>12772860</v>
      </c>
      <c r="D80" s="260">
        <v>12346514</v>
      </c>
      <c r="E80" s="34">
        <v>-426346</v>
      </c>
      <c r="F80" s="35">
        <v>-3.3379055278144443E-2</v>
      </c>
    </row>
    <row r="81" spans="1:6" s="13" customFormat="1" ht="26.25">
      <c r="A81" s="29" t="s">
        <v>81</v>
      </c>
      <c r="B81" s="19">
        <v>1067303</v>
      </c>
      <c r="C81" s="19">
        <v>1215655</v>
      </c>
      <c r="D81" s="19">
        <v>814655</v>
      </c>
      <c r="E81" s="28">
        <v>-401000</v>
      </c>
      <c r="F81" s="24">
        <v>-0.3298633247097244</v>
      </c>
    </row>
    <row r="82" spans="1:6" s="13" customFormat="1" ht="26.25">
      <c r="A82" s="29" t="s">
        <v>82</v>
      </c>
      <c r="B82" s="28">
        <v>3745119</v>
      </c>
      <c r="C82" s="28">
        <v>3757503</v>
      </c>
      <c r="D82" s="28">
        <v>4283347</v>
      </c>
      <c r="E82" s="28">
        <v>525844</v>
      </c>
      <c r="F82" s="24">
        <v>0.13994506458145209</v>
      </c>
    </row>
    <row r="83" spans="1:6" s="13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28">
        <v>0</v>
      </c>
      <c r="C84" s="28">
        <v>0</v>
      </c>
      <c r="D84" s="28">
        <v>0</v>
      </c>
      <c r="E84" s="28">
        <v>0</v>
      </c>
      <c r="F84" s="24">
        <v>0</v>
      </c>
    </row>
    <row r="85" spans="1:6" s="36" customFormat="1" ht="26.25">
      <c r="A85" s="32" t="s">
        <v>85</v>
      </c>
      <c r="B85" s="34">
        <v>4812422</v>
      </c>
      <c r="C85" s="34">
        <v>4973158</v>
      </c>
      <c r="D85" s="34">
        <v>5098002</v>
      </c>
      <c r="E85" s="34">
        <v>124844</v>
      </c>
      <c r="F85" s="35">
        <v>2.5103565983626501E-2</v>
      </c>
    </row>
    <row r="86" spans="1:6" s="13" customFormat="1" ht="26.25">
      <c r="A86" s="29" t="s">
        <v>86</v>
      </c>
      <c r="B86" s="28">
        <v>744375</v>
      </c>
      <c r="C86" s="28">
        <v>838033</v>
      </c>
      <c r="D86" s="28">
        <v>1943952</v>
      </c>
      <c r="E86" s="28">
        <v>1105919</v>
      </c>
      <c r="F86" s="24">
        <v>1.3196604429658498</v>
      </c>
    </row>
    <row r="87" spans="1:6" s="13" customFormat="1" ht="26.25">
      <c r="A87" s="29" t="s">
        <v>87</v>
      </c>
      <c r="B87" s="28">
        <v>268169</v>
      </c>
      <c r="C87" s="28">
        <v>379700</v>
      </c>
      <c r="D87" s="28">
        <v>379700</v>
      </c>
      <c r="E87" s="28">
        <v>0</v>
      </c>
      <c r="F87" s="24">
        <v>0</v>
      </c>
    </row>
    <row r="88" spans="1:6" s="13" customFormat="1" ht="26.25">
      <c r="A88" s="258" t="s">
        <v>88</v>
      </c>
      <c r="B88" s="28">
        <v>1064391</v>
      </c>
      <c r="C88" s="28">
        <v>630800</v>
      </c>
      <c r="D88" s="28">
        <v>580800</v>
      </c>
      <c r="E88" s="28">
        <v>-50000</v>
      </c>
      <c r="F88" s="24">
        <v>-7.9264426125554857E-2</v>
      </c>
    </row>
    <row r="89" spans="1:6" s="36" customFormat="1" ht="26.25">
      <c r="A89" s="261" t="s">
        <v>89</v>
      </c>
      <c r="B89" s="260">
        <v>2076935</v>
      </c>
      <c r="C89" s="260">
        <v>1848533</v>
      </c>
      <c r="D89" s="260">
        <v>2904452</v>
      </c>
      <c r="E89" s="260">
        <v>1055919</v>
      </c>
      <c r="F89" s="35">
        <v>0.57121998903995763</v>
      </c>
    </row>
    <row r="90" spans="1:6" s="13" customFormat="1" ht="26.25">
      <c r="A90" s="258" t="s">
        <v>90</v>
      </c>
      <c r="B90" s="28">
        <v>0</v>
      </c>
      <c r="C90" s="28">
        <v>0</v>
      </c>
      <c r="D90" s="255">
        <v>0</v>
      </c>
      <c r="E90" s="28">
        <v>0</v>
      </c>
      <c r="F90" s="24">
        <v>0</v>
      </c>
    </row>
    <row r="91" spans="1:6" s="36" customFormat="1" ht="27" thickBot="1">
      <c r="A91" s="262" t="s">
        <v>71</v>
      </c>
      <c r="B91" s="263">
        <v>86322821</v>
      </c>
      <c r="C91" s="263">
        <v>86543433</v>
      </c>
      <c r="D91" s="55">
        <v>89904245</v>
      </c>
      <c r="E91" s="263">
        <v>3360812</v>
      </c>
      <c r="F91" s="56">
        <v>3.8833818852552333E-2</v>
      </c>
    </row>
    <row r="92" spans="1:6" s="60" customFormat="1" ht="31.5">
      <c r="A92" s="57"/>
      <c r="B92" s="58"/>
      <c r="C92" s="58" t="s">
        <v>50</v>
      </c>
      <c r="D92" s="58"/>
      <c r="E92" s="59"/>
      <c r="F92" s="59"/>
    </row>
    <row r="93" spans="1:6" s="60" customFormat="1" ht="31.5">
      <c r="A93" s="61" t="s">
        <v>91</v>
      </c>
      <c r="B93" s="62"/>
      <c r="C93" s="62" t="s">
        <v>50</v>
      </c>
      <c r="D93" s="62" t="s">
        <v>50</v>
      </c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zoomScale="60" zoomScaleNormal="60" workbookViewId="0">
      <selection activeCell="B8" sqref="B8:B91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0.285156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289" t="s">
        <v>101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3415718</v>
      </c>
      <c r="C8" s="23">
        <v>3415718</v>
      </c>
      <c r="D8" s="23">
        <v>3406645</v>
      </c>
      <c r="E8" s="23">
        <v>-9073</v>
      </c>
      <c r="F8" s="24">
        <v>-2.656249725533548E-3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55">
        <v>156785</v>
      </c>
      <c r="C10" s="26">
        <v>157285</v>
      </c>
      <c r="D10" s="26">
        <v>132130</v>
      </c>
      <c r="E10" s="26">
        <v>-25155</v>
      </c>
      <c r="F10" s="24">
        <v>-0.15993260641510634</v>
      </c>
    </row>
    <row r="11" spans="1:6" s="13" customFormat="1" ht="26.25">
      <c r="A11" s="27" t="s">
        <v>19</v>
      </c>
      <c r="B11" s="28">
        <v>2761</v>
      </c>
      <c r="C11" s="28">
        <v>2761</v>
      </c>
      <c r="D11" s="28">
        <v>0</v>
      </c>
      <c r="E11" s="26">
        <v>-2761</v>
      </c>
      <c r="F11" s="24">
        <v>-1</v>
      </c>
    </row>
    <row r="12" spans="1:6" s="13" customFormat="1" ht="26.25">
      <c r="A12" s="29" t="s">
        <v>20</v>
      </c>
      <c r="B12" s="28">
        <v>129024</v>
      </c>
      <c r="C12" s="28">
        <v>129524</v>
      </c>
      <c r="D12" s="28">
        <v>132130</v>
      </c>
      <c r="E12" s="26">
        <v>2606</v>
      </c>
      <c r="F12" s="24">
        <v>2.011982335320095E-2</v>
      </c>
    </row>
    <row r="13" spans="1:6" s="13" customFormat="1" ht="26.25">
      <c r="A13" s="29" t="s">
        <v>21</v>
      </c>
      <c r="B13" s="28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8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13" customFormat="1" ht="26.25">
      <c r="A15" s="29" t="s">
        <v>23</v>
      </c>
      <c r="B15" s="28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8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8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8">
        <v>25000</v>
      </c>
      <c r="C28" s="28">
        <v>25000</v>
      </c>
      <c r="D28" s="28">
        <v>0</v>
      </c>
      <c r="E28" s="26">
        <v>-25000</v>
      </c>
      <c r="F28" s="24">
        <v>-1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4">
        <v>3572503</v>
      </c>
      <c r="C34" s="34">
        <v>3573003</v>
      </c>
      <c r="D34" s="34">
        <v>3538775</v>
      </c>
      <c r="E34" s="34">
        <v>-34228</v>
      </c>
      <c r="F34" s="35">
        <v>-9.5796169216762483E-3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13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13" customFormat="1" ht="26.25">
      <c r="A38" s="38" t="s">
        <v>46</v>
      </c>
      <c r="B38" s="23">
        <v>378296</v>
      </c>
      <c r="C38" s="23">
        <v>0</v>
      </c>
      <c r="D38" s="23">
        <v>0</v>
      </c>
      <c r="E38" s="26">
        <v>0</v>
      </c>
      <c r="F38" s="24">
        <v>0</v>
      </c>
    </row>
    <row r="39" spans="1:10" s="13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13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378296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1068545</v>
      </c>
      <c r="C45" s="42">
        <v>1068545</v>
      </c>
      <c r="D45" s="42">
        <v>0</v>
      </c>
      <c r="E45" s="42">
        <v>-1068545</v>
      </c>
      <c r="F45" s="35">
        <v>-1</v>
      </c>
    </row>
    <row r="46" spans="1:10" s="13" customFormat="1" ht="26.25">
      <c r="A46" s="29" t="s">
        <v>50</v>
      </c>
      <c r="B46" s="28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3336436</v>
      </c>
      <c r="C47" s="40">
        <v>2958140</v>
      </c>
      <c r="D47" s="40">
        <v>4640370</v>
      </c>
      <c r="E47" s="40">
        <v>1682230</v>
      </c>
      <c r="F47" s="35">
        <v>0.56867829108831902</v>
      </c>
    </row>
    <row r="48" spans="1:10" s="13" customFormat="1" ht="26.25">
      <c r="A48" s="29" t="s">
        <v>50</v>
      </c>
      <c r="B48" s="28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8"/>
      <c r="C52" s="28"/>
      <c r="D52" s="28"/>
      <c r="E52" s="28"/>
      <c r="F52" s="20"/>
    </row>
    <row r="53" spans="1:6" s="36" customFormat="1" ht="26.25">
      <c r="A53" s="46" t="s">
        <v>56</v>
      </c>
      <c r="B53" s="40">
        <v>7599188</v>
      </c>
      <c r="C53" s="40">
        <v>7599688</v>
      </c>
      <c r="D53" s="40">
        <v>8179145</v>
      </c>
      <c r="E53" s="40">
        <v>579457</v>
      </c>
      <c r="F53" s="35">
        <v>7.6247472264650867E-2</v>
      </c>
    </row>
    <row r="54" spans="1:6" s="13" customFormat="1" ht="26.25">
      <c r="A54" s="47"/>
      <c r="B54" s="28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4104104</v>
      </c>
      <c r="C57" s="19">
        <v>3595559</v>
      </c>
      <c r="D57" s="19">
        <v>4452780</v>
      </c>
      <c r="E57" s="19">
        <v>857221</v>
      </c>
      <c r="F57" s="24">
        <v>0.23841105096592768</v>
      </c>
    </row>
    <row r="58" spans="1:6" s="13" customFormat="1" ht="26.25">
      <c r="A58" s="29" t="s">
        <v>59</v>
      </c>
      <c r="B58" s="28">
        <v>0</v>
      </c>
      <c r="C58" s="28">
        <v>0</v>
      </c>
      <c r="D58" s="28">
        <v>0</v>
      </c>
      <c r="E58" s="28">
        <v>0</v>
      </c>
      <c r="F58" s="24">
        <v>0</v>
      </c>
    </row>
    <row r="59" spans="1:6" s="13" customFormat="1" ht="26.25">
      <c r="A59" s="29" t="s">
        <v>60</v>
      </c>
      <c r="B59" s="28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13" customFormat="1" ht="26.25">
      <c r="A60" s="29" t="s">
        <v>61</v>
      </c>
      <c r="B60" s="28">
        <v>609739</v>
      </c>
      <c r="C60" s="28">
        <v>566195</v>
      </c>
      <c r="D60" s="28">
        <v>712285</v>
      </c>
      <c r="E60" s="28">
        <v>146090</v>
      </c>
      <c r="F60" s="24">
        <v>0.25802064659702045</v>
      </c>
    </row>
    <row r="61" spans="1:6" s="13" customFormat="1" ht="26.25">
      <c r="A61" s="29" t="s">
        <v>62</v>
      </c>
      <c r="B61" s="28">
        <v>444251</v>
      </c>
      <c r="C61" s="28">
        <v>438935</v>
      </c>
      <c r="D61" s="28">
        <v>556908</v>
      </c>
      <c r="E61" s="28">
        <v>117973</v>
      </c>
      <c r="F61" s="24">
        <v>0.26877100254023945</v>
      </c>
    </row>
    <row r="62" spans="1:6" s="13" customFormat="1" ht="26.25">
      <c r="A62" s="29" t="s">
        <v>63</v>
      </c>
      <c r="B62" s="28">
        <v>1479933</v>
      </c>
      <c r="C62" s="28">
        <v>1784566</v>
      </c>
      <c r="D62" s="28">
        <v>1472549</v>
      </c>
      <c r="E62" s="28">
        <v>-312017</v>
      </c>
      <c r="F62" s="24">
        <v>-0.17484195036776448</v>
      </c>
    </row>
    <row r="63" spans="1:6" s="13" customFormat="1" ht="26.25">
      <c r="A63" s="29" t="s">
        <v>64</v>
      </c>
      <c r="B63" s="28">
        <v>392388</v>
      </c>
      <c r="C63" s="28">
        <v>393759</v>
      </c>
      <c r="D63" s="28">
        <v>401896</v>
      </c>
      <c r="E63" s="28">
        <v>8137</v>
      </c>
      <c r="F63" s="24">
        <v>2.0664924484265757E-2</v>
      </c>
    </row>
    <row r="64" spans="1:6" s="13" customFormat="1" ht="26.25">
      <c r="A64" s="29" t="s">
        <v>65</v>
      </c>
      <c r="B64" s="28">
        <v>374619</v>
      </c>
      <c r="C64" s="28">
        <v>626520</v>
      </c>
      <c r="D64" s="28">
        <v>382727</v>
      </c>
      <c r="E64" s="28">
        <v>-243793</v>
      </c>
      <c r="F64" s="24">
        <v>-0.38912245419140651</v>
      </c>
    </row>
    <row r="65" spans="1:6" s="36" customFormat="1" ht="26.25">
      <c r="A65" s="49" t="s">
        <v>66</v>
      </c>
      <c r="B65" s="34">
        <v>7405034</v>
      </c>
      <c r="C65" s="34">
        <v>7405534</v>
      </c>
      <c r="D65" s="34">
        <v>7979145</v>
      </c>
      <c r="E65" s="34">
        <v>573611</v>
      </c>
      <c r="F65" s="35">
        <v>7.7457074668754469E-2</v>
      </c>
    </row>
    <row r="66" spans="1:6" s="13" customFormat="1" ht="26.25">
      <c r="A66" s="29" t="s">
        <v>67</v>
      </c>
      <c r="B66" s="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8">
        <v>194154</v>
      </c>
      <c r="C67" s="28">
        <v>194154</v>
      </c>
      <c r="D67" s="28">
        <v>200000</v>
      </c>
      <c r="E67" s="28">
        <v>5846</v>
      </c>
      <c r="F67" s="24">
        <v>3.0110118771696694E-2</v>
      </c>
    </row>
    <row r="68" spans="1:6" s="13" customFormat="1" ht="26.25">
      <c r="A68" s="29" t="s">
        <v>69</v>
      </c>
      <c r="B68" s="28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13" customFormat="1" ht="26.25">
      <c r="A69" s="29" t="s">
        <v>70</v>
      </c>
      <c r="B69" s="28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50" t="s">
        <v>71</v>
      </c>
      <c r="B70" s="260">
        <v>7599188</v>
      </c>
      <c r="C70" s="51">
        <v>7599688</v>
      </c>
      <c r="D70" s="51">
        <v>8179145</v>
      </c>
      <c r="E70" s="51">
        <v>579457</v>
      </c>
      <c r="F70" s="35">
        <v>7.6247472264650867E-2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4606218</v>
      </c>
      <c r="C73" s="23">
        <v>4233447</v>
      </c>
      <c r="D73" s="23">
        <v>4812150</v>
      </c>
      <c r="E73" s="19">
        <v>578703</v>
      </c>
      <c r="F73" s="24">
        <v>0.13669782567255478</v>
      </c>
    </row>
    <row r="74" spans="1:6" s="13" customFormat="1" ht="26.25">
      <c r="A74" s="29" t="s">
        <v>74</v>
      </c>
      <c r="B74" s="255">
        <v>104570</v>
      </c>
      <c r="C74" s="23">
        <v>112980</v>
      </c>
      <c r="D74" s="23">
        <v>0</v>
      </c>
      <c r="E74" s="28">
        <v>-112980</v>
      </c>
      <c r="F74" s="24">
        <v>-1</v>
      </c>
    </row>
    <row r="75" spans="1:6" s="13" customFormat="1" ht="26.25">
      <c r="A75" s="29" t="s">
        <v>75</v>
      </c>
      <c r="B75" s="19">
        <v>1615350</v>
      </c>
      <c r="C75" s="23">
        <v>1494124</v>
      </c>
      <c r="D75" s="23">
        <v>1650500</v>
      </c>
      <c r="E75" s="28">
        <v>156376</v>
      </c>
      <c r="F75" s="24">
        <v>0.10466065734838607</v>
      </c>
    </row>
    <row r="76" spans="1:6" s="36" customFormat="1" ht="26.25">
      <c r="A76" s="49" t="s">
        <v>76</v>
      </c>
      <c r="B76" s="260">
        <v>6326138</v>
      </c>
      <c r="C76" s="51">
        <v>5840551</v>
      </c>
      <c r="D76" s="51">
        <v>6462650</v>
      </c>
      <c r="E76" s="34">
        <v>622099</v>
      </c>
      <c r="F76" s="35">
        <v>0.10651375187032867</v>
      </c>
    </row>
    <row r="77" spans="1:6" s="13" customFormat="1" ht="26.25">
      <c r="A77" s="29" t="s">
        <v>77</v>
      </c>
      <c r="B77" s="255">
        <v>14728</v>
      </c>
      <c r="C77" s="26">
        <v>42742</v>
      </c>
      <c r="D77" s="26">
        <v>32800</v>
      </c>
      <c r="E77" s="28">
        <v>-9942</v>
      </c>
      <c r="F77" s="24">
        <v>-0.2326049319170839</v>
      </c>
    </row>
    <row r="78" spans="1:6" s="13" customFormat="1" ht="26.25">
      <c r="A78" s="29" t="s">
        <v>78</v>
      </c>
      <c r="B78" s="23">
        <v>271904</v>
      </c>
      <c r="C78" s="23">
        <v>580366</v>
      </c>
      <c r="D78" s="23">
        <v>602164</v>
      </c>
      <c r="E78" s="28">
        <v>21798</v>
      </c>
      <c r="F78" s="24">
        <v>3.7559057560229238E-2</v>
      </c>
    </row>
    <row r="79" spans="1:6" s="13" customFormat="1" ht="26.25">
      <c r="A79" s="29" t="s">
        <v>79</v>
      </c>
      <c r="B79" s="19">
        <v>118553</v>
      </c>
      <c r="C79" s="19">
        <v>149185</v>
      </c>
      <c r="D79" s="19">
        <v>143250</v>
      </c>
      <c r="E79" s="28">
        <v>-5935</v>
      </c>
      <c r="F79" s="24">
        <v>-3.9782819988604751E-2</v>
      </c>
    </row>
    <row r="80" spans="1:6" s="36" customFormat="1" ht="26.25">
      <c r="A80" s="32" t="s">
        <v>80</v>
      </c>
      <c r="B80" s="260">
        <v>405185</v>
      </c>
      <c r="C80" s="51">
        <v>772293</v>
      </c>
      <c r="D80" s="51">
        <v>778214</v>
      </c>
      <c r="E80" s="34">
        <v>5921</v>
      </c>
      <c r="F80" s="35">
        <v>7.6667793182121297E-3</v>
      </c>
    </row>
    <row r="81" spans="1:6" s="13" customFormat="1" ht="26.25">
      <c r="A81" s="29" t="s">
        <v>81</v>
      </c>
      <c r="B81" s="19">
        <v>84087</v>
      </c>
      <c r="C81" s="19">
        <v>104631</v>
      </c>
      <c r="D81" s="19">
        <v>82500</v>
      </c>
      <c r="E81" s="28">
        <v>-22131</v>
      </c>
      <c r="F81" s="24">
        <v>-0.21151475184218826</v>
      </c>
    </row>
    <row r="82" spans="1:6" s="13" customFormat="1" ht="26.25">
      <c r="A82" s="29" t="s">
        <v>82</v>
      </c>
      <c r="B82" s="28">
        <v>393733</v>
      </c>
      <c r="C82" s="28">
        <v>393759</v>
      </c>
      <c r="D82" s="28">
        <v>518281</v>
      </c>
      <c r="E82" s="28">
        <v>124522</v>
      </c>
      <c r="F82" s="24">
        <v>0.31623912088358613</v>
      </c>
    </row>
    <row r="83" spans="1:6" s="13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28">
        <v>0</v>
      </c>
      <c r="C84" s="28">
        <v>0</v>
      </c>
      <c r="D84" s="28">
        <v>0</v>
      </c>
      <c r="E84" s="28">
        <v>0</v>
      </c>
      <c r="F84" s="24">
        <v>0</v>
      </c>
    </row>
    <row r="85" spans="1:6" s="36" customFormat="1" ht="26.25">
      <c r="A85" s="32" t="s">
        <v>85</v>
      </c>
      <c r="B85" s="34">
        <v>477820</v>
      </c>
      <c r="C85" s="34">
        <v>498390</v>
      </c>
      <c r="D85" s="34">
        <v>600781</v>
      </c>
      <c r="E85" s="34">
        <v>102391</v>
      </c>
      <c r="F85" s="35">
        <v>0.20544352816067737</v>
      </c>
    </row>
    <row r="86" spans="1:6" s="13" customFormat="1" ht="26.25">
      <c r="A86" s="29" t="s">
        <v>86</v>
      </c>
      <c r="B86" s="28">
        <v>390045</v>
      </c>
      <c r="C86" s="28">
        <v>488454</v>
      </c>
      <c r="D86" s="28">
        <v>337500</v>
      </c>
      <c r="E86" s="28">
        <v>-150954</v>
      </c>
      <c r="F86" s="24">
        <v>-0.30904445454433788</v>
      </c>
    </row>
    <row r="87" spans="1:6" s="13" customFormat="1" ht="26.25">
      <c r="A87" s="29" t="s">
        <v>87</v>
      </c>
      <c r="B87" s="28">
        <v>0</v>
      </c>
      <c r="C87" s="28">
        <v>0</v>
      </c>
      <c r="D87" s="28">
        <v>0</v>
      </c>
      <c r="E87" s="28">
        <v>0</v>
      </c>
      <c r="F87" s="24">
        <v>0</v>
      </c>
    </row>
    <row r="88" spans="1:6" s="13" customFormat="1" ht="26.25">
      <c r="A88" s="38" t="s">
        <v>88</v>
      </c>
      <c r="B88" s="28">
        <v>0</v>
      </c>
      <c r="C88" s="28">
        <v>0</v>
      </c>
      <c r="D88" s="28">
        <v>0</v>
      </c>
      <c r="E88" s="28">
        <v>0</v>
      </c>
      <c r="F88" s="24">
        <v>0</v>
      </c>
    </row>
    <row r="89" spans="1:6" s="36" customFormat="1" ht="26.25">
      <c r="A89" s="52" t="s">
        <v>89</v>
      </c>
      <c r="B89" s="260">
        <v>390045</v>
      </c>
      <c r="C89" s="51">
        <v>488454</v>
      </c>
      <c r="D89" s="51">
        <v>337500</v>
      </c>
      <c r="E89" s="51">
        <v>-150954</v>
      </c>
      <c r="F89" s="35">
        <v>-0.30904445454433788</v>
      </c>
    </row>
    <row r="90" spans="1:6" s="13" customFormat="1" ht="26.25">
      <c r="A90" s="38" t="s">
        <v>90</v>
      </c>
      <c r="B90" s="28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36" customFormat="1" ht="27" thickBot="1">
      <c r="A91" s="53" t="s">
        <v>71</v>
      </c>
      <c r="B91" s="263">
        <v>7599188</v>
      </c>
      <c r="C91" s="54">
        <v>7599688</v>
      </c>
      <c r="D91" s="55">
        <v>8179145</v>
      </c>
      <c r="E91" s="54">
        <v>579457</v>
      </c>
      <c r="F91" s="56">
        <v>7.6247472264650867E-2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topLeftCell="A10" zoomScale="60" zoomScaleNormal="60" workbookViewId="0">
      <selection activeCell="B8" sqref="B8:B91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0.28515625" style="65" customWidth="1"/>
    <col min="6" max="6" width="25.140625" style="65" customWidth="1"/>
    <col min="7" max="16384" width="9.140625" style="65"/>
  </cols>
  <sheetData>
    <row r="1" spans="1:7" s="6" customFormat="1" ht="46.5">
      <c r="A1" s="1" t="s">
        <v>0</v>
      </c>
      <c r="D1" s="277" t="s">
        <v>1</v>
      </c>
      <c r="E1" s="4" t="s">
        <v>148</v>
      </c>
      <c r="F1" s="279"/>
      <c r="G1" s="282"/>
    </row>
    <row r="2" spans="1:7" s="6" customFormat="1" ht="46.5">
      <c r="A2" s="1" t="s">
        <v>2</v>
      </c>
      <c r="B2" s="2"/>
      <c r="C2" s="2"/>
      <c r="D2" s="2"/>
      <c r="E2" s="3"/>
      <c r="F2" s="3"/>
    </row>
    <row r="3" spans="1:7" s="6" customFormat="1" ht="47.25" thickBot="1">
      <c r="A3" s="7" t="s">
        <v>3</v>
      </c>
      <c r="B3" s="8"/>
      <c r="C3" s="8"/>
      <c r="D3" s="8"/>
      <c r="E3" s="3"/>
      <c r="F3" s="3"/>
    </row>
    <row r="4" spans="1:7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7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7" s="13" customFormat="1" ht="26.25">
      <c r="A6" s="18" t="s">
        <v>14</v>
      </c>
      <c r="B6" s="19"/>
      <c r="C6" s="19"/>
      <c r="D6" s="19"/>
      <c r="E6" s="19"/>
      <c r="F6" s="20"/>
    </row>
    <row r="7" spans="1:7" s="13" customFormat="1" ht="26.25">
      <c r="A7" s="18" t="s">
        <v>15</v>
      </c>
      <c r="B7" s="19"/>
      <c r="C7" s="19"/>
      <c r="D7" s="19"/>
      <c r="E7" s="19"/>
      <c r="F7" s="21"/>
    </row>
    <row r="8" spans="1:7" s="13" customFormat="1" ht="26.25">
      <c r="A8" s="22" t="s">
        <v>16</v>
      </c>
      <c r="B8" s="23">
        <v>4754577</v>
      </c>
      <c r="C8" s="23">
        <v>4754577</v>
      </c>
      <c r="D8" s="23">
        <v>4638142</v>
      </c>
      <c r="E8" s="23">
        <v>-116435</v>
      </c>
      <c r="F8" s="24">
        <v>-2.4489034460899464E-2</v>
      </c>
    </row>
    <row r="9" spans="1:7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7" s="13" customFormat="1" ht="26.25">
      <c r="A10" s="25" t="s">
        <v>18</v>
      </c>
      <c r="B10" s="255">
        <v>183256</v>
      </c>
      <c r="C10" s="26">
        <v>183951</v>
      </c>
      <c r="D10" s="26">
        <v>176492</v>
      </c>
      <c r="E10" s="26">
        <v>-7459</v>
      </c>
      <c r="F10" s="24">
        <v>-4.0548841811134488E-2</v>
      </c>
    </row>
    <row r="11" spans="1:7" s="13" customFormat="1" ht="26.25">
      <c r="A11" s="27" t="s">
        <v>19</v>
      </c>
      <c r="B11" s="28">
        <v>3839</v>
      </c>
      <c r="C11" s="28">
        <v>3839</v>
      </c>
      <c r="D11" s="28">
        <v>0</v>
      </c>
      <c r="E11" s="26">
        <v>-3839</v>
      </c>
      <c r="F11" s="24">
        <v>-1</v>
      </c>
    </row>
    <row r="12" spans="1:7" s="13" customFormat="1" ht="26.25">
      <c r="A12" s="29" t="s">
        <v>20</v>
      </c>
      <c r="B12" s="28">
        <v>179417</v>
      </c>
      <c r="C12" s="28">
        <v>180112</v>
      </c>
      <c r="D12" s="28">
        <v>176492</v>
      </c>
      <c r="E12" s="26">
        <v>-3620</v>
      </c>
      <c r="F12" s="24">
        <v>-2.0098605312250155E-2</v>
      </c>
    </row>
    <row r="13" spans="1:7" s="13" customFormat="1" ht="26.25">
      <c r="A13" s="29" t="s">
        <v>21</v>
      </c>
      <c r="B13" s="28">
        <v>0</v>
      </c>
      <c r="C13" s="28">
        <v>0</v>
      </c>
      <c r="D13" s="28">
        <v>0</v>
      </c>
      <c r="E13" s="26">
        <v>0</v>
      </c>
      <c r="F13" s="24">
        <v>0</v>
      </c>
    </row>
    <row r="14" spans="1:7" s="13" customFormat="1" ht="26.25">
      <c r="A14" s="29" t="s">
        <v>22</v>
      </c>
      <c r="B14" s="28">
        <v>0</v>
      </c>
      <c r="C14" s="28">
        <v>0</v>
      </c>
      <c r="D14" s="28">
        <v>0</v>
      </c>
      <c r="E14" s="26">
        <v>0</v>
      </c>
      <c r="F14" s="24">
        <v>0</v>
      </c>
    </row>
    <row r="15" spans="1:7" s="13" customFormat="1" ht="26.25">
      <c r="A15" s="29" t="s">
        <v>23</v>
      </c>
      <c r="B15" s="28">
        <v>0</v>
      </c>
      <c r="C15" s="28">
        <v>0</v>
      </c>
      <c r="D15" s="28">
        <v>0</v>
      </c>
      <c r="E15" s="26">
        <v>0</v>
      </c>
      <c r="F15" s="24">
        <v>0</v>
      </c>
    </row>
    <row r="16" spans="1:7" s="13" customFormat="1" ht="26.25">
      <c r="A16" s="29" t="s">
        <v>24</v>
      </c>
      <c r="B16" s="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8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8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8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4">
        <v>4937833</v>
      </c>
      <c r="C34" s="34">
        <v>4938528</v>
      </c>
      <c r="D34" s="34">
        <v>4814634</v>
      </c>
      <c r="E34" s="34">
        <v>-123894</v>
      </c>
      <c r="F34" s="35">
        <v>-2.5087232470890113E-2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13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13" customFormat="1" ht="26.25">
      <c r="A38" s="38" t="s">
        <v>46</v>
      </c>
      <c r="B38" s="23">
        <v>1351553</v>
      </c>
      <c r="C38" s="23">
        <v>0</v>
      </c>
      <c r="D38" s="23">
        <v>0</v>
      </c>
      <c r="E38" s="26">
        <v>0</v>
      </c>
      <c r="F38" s="24">
        <v>0</v>
      </c>
    </row>
    <row r="39" spans="1:10" s="13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13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1351553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1485883</v>
      </c>
      <c r="C45" s="42">
        <v>1485883</v>
      </c>
      <c r="D45" s="42">
        <v>0</v>
      </c>
      <c r="E45" s="42">
        <v>-1485883</v>
      </c>
      <c r="F45" s="35">
        <v>-1</v>
      </c>
    </row>
    <row r="46" spans="1:10" s="13" customFormat="1" ht="26.25">
      <c r="A46" s="29" t="s">
        <v>50</v>
      </c>
      <c r="B46" s="28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4710643</v>
      </c>
      <c r="C47" s="40">
        <v>4243392</v>
      </c>
      <c r="D47" s="40">
        <v>5954085</v>
      </c>
      <c r="E47" s="40">
        <v>1710693</v>
      </c>
      <c r="F47" s="35">
        <v>0.40314281593593049</v>
      </c>
    </row>
    <row r="48" spans="1:10" s="13" customFormat="1" ht="26.25">
      <c r="A48" s="29" t="s">
        <v>50</v>
      </c>
      <c r="B48" s="28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8"/>
      <c r="C52" s="28"/>
      <c r="D52" s="28"/>
      <c r="E52" s="28"/>
      <c r="F52" s="20"/>
    </row>
    <row r="53" spans="1:6" s="36" customFormat="1" ht="26.25">
      <c r="A53" s="46" t="s">
        <v>56</v>
      </c>
      <c r="B53" s="40">
        <v>9782806</v>
      </c>
      <c r="C53" s="40">
        <v>10667803</v>
      </c>
      <c r="D53" s="40">
        <v>10768719</v>
      </c>
      <c r="E53" s="40">
        <v>100916</v>
      </c>
      <c r="F53" s="35">
        <v>9.4598672285193114E-3</v>
      </c>
    </row>
    <row r="54" spans="1:6" s="13" customFormat="1" ht="26.25">
      <c r="A54" s="47"/>
      <c r="B54" s="28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4207357</v>
      </c>
      <c r="C57" s="19">
        <v>4619979</v>
      </c>
      <c r="D57" s="19">
        <v>4822916</v>
      </c>
      <c r="E57" s="19">
        <v>202937</v>
      </c>
      <c r="F57" s="24">
        <v>4.3925957239199571E-2</v>
      </c>
    </row>
    <row r="58" spans="1:6" s="13" customFormat="1" ht="26.25">
      <c r="A58" s="29" t="s">
        <v>59</v>
      </c>
      <c r="B58" s="28">
        <v>0</v>
      </c>
      <c r="C58" s="28">
        <v>0</v>
      </c>
      <c r="D58" s="28">
        <v>0</v>
      </c>
      <c r="E58" s="28">
        <v>0</v>
      </c>
      <c r="F58" s="24">
        <v>0</v>
      </c>
    </row>
    <row r="59" spans="1:6" s="13" customFormat="1" ht="26.25">
      <c r="A59" s="29" t="s">
        <v>60</v>
      </c>
      <c r="B59" s="28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13" customFormat="1" ht="26.25">
      <c r="A60" s="29" t="s">
        <v>61</v>
      </c>
      <c r="B60" s="28">
        <v>565667</v>
      </c>
      <c r="C60" s="28">
        <v>623296</v>
      </c>
      <c r="D60" s="28">
        <v>533389</v>
      </c>
      <c r="E60" s="28">
        <v>-89907</v>
      </c>
      <c r="F60" s="24">
        <v>-0.14424446811787658</v>
      </c>
    </row>
    <row r="61" spans="1:6" s="13" customFormat="1" ht="26.25">
      <c r="A61" s="29" t="s">
        <v>62</v>
      </c>
      <c r="B61" s="28">
        <v>853459</v>
      </c>
      <c r="C61" s="28">
        <v>940677</v>
      </c>
      <c r="D61" s="28">
        <v>958717</v>
      </c>
      <c r="E61" s="28">
        <v>18040</v>
      </c>
      <c r="F61" s="24">
        <v>1.9177677353650616E-2</v>
      </c>
    </row>
    <row r="62" spans="1:6" s="13" customFormat="1" ht="26.25">
      <c r="A62" s="29" t="s">
        <v>63</v>
      </c>
      <c r="B62" s="28">
        <v>2762107</v>
      </c>
      <c r="C62" s="28">
        <v>2929353</v>
      </c>
      <c r="D62" s="28">
        <v>2678842</v>
      </c>
      <c r="E62" s="28">
        <v>-250511</v>
      </c>
      <c r="F62" s="24">
        <v>-8.5517518714883459E-2</v>
      </c>
    </row>
    <row r="63" spans="1:6" s="13" customFormat="1" ht="26.25">
      <c r="A63" s="29" t="s">
        <v>64</v>
      </c>
      <c r="B63" s="28">
        <v>202348</v>
      </c>
      <c r="C63" s="28">
        <v>194661</v>
      </c>
      <c r="D63" s="28">
        <v>190000</v>
      </c>
      <c r="E63" s="28">
        <v>-4661</v>
      </c>
      <c r="F63" s="24">
        <v>-2.3944190156220301E-2</v>
      </c>
    </row>
    <row r="64" spans="1:6" s="13" customFormat="1" ht="26.25">
      <c r="A64" s="29" t="s">
        <v>65</v>
      </c>
      <c r="B64" s="28">
        <v>1024471</v>
      </c>
      <c r="C64" s="28">
        <v>1142160</v>
      </c>
      <c r="D64" s="28">
        <v>1417458</v>
      </c>
      <c r="E64" s="28">
        <v>275298</v>
      </c>
      <c r="F64" s="24">
        <v>0.24103277999579745</v>
      </c>
    </row>
    <row r="65" spans="1:6" s="36" customFormat="1" ht="26.25">
      <c r="A65" s="49" t="s">
        <v>66</v>
      </c>
      <c r="B65" s="34">
        <v>9615409</v>
      </c>
      <c r="C65" s="34">
        <v>10450126</v>
      </c>
      <c r="D65" s="34">
        <v>10601322</v>
      </c>
      <c r="E65" s="34">
        <v>151196</v>
      </c>
      <c r="F65" s="35">
        <v>1.4468342295585718E-2</v>
      </c>
    </row>
    <row r="66" spans="1:6" s="13" customFormat="1" ht="26.25">
      <c r="A66" s="29" t="s">
        <v>67</v>
      </c>
      <c r="B66" s="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8">
        <v>167397</v>
      </c>
      <c r="C67" s="28">
        <v>217677</v>
      </c>
      <c r="D67" s="28">
        <v>167397</v>
      </c>
      <c r="E67" s="28">
        <v>-50280</v>
      </c>
      <c r="F67" s="24">
        <v>-0.23098444024862524</v>
      </c>
    </row>
    <row r="68" spans="1:6" s="13" customFormat="1" ht="26.25">
      <c r="A68" s="29" t="s">
        <v>69</v>
      </c>
      <c r="B68" s="28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13" customFormat="1" ht="26.25">
      <c r="A69" s="29" t="s">
        <v>70</v>
      </c>
      <c r="B69" s="28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50" t="s">
        <v>71</v>
      </c>
      <c r="B70" s="260">
        <v>9782806</v>
      </c>
      <c r="C70" s="51">
        <v>10667803</v>
      </c>
      <c r="D70" s="51">
        <v>10768719</v>
      </c>
      <c r="E70" s="51">
        <v>100916</v>
      </c>
      <c r="F70" s="35">
        <v>9.4598672285193114E-3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5316638</v>
      </c>
      <c r="C73" s="23">
        <v>5584770</v>
      </c>
      <c r="D73" s="23">
        <v>6003874</v>
      </c>
      <c r="E73" s="19">
        <v>419104</v>
      </c>
      <c r="F73" s="24">
        <v>7.5044093131856823E-2</v>
      </c>
    </row>
    <row r="74" spans="1:6" s="13" customFormat="1" ht="26.25">
      <c r="A74" s="29" t="s">
        <v>74</v>
      </c>
      <c r="B74" s="255">
        <v>83624</v>
      </c>
      <c r="C74" s="23">
        <v>135130</v>
      </c>
      <c r="D74" s="23">
        <v>0</v>
      </c>
      <c r="E74" s="28">
        <v>-135130</v>
      </c>
      <c r="F74" s="24">
        <v>-1</v>
      </c>
    </row>
    <row r="75" spans="1:6" s="13" customFormat="1" ht="26.25">
      <c r="A75" s="29" t="s">
        <v>75</v>
      </c>
      <c r="B75" s="19">
        <v>1741305</v>
      </c>
      <c r="C75" s="23">
        <v>1851771</v>
      </c>
      <c r="D75" s="23">
        <v>1721284</v>
      </c>
      <c r="E75" s="28">
        <v>-130487</v>
      </c>
      <c r="F75" s="24">
        <v>-7.0466056548028885E-2</v>
      </c>
    </row>
    <row r="76" spans="1:6" s="36" customFormat="1" ht="26.25">
      <c r="A76" s="49" t="s">
        <v>76</v>
      </c>
      <c r="B76" s="260">
        <v>7141567</v>
      </c>
      <c r="C76" s="51">
        <v>7571671</v>
      </c>
      <c r="D76" s="51">
        <v>7725158</v>
      </c>
      <c r="E76" s="34">
        <v>153487</v>
      </c>
      <c r="F76" s="35">
        <v>2.0271218863048855E-2</v>
      </c>
    </row>
    <row r="77" spans="1:6" s="13" customFormat="1" ht="26.25">
      <c r="A77" s="29" t="s">
        <v>77</v>
      </c>
      <c r="B77" s="255">
        <v>73535</v>
      </c>
      <c r="C77" s="26">
        <v>102410</v>
      </c>
      <c r="D77" s="26">
        <v>146912</v>
      </c>
      <c r="E77" s="28">
        <v>44502</v>
      </c>
      <c r="F77" s="24">
        <v>0.4345474074797383</v>
      </c>
    </row>
    <row r="78" spans="1:6" s="13" customFormat="1" ht="26.25">
      <c r="A78" s="29" t="s">
        <v>78</v>
      </c>
      <c r="B78" s="23">
        <v>1669823</v>
      </c>
      <c r="C78" s="23">
        <v>1894450</v>
      </c>
      <c r="D78" s="23">
        <v>1902586</v>
      </c>
      <c r="E78" s="28">
        <v>8136</v>
      </c>
      <c r="F78" s="24">
        <v>4.2946501623162391E-3</v>
      </c>
    </row>
    <row r="79" spans="1:6" s="13" customFormat="1" ht="26.25">
      <c r="A79" s="29" t="s">
        <v>79</v>
      </c>
      <c r="B79" s="19">
        <v>246193</v>
      </c>
      <c r="C79" s="19">
        <v>304543</v>
      </c>
      <c r="D79" s="19">
        <v>272200</v>
      </c>
      <c r="E79" s="28">
        <v>-32343</v>
      </c>
      <c r="F79" s="24">
        <v>-0.10620175147680294</v>
      </c>
    </row>
    <row r="80" spans="1:6" s="36" customFormat="1" ht="26.25">
      <c r="A80" s="32" t="s">
        <v>80</v>
      </c>
      <c r="B80" s="260">
        <v>1989551</v>
      </c>
      <c r="C80" s="51">
        <v>2301403</v>
      </c>
      <c r="D80" s="51">
        <v>2321698</v>
      </c>
      <c r="E80" s="34">
        <v>20295</v>
      </c>
      <c r="F80" s="35">
        <v>8.8185337378981436E-3</v>
      </c>
    </row>
    <row r="81" spans="1:6" s="13" customFormat="1" ht="26.25">
      <c r="A81" s="29" t="s">
        <v>81</v>
      </c>
      <c r="B81" s="19">
        <v>17872</v>
      </c>
      <c r="C81" s="19">
        <v>33015</v>
      </c>
      <c r="D81" s="19">
        <v>33080</v>
      </c>
      <c r="E81" s="28">
        <v>65</v>
      </c>
      <c r="F81" s="24">
        <v>1.9688020596698472E-3</v>
      </c>
    </row>
    <row r="82" spans="1:6" s="13" customFormat="1" ht="26.25">
      <c r="A82" s="29" t="s">
        <v>82</v>
      </c>
      <c r="B82" s="28">
        <v>592460</v>
      </c>
      <c r="C82" s="28">
        <v>656070</v>
      </c>
      <c r="D82" s="28">
        <v>574784</v>
      </c>
      <c r="E82" s="28">
        <v>-81286</v>
      </c>
      <c r="F82" s="24">
        <v>-0.1238983645037877</v>
      </c>
    </row>
    <row r="83" spans="1:6" s="13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28">
        <v>0</v>
      </c>
      <c r="C84" s="28">
        <v>0</v>
      </c>
      <c r="D84" s="28">
        <v>0</v>
      </c>
      <c r="E84" s="28">
        <v>0</v>
      </c>
      <c r="F84" s="24">
        <v>0</v>
      </c>
    </row>
    <row r="85" spans="1:6" s="36" customFormat="1" ht="26.25">
      <c r="A85" s="32" t="s">
        <v>85</v>
      </c>
      <c r="B85" s="34">
        <v>610332</v>
      </c>
      <c r="C85" s="34">
        <v>689085</v>
      </c>
      <c r="D85" s="34">
        <v>607864</v>
      </c>
      <c r="E85" s="34">
        <v>-81221</v>
      </c>
      <c r="F85" s="35">
        <v>-0.11786789728407961</v>
      </c>
    </row>
    <row r="86" spans="1:6" s="13" customFormat="1" ht="26.25">
      <c r="A86" s="29" t="s">
        <v>86</v>
      </c>
      <c r="B86" s="28">
        <v>41356</v>
      </c>
      <c r="C86" s="28">
        <v>105644</v>
      </c>
      <c r="D86" s="28">
        <v>113999</v>
      </c>
      <c r="E86" s="28">
        <v>8355</v>
      </c>
      <c r="F86" s="24">
        <v>7.9086365529514216E-2</v>
      </c>
    </row>
    <row r="87" spans="1:6" s="13" customFormat="1" ht="26.25">
      <c r="A87" s="29" t="s">
        <v>87</v>
      </c>
      <c r="B87" s="28">
        <v>0</v>
      </c>
      <c r="C87" s="28">
        <v>0</v>
      </c>
      <c r="D87" s="28">
        <v>0</v>
      </c>
      <c r="E87" s="28">
        <v>0</v>
      </c>
      <c r="F87" s="24">
        <v>0</v>
      </c>
    </row>
    <row r="88" spans="1:6" s="13" customFormat="1" ht="26.25">
      <c r="A88" s="38" t="s">
        <v>88</v>
      </c>
      <c r="B88" s="28">
        <v>0</v>
      </c>
      <c r="C88" s="28">
        <v>0</v>
      </c>
      <c r="D88" s="28">
        <v>0</v>
      </c>
      <c r="E88" s="28">
        <v>0</v>
      </c>
      <c r="F88" s="24">
        <v>0</v>
      </c>
    </row>
    <row r="89" spans="1:6" s="36" customFormat="1" ht="26.25">
      <c r="A89" s="52" t="s">
        <v>89</v>
      </c>
      <c r="B89" s="260">
        <v>41356</v>
      </c>
      <c r="C89" s="51">
        <v>105644</v>
      </c>
      <c r="D89" s="51">
        <v>113999</v>
      </c>
      <c r="E89" s="51">
        <v>8355</v>
      </c>
      <c r="F89" s="35">
        <v>7.9086365529514216E-2</v>
      </c>
    </row>
    <row r="90" spans="1:6" s="13" customFormat="1" ht="26.25">
      <c r="A90" s="38" t="s">
        <v>90</v>
      </c>
      <c r="B90" s="28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36" customFormat="1" ht="27" thickBot="1">
      <c r="A91" s="53" t="s">
        <v>71</v>
      </c>
      <c r="B91" s="263">
        <v>9782806</v>
      </c>
      <c r="C91" s="54">
        <v>10667803</v>
      </c>
      <c r="D91" s="55">
        <v>10768719</v>
      </c>
      <c r="E91" s="54">
        <v>100916</v>
      </c>
      <c r="F91" s="56">
        <v>9.4598672285193114E-3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topLeftCell="A22" zoomScale="50" zoomScaleNormal="50" workbookViewId="0">
      <selection activeCell="A32" sqref="A32"/>
    </sheetView>
  </sheetViews>
  <sheetFormatPr defaultRowHeight="15.75"/>
  <cols>
    <col min="1" max="1" width="121.140625" style="75" customWidth="1"/>
    <col min="2" max="2" width="32.7109375" style="76" customWidth="1"/>
    <col min="3" max="4" width="32.85546875" style="76" customWidth="1"/>
    <col min="5" max="5" width="33.140625" style="75" customWidth="1"/>
    <col min="6" max="6" width="27.7109375" style="75" customWidth="1"/>
    <col min="7" max="254" width="9.140625" style="75"/>
    <col min="255" max="255" width="121.140625" style="75" customWidth="1"/>
    <col min="256" max="256" width="32.7109375" style="75" customWidth="1"/>
    <col min="257" max="259" width="32.85546875" style="75" customWidth="1"/>
    <col min="260" max="260" width="25.5703125" style="75" customWidth="1"/>
    <col min="261" max="261" width="30.28515625" style="75" customWidth="1"/>
    <col min="262" max="262" width="25.140625" style="75" customWidth="1"/>
    <col min="263" max="510" width="9.140625" style="75"/>
    <col min="511" max="511" width="121.140625" style="75" customWidth="1"/>
    <col min="512" max="512" width="32.7109375" style="75" customWidth="1"/>
    <col min="513" max="515" width="32.85546875" style="75" customWidth="1"/>
    <col min="516" max="516" width="25.5703125" style="75" customWidth="1"/>
    <col min="517" max="517" width="30.28515625" style="75" customWidth="1"/>
    <col min="518" max="518" width="25.140625" style="75" customWidth="1"/>
    <col min="519" max="766" width="9.140625" style="75"/>
    <col min="767" max="767" width="121.140625" style="75" customWidth="1"/>
    <col min="768" max="768" width="32.7109375" style="75" customWidth="1"/>
    <col min="769" max="771" width="32.85546875" style="75" customWidth="1"/>
    <col min="772" max="772" width="25.5703125" style="75" customWidth="1"/>
    <col min="773" max="773" width="30.28515625" style="75" customWidth="1"/>
    <col min="774" max="774" width="25.140625" style="75" customWidth="1"/>
    <col min="775" max="1022" width="9.140625" style="75"/>
    <col min="1023" max="1023" width="121.140625" style="75" customWidth="1"/>
    <col min="1024" max="1024" width="32.7109375" style="75" customWidth="1"/>
    <col min="1025" max="1027" width="32.85546875" style="75" customWidth="1"/>
    <col min="1028" max="1028" width="25.5703125" style="75" customWidth="1"/>
    <col min="1029" max="1029" width="30.28515625" style="75" customWidth="1"/>
    <col min="1030" max="1030" width="25.140625" style="75" customWidth="1"/>
    <col min="1031" max="1278" width="9.140625" style="75"/>
    <col min="1279" max="1279" width="121.140625" style="75" customWidth="1"/>
    <col min="1280" max="1280" width="32.7109375" style="75" customWidth="1"/>
    <col min="1281" max="1283" width="32.85546875" style="75" customWidth="1"/>
    <col min="1284" max="1284" width="25.5703125" style="75" customWidth="1"/>
    <col min="1285" max="1285" width="30.28515625" style="75" customWidth="1"/>
    <col min="1286" max="1286" width="25.140625" style="75" customWidth="1"/>
    <col min="1287" max="1534" width="9.140625" style="75"/>
    <col min="1535" max="1535" width="121.140625" style="75" customWidth="1"/>
    <col min="1536" max="1536" width="32.7109375" style="75" customWidth="1"/>
    <col min="1537" max="1539" width="32.85546875" style="75" customWidth="1"/>
    <col min="1540" max="1540" width="25.5703125" style="75" customWidth="1"/>
    <col min="1541" max="1541" width="30.28515625" style="75" customWidth="1"/>
    <col min="1542" max="1542" width="25.140625" style="75" customWidth="1"/>
    <col min="1543" max="1790" width="9.140625" style="75"/>
    <col min="1791" max="1791" width="121.140625" style="75" customWidth="1"/>
    <col min="1792" max="1792" width="32.7109375" style="75" customWidth="1"/>
    <col min="1793" max="1795" width="32.85546875" style="75" customWidth="1"/>
    <col min="1796" max="1796" width="25.5703125" style="75" customWidth="1"/>
    <col min="1797" max="1797" width="30.28515625" style="75" customWidth="1"/>
    <col min="1798" max="1798" width="25.140625" style="75" customWidth="1"/>
    <col min="1799" max="2046" width="9.140625" style="75"/>
    <col min="2047" max="2047" width="121.140625" style="75" customWidth="1"/>
    <col min="2048" max="2048" width="32.7109375" style="75" customWidth="1"/>
    <col min="2049" max="2051" width="32.85546875" style="75" customWidth="1"/>
    <col min="2052" max="2052" width="25.5703125" style="75" customWidth="1"/>
    <col min="2053" max="2053" width="30.28515625" style="75" customWidth="1"/>
    <col min="2054" max="2054" width="25.140625" style="75" customWidth="1"/>
    <col min="2055" max="2302" width="9.140625" style="75"/>
    <col min="2303" max="2303" width="121.140625" style="75" customWidth="1"/>
    <col min="2304" max="2304" width="32.7109375" style="75" customWidth="1"/>
    <col min="2305" max="2307" width="32.85546875" style="75" customWidth="1"/>
    <col min="2308" max="2308" width="25.5703125" style="75" customWidth="1"/>
    <col min="2309" max="2309" width="30.28515625" style="75" customWidth="1"/>
    <col min="2310" max="2310" width="25.140625" style="75" customWidth="1"/>
    <col min="2311" max="2558" width="9.140625" style="75"/>
    <col min="2559" max="2559" width="121.140625" style="75" customWidth="1"/>
    <col min="2560" max="2560" width="32.7109375" style="75" customWidth="1"/>
    <col min="2561" max="2563" width="32.85546875" style="75" customWidth="1"/>
    <col min="2564" max="2564" width="25.5703125" style="75" customWidth="1"/>
    <col min="2565" max="2565" width="30.28515625" style="75" customWidth="1"/>
    <col min="2566" max="2566" width="25.140625" style="75" customWidth="1"/>
    <col min="2567" max="2814" width="9.140625" style="75"/>
    <col min="2815" max="2815" width="121.140625" style="75" customWidth="1"/>
    <col min="2816" max="2816" width="32.7109375" style="75" customWidth="1"/>
    <col min="2817" max="2819" width="32.85546875" style="75" customWidth="1"/>
    <col min="2820" max="2820" width="25.5703125" style="75" customWidth="1"/>
    <col min="2821" max="2821" width="30.28515625" style="75" customWidth="1"/>
    <col min="2822" max="2822" width="25.140625" style="75" customWidth="1"/>
    <col min="2823" max="3070" width="9.140625" style="75"/>
    <col min="3071" max="3071" width="121.140625" style="75" customWidth="1"/>
    <col min="3072" max="3072" width="32.7109375" style="75" customWidth="1"/>
    <col min="3073" max="3075" width="32.85546875" style="75" customWidth="1"/>
    <col min="3076" max="3076" width="25.5703125" style="75" customWidth="1"/>
    <col min="3077" max="3077" width="30.28515625" style="75" customWidth="1"/>
    <col min="3078" max="3078" width="25.140625" style="75" customWidth="1"/>
    <col min="3079" max="3326" width="9.140625" style="75"/>
    <col min="3327" max="3327" width="121.140625" style="75" customWidth="1"/>
    <col min="3328" max="3328" width="32.7109375" style="75" customWidth="1"/>
    <col min="3329" max="3331" width="32.85546875" style="75" customWidth="1"/>
    <col min="3332" max="3332" width="25.5703125" style="75" customWidth="1"/>
    <col min="3333" max="3333" width="30.28515625" style="75" customWidth="1"/>
    <col min="3334" max="3334" width="25.140625" style="75" customWidth="1"/>
    <col min="3335" max="3582" width="9.140625" style="75"/>
    <col min="3583" max="3583" width="121.140625" style="75" customWidth="1"/>
    <col min="3584" max="3584" width="32.7109375" style="75" customWidth="1"/>
    <col min="3585" max="3587" width="32.85546875" style="75" customWidth="1"/>
    <col min="3588" max="3588" width="25.5703125" style="75" customWidth="1"/>
    <col min="3589" max="3589" width="30.28515625" style="75" customWidth="1"/>
    <col min="3590" max="3590" width="25.140625" style="75" customWidth="1"/>
    <col min="3591" max="3838" width="9.140625" style="75"/>
    <col min="3839" max="3839" width="121.140625" style="75" customWidth="1"/>
    <col min="3840" max="3840" width="32.7109375" style="75" customWidth="1"/>
    <col min="3841" max="3843" width="32.85546875" style="75" customWidth="1"/>
    <col min="3844" max="3844" width="25.5703125" style="75" customWidth="1"/>
    <col min="3845" max="3845" width="30.28515625" style="75" customWidth="1"/>
    <col min="3846" max="3846" width="25.140625" style="75" customWidth="1"/>
    <col min="3847" max="4094" width="9.140625" style="75"/>
    <col min="4095" max="4095" width="121.140625" style="75" customWidth="1"/>
    <col min="4096" max="4096" width="32.7109375" style="75" customWidth="1"/>
    <col min="4097" max="4099" width="32.85546875" style="75" customWidth="1"/>
    <col min="4100" max="4100" width="25.5703125" style="75" customWidth="1"/>
    <col min="4101" max="4101" width="30.28515625" style="75" customWidth="1"/>
    <col min="4102" max="4102" width="25.140625" style="75" customWidth="1"/>
    <col min="4103" max="4350" width="9.140625" style="75"/>
    <col min="4351" max="4351" width="121.140625" style="75" customWidth="1"/>
    <col min="4352" max="4352" width="32.7109375" style="75" customWidth="1"/>
    <col min="4353" max="4355" width="32.85546875" style="75" customWidth="1"/>
    <col min="4356" max="4356" width="25.5703125" style="75" customWidth="1"/>
    <col min="4357" max="4357" width="30.28515625" style="75" customWidth="1"/>
    <col min="4358" max="4358" width="25.140625" style="75" customWidth="1"/>
    <col min="4359" max="4606" width="9.140625" style="75"/>
    <col min="4607" max="4607" width="121.140625" style="75" customWidth="1"/>
    <col min="4608" max="4608" width="32.7109375" style="75" customWidth="1"/>
    <col min="4609" max="4611" width="32.85546875" style="75" customWidth="1"/>
    <col min="4612" max="4612" width="25.5703125" style="75" customWidth="1"/>
    <col min="4613" max="4613" width="30.28515625" style="75" customWidth="1"/>
    <col min="4614" max="4614" width="25.140625" style="75" customWidth="1"/>
    <col min="4615" max="4862" width="9.140625" style="75"/>
    <col min="4863" max="4863" width="121.140625" style="75" customWidth="1"/>
    <col min="4864" max="4864" width="32.7109375" style="75" customWidth="1"/>
    <col min="4865" max="4867" width="32.85546875" style="75" customWidth="1"/>
    <col min="4868" max="4868" width="25.5703125" style="75" customWidth="1"/>
    <col min="4869" max="4869" width="30.28515625" style="75" customWidth="1"/>
    <col min="4870" max="4870" width="25.140625" style="75" customWidth="1"/>
    <col min="4871" max="5118" width="9.140625" style="75"/>
    <col min="5119" max="5119" width="121.140625" style="75" customWidth="1"/>
    <col min="5120" max="5120" width="32.7109375" style="75" customWidth="1"/>
    <col min="5121" max="5123" width="32.85546875" style="75" customWidth="1"/>
    <col min="5124" max="5124" width="25.5703125" style="75" customWidth="1"/>
    <col min="5125" max="5125" width="30.28515625" style="75" customWidth="1"/>
    <col min="5126" max="5126" width="25.140625" style="75" customWidth="1"/>
    <col min="5127" max="5374" width="9.140625" style="75"/>
    <col min="5375" max="5375" width="121.140625" style="75" customWidth="1"/>
    <col min="5376" max="5376" width="32.7109375" style="75" customWidth="1"/>
    <col min="5377" max="5379" width="32.85546875" style="75" customWidth="1"/>
    <col min="5380" max="5380" width="25.5703125" style="75" customWidth="1"/>
    <col min="5381" max="5381" width="30.28515625" style="75" customWidth="1"/>
    <col min="5382" max="5382" width="25.140625" style="75" customWidth="1"/>
    <col min="5383" max="5630" width="9.140625" style="75"/>
    <col min="5631" max="5631" width="121.140625" style="75" customWidth="1"/>
    <col min="5632" max="5632" width="32.7109375" style="75" customWidth="1"/>
    <col min="5633" max="5635" width="32.85546875" style="75" customWidth="1"/>
    <col min="5636" max="5636" width="25.5703125" style="75" customWidth="1"/>
    <col min="5637" max="5637" width="30.28515625" style="75" customWidth="1"/>
    <col min="5638" max="5638" width="25.140625" style="75" customWidth="1"/>
    <col min="5639" max="5886" width="9.140625" style="75"/>
    <col min="5887" max="5887" width="121.140625" style="75" customWidth="1"/>
    <col min="5888" max="5888" width="32.7109375" style="75" customWidth="1"/>
    <col min="5889" max="5891" width="32.85546875" style="75" customWidth="1"/>
    <col min="5892" max="5892" width="25.5703125" style="75" customWidth="1"/>
    <col min="5893" max="5893" width="30.28515625" style="75" customWidth="1"/>
    <col min="5894" max="5894" width="25.140625" style="75" customWidth="1"/>
    <col min="5895" max="6142" width="9.140625" style="75"/>
    <col min="6143" max="6143" width="121.140625" style="75" customWidth="1"/>
    <col min="6144" max="6144" width="32.7109375" style="75" customWidth="1"/>
    <col min="6145" max="6147" width="32.85546875" style="75" customWidth="1"/>
    <col min="6148" max="6148" width="25.5703125" style="75" customWidth="1"/>
    <col min="6149" max="6149" width="30.28515625" style="75" customWidth="1"/>
    <col min="6150" max="6150" width="25.140625" style="75" customWidth="1"/>
    <col min="6151" max="6398" width="9.140625" style="75"/>
    <col min="6399" max="6399" width="121.140625" style="75" customWidth="1"/>
    <col min="6400" max="6400" width="32.7109375" style="75" customWidth="1"/>
    <col min="6401" max="6403" width="32.85546875" style="75" customWidth="1"/>
    <col min="6404" max="6404" width="25.5703125" style="75" customWidth="1"/>
    <col min="6405" max="6405" width="30.28515625" style="75" customWidth="1"/>
    <col min="6406" max="6406" width="25.140625" style="75" customWidth="1"/>
    <col min="6407" max="6654" width="9.140625" style="75"/>
    <col min="6655" max="6655" width="121.140625" style="75" customWidth="1"/>
    <col min="6656" max="6656" width="32.7109375" style="75" customWidth="1"/>
    <col min="6657" max="6659" width="32.85546875" style="75" customWidth="1"/>
    <col min="6660" max="6660" width="25.5703125" style="75" customWidth="1"/>
    <col min="6661" max="6661" width="30.28515625" style="75" customWidth="1"/>
    <col min="6662" max="6662" width="25.140625" style="75" customWidth="1"/>
    <col min="6663" max="6910" width="9.140625" style="75"/>
    <col min="6911" max="6911" width="121.140625" style="75" customWidth="1"/>
    <col min="6912" max="6912" width="32.7109375" style="75" customWidth="1"/>
    <col min="6913" max="6915" width="32.85546875" style="75" customWidth="1"/>
    <col min="6916" max="6916" width="25.5703125" style="75" customWidth="1"/>
    <col min="6917" max="6917" width="30.28515625" style="75" customWidth="1"/>
    <col min="6918" max="6918" width="25.140625" style="75" customWidth="1"/>
    <col min="6919" max="7166" width="9.140625" style="75"/>
    <col min="7167" max="7167" width="121.140625" style="75" customWidth="1"/>
    <col min="7168" max="7168" width="32.7109375" style="75" customWidth="1"/>
    <col min="7169" max="7171" width="32.85546875" style="75" customWidth="1"/>
    <col min="7172" max="7172" width="25.5703125" style="75" customWidth="1"/>
    <col min="7173" max="7173" width="30.28515625" style="75" customWidth="1"/>
    <col min="7174" max="7174" width="25.140625" style="75" customWidth="1"/>
    <col min="7175" max="7422" width="9.140625" style="75"/>
    <col min="7423" max="7423" width="121.140625" style="75" customWidth="1"/>
    <col min="7424" max="7424" width="32.7109375" style="75" customWidth="1"/>
    <col min="7425" max="7427" width="32.85546875" style="75" customWidth="1"/>
    <col min="7428" max="7428" width="25.5703125" style="75" customWidth="1"/>
    <col min="7429" max="7429" width="30.28515625" style="75" customWidth="1"/>
    <col min="7430" max="7430" width="25.140625" style="75" customWidth="1"/>
    <col min="7431" max="7678" width="9.140625" style="75"/>
    <col min="7679" max="7679" width="121.140625" style="75" customWidth="1"/>
    <col min="7680" max="7680" width="32.7109375" style="75" customWidth="1"/>
    <col min="7681" max="7683" width="32.85546875" style="75" customWidth="1"/>
    <col min="7684" max="7684" width="25.5703125" style="75" customWidth="1"/>
    <col min="7685" max="7685" width="30.28515625" style="75" customWidth="1"/>
    <col min="7686" max="7686" width="25.140625" style="75" customWidth="1"/>
    <col min="7687" max="7934" width="9.140625" style="75"/>
    <col min="7935" max="7935" width="121.140625" style="75" customWidth="1"/>
    <col min="7936" max="7936" width="32.7109375" style="75" customWidth="1"/>
    <col min="7937" max="7939" width="32.85546875" style="75" customWidth="1"/>
    <col min="7940" max="7940" width="25.5703125" style="75" customWidth="1"/>
    <col min="7941" max="7941" width="30.28515625" style="75" customWidth="1"/>
    <col min="7942" max="7942" width="25.140625" style="75" customWidth="1"/>
    <col min="7943" max="8190" width="9.140625" style="75"/>
    <col min="8191" max="8191" width="121.140625" style="75" customWidth="1"/>
    <col min="8192" max="8192" width="32.7109375" style="75" customWidth="1"/>
    <col min="8193" max="8195" width="32.85546875" style="75" customWidth="1"/>
    <col min="8196" max="8196" width="25.5703125" style="75" customWidth="1"/>
    <col min="8197" max="8197" width="30.28515625" style="75" customWidth="1"/>
    <col min="8198" max="8198" width="25.140625" style="75" customWidth="1"/>
    <col min="8199" max="8446" width="9.140625" style="75"/>
    <col min="8447" max="8447" width="121.140625" style="75" customWidth="1"/>
    <col min="8448" max="8448" width="32.7109375" style="75" customWidth="1"/>
    <col min="8449" max="8451" width="32.85546875" style="75" customWidth="1"/>
    <col min="8452" max="8452" width="25.5703125" style="75" customWidth="1"/>
    <col min="8453" max="8453" width="30.28515625" style="75" customWidth="1"/>
    <col min="8454" max="8454" width="25.140625" style="75" customWidth="1"/>
    <col min="8455" max="8702" width="9.140625" style="75"/>
    <col min="8703" max="8703" width="121.140625" style="75" customWidth="1"/>
    <col min="8704" max="8704" width="32.7109375" style="75" customWidth="1"/>
    <col min="8705" max="8707" width="32.85546875" style="75" customWidth="1"/>
    <col min="8708" max="8708" width="25.5703125" style="75" customWidth="1"/>
    <col min="8709" max="8709" width="30.28515625" style="75" customWidth="1"/>
    <col min="8710" max="8710" width="25.140625" style="75" customWidth="1"/>
    <col min="8711" max="8958" width="9.140625" style="75"/>
    <col min="8959" max="8959" width="121.140625" style="75" customWidth="1"/>
    <col min="8960" max="8960" width="32.7109375" style="75" customWidth="1"/>
    <col min="8961" max="8963" width="32.85546875" style="75" customWidth="1"/>
    <col min="8964" max="8964" width="25.5703125" style="75" customWidth="1"/>
    <col min="8965" max="8965" width="30.28515625" style="75" customWidth="1"/>
    <col min="8966" max="8966" width="25.140625" style="75" customWidth="1"/>
    <col min="8967" max="9214" width="9.140625" style="75"/>
    <col min="9215" max="9215" width="121.140625" style="75" customWidth="1"/>
    <col min="9216" max="9216" width="32.7109375" style="75" customWidth="1"/>
    <col min="9217" max="9219" width="32.85546875" style="75" customWidth="1"/>
    <col min="9220" max="9220" width="25.5703125" style="75" customWidth="1"/>
    <col min="9221" max="9221" width="30.28515625" style="75" customWidth="1"/>
    <col min="9222" max="9222" width="25.140625" style="75" customWidth="1"/>
    <col min="9223" max="9470" width="9.140625" style="75"/>
    <col min="9471" max="9471" width="121.140625" style="75" customWidth="1"/>
    <col min="9472" max="9472" width="32.7109375" style="75" customWidth="1"/>
    <col min="9473" max="9475" width="32.85546875" style="75" customWidth="1"/>
    <col min="9476" max="9476" width="25.5703125" style="75" customWidth="1"/>
    <col min="9477" max="9477" width="30.28515625" style="75" customWidth="1"/>
    <col min="9478" max="9478" width="25.140625" style="75" customWidth="1"/>
    <col min="9479" max="9726" width="9.140625" style="75"/>
    <col min="9727" max="9727" width="121.140625" style="75" customWidth="1"/>
    <col min="9728" max="9728" width="32.7109375" style="75" customWidth="1"/>
    <col min="9729" max="9731" width="32.85546875" style="75" customWidth="1"/>
    <col min="9732" max="9732" width="25.5703125" style="75" customWidth="1"/>
    <col min="9733" max="9733" width="30.28515625" style="75" customWidth="1"/>
    <col min="9734" max="9734" width="25.140625" style="75" customWidth="1"/>
    <col min="9735" max="9982" width="9.140625" style="75"/>
    <col min="9983" max="9983" width="121.140625" style="75" customWidth="1"/>
    <col min="9984" max="9984" width="32.7109375" style="75" customWidth="1"/>
    <col min="9985" max="9987" width="32.85546875" style="75" customWidth="1"/>
    <col min="9988" max="9988" width="25.5703125" style="75" customWidth="1"/>
    <col min="9989" max="9989" width="30.28515625" style="75" customWidth="1"/>
    <col min="9990" max="9990" width="25.140625" style="75" customWidth="1"/>
    <col min="9991" max="10238" width="9.140625" style="75"/>
    <col min="10239" max="10239" width="121.140625" style="75" customWidth="1"/>
    <col min="10240" max="10240" width="32.7109375" style="75" customWidth="1"/>
    <col min="10241" max="10243" width="32.85546875" style="75" customWidth="1"/>
    <col min="10244" max="10244" width="25.5703125" style="75" customWidth="1"/>
    <col min="10245" max="10245" width="30.28515625" style="75" customWidth="1"/>
    <col min="10246" max="10246" width="25.140625" style="75" customWidth="1"/>
    <col min="10247" max="10494" width="9.140625" style="75"/>
    <col min="10495" max="10495" width="121.140625" style="75" customWidth="1"/>
    <col min="10496" max="10496" width="32.7109375" style="75" customWidth="1"/>
    <col min="10497" max="10499" width="32.85546875" style="75" customWidth="1"/>
    <col min="10500" max="10500" width="25.5703125" style="75" customWidth="1"/>
    <col min="10501" max="10501" width="30.28515625" style="75" customWidth="1"/>
    <col min="10502" max="10502" width="25.140625" style="75" customWidth="1"/>
    <col min="10503" max="10750" width="9.140625" style="75"/>
    <col min="10751" max="10751" width="121.140625" style="75" customWidth="1"/>
    <col min="10752" max="10752" width="32.7109375" style="75" customWidth="1"/>
    <col min="10753" max="10755" width="32.85546875" style="75" customWidth="1"/>
    <col min="10756" max="10756" width="25.5703125" style="75" customWidth="1"/>
    <col min="10757" max="10757" width="30.28515625" style="75" customWidth="1"/>
    <col min="10758" max="10758" width="25.140625" style="75" customWidth="1"/>
    <col min="10759" max="11006" width="9.140625" style="75"/>
    <col min="11007" max="11007" width="121.140625" style="75" customWidth="1"/>
    <col min="11008" max="11008" width="32.7109375" style="75" customWidth="1"/>
    <col min="11009" max="11011" width="32.85546875" style="75" customWidth="1"/>
    <col min="11012" max="11012" width="25.5703125" style="75" customWidth="1"/>
    <col min="11013" max="11013" width="30.28515625" style="75" customWidth="1"/>
    <col min="11014" max="11014" width="25.140625" style="75" customWidth="1"/>
    <col min="11015" max="11262" width="9.140625" style="75"/>
    <col min="11263" max="11263" width="121.140625" style="75" customWidth="1"/>
    <col min="11264" max="11264" width="32.7109375" style="75" customWidth="1"/>
    <col min="11265" max="11267" width="32.85546875" style="75" customWidth="1"/>
    <col min="11268" max="11268" width="25.5703125" style="75" customWidth="1"/>
    <col min="11269" max="11269" width="30.28515625" style="75" customWidth="1"/>
    <col min="11270" max="11270" width="25.140625" style="75" customWidth="1"/>
    <col min="11271" max="11518" width="9.140625" style="75"/>
    <col min="11519" max="11519" width="121.140625" style="75" customWidth="1"/>
    <col min="11520" max="11520" width="32.7109375" style="75" customWidth="1"/>
    <col min="11521" max="11523" width="32.85546875" style="75" customWidth="1"/>
    <col min="11524" max="11524" width="25.5703125" style="75" customWidth="1"/>
    <col min="11525" max="11525" width="30.28515625" style="75" customWidth="1"/>
    <col min="11526" max="11526" width="25.140625" style="75" customWidth="1"/>
    <col min="11527" max="11774" width="9.140625" style="75"/>
    <col min="11775" max="11775" width="121.140625" style="75" customWidth="1"/>
    <col min="11776" max="11776" width="32.7109375" style="75" customWidth="1"/>
    <col min="11777" max="11779" width="32.85546875" style="75" customWidth="1"/>
    <col min="11780" max="11780" width="25.5703125" style="75" customWidth="1"/>
    <col min="11781" max="11781" width="30.28515625" style="75" customWidth="1"/>
    <col min="11782" max="11782" width="25.140625" style="75" customWidth="1"/>
    <col min="11783" max="12030" width="9.140625" style="75"/>
    <col min="12031" max="12031" width="121.140625" style="75" customWidth="1"/>
    <col min="12032" max="12032" width="32.7109375" style="75" customWidth="1"/>
    <col min="12033" max="12035" width="32.85546875" style="75" customWidth="1"/>
    <col min="12036" max="12036" width="25.5703125" style="75" customWidth="1"/>
    <col min="12037" max="12037" width="30.28515625" style="75" customWidth="1"/>
    <col min="12038" max="12038" width="25.140625" style="75" customWidth="1"/>
    <col min="12039" max="12286" width="9.140625" style="75"/>
    <col min="12287" max="12287" width="121.140625" style="75" customWidth="1"/>
    <col min="12288" max="12288" width="32.7109375" style="75" customWidth="1"/>
    <col min="12289" max="12291" width="32.85546875" style="75" customWidth="1"/>
    <col min="12292" max="12292" width="25.5703125" style="75" customWidth="1"/>
    <col min="12293" max="12293" width="30.28515625" style="75" customWidth="1"/>
    <col min="12294" max="12294" width="25.140625" style="75" customWidth="1"/>
    <col min="12295" max="12542" width="9.140625" style="75"/>
    <col min="12543" max="12543" width="121.140625" style="75" customWidth="1"/>
    <col min="12544" max="12544" width="32.7109375" style="75" customWidth="1"/>
    <col min="12545" max="12547" width="32.85546875" style="75" customWidth="1"/>
    <col min="12548" max="12548" width="25.5703125" style="75" customWidth="1"/>
    <col min="12549" max="12549" width="30.28515625" style="75" customWidth="1"/>
    <col min="12550" max="12550" width="25.140625" style="75" customWidth="1"/>
    <col min="12551" max="12798" width="9.140625" style="75"/>
    <col min="12799" max="12799" width="121.140625" style="75" customWidth="1"/>
    <col min="12800" max="12800" width="32.7109375" style="75" customWidth="1"/>
    <col min="12801" max="12803" width="32.85546875" style="75" customWidth="1"/>
    <col min="12804" max="12804" width="25.5703125" style="75" customWidth="1"/>
    <col min="12805" max="12805" width="30.28515625" style="75" customWidth="1"/>
    <col min="12806" max="12806" width="25.140625" style="75" customWidth="1"/>
    <col min="12807" max="13054" width="9.140625" style="75"/>
    <col min="13055" max="13055" width="121.140625" style="75" customWidth="1"/>
    <col min="13056" max="13056" width="32.7109375" style="75" customWidth="1"/>
    <col min="13057" max="13059" width="32.85546875" style="75" customWidth="1"/>
    <col min="13060" max="13060" width="25.5703125" style="75" customWidth="1"/>
    <col min="13061" max="13061" width="30.28515625" style="75" customWidth="1"/>
    <col min="13062" max="13062" width="25.140625" style="75" customWidth="1"/>
    <col min="13063" max="13310" width="9.140625" style="75"/>
    <col min="13311" max="13311" width="121.140625" style="75" customWidth="1"/>
    <col min="13312" max="13312" width="32.7109375" style="75" customWidth="1"/>
    <col min="13313" max="13315" width="32.85546875" style="75" customWidth="1"/>
    <col min="13316" max="13316" width="25.5703125" style="75" customWidth="1"/>
    <col min="13317" max="13317" width="30.28515625" style="75" customWidth="1"/>
    <col min="13318" max="13318" width="25.140625" style="75" customWidth="1"/>
    <col min="13319" max="13566" width="9.140625" style="75"/>
    <col min="13567" max="13567" width="121.140625" style="75" customWidth="1"/>
    <col min="13568" max="13568" width="32.7109375" style="75" customWidth="1"/>
    <col min="13569" max="13571" width="32.85546875" style="75" customWidth="1"/>
    <col min="13572" max="13572" width="25.5703125" style="75" customWidth="1"/>
    <col min="13573" max="13573" width="30.28515625" style="75" customWidth="1"/>
    <col min="13574" max="13574" width="25.140625" style="75" customWidth="1"/>
    <col min="13575" max="13822" width="9.140625" style="75"/>
    <col min="13823" max="13823" width="121.140625" style="75" customWidth="1"/>
    <col min="13824" max="13824" width="32.7109375" style="75" customWidth="1"/>
    <col min="13825" max="13827" width="32.85546875" style="75" customWidth="1"/>
    <col min="13828" max="13828" width="25.5703125" style="75" customWidth="1"/>
    <col min="13829" max="13829" width="30.28515625" style="75" customWidth="1"/>
    <col min="13830" max="13830" width="25.140625" style="75" customWidth="1"/>
    <col min="13831" max="14078" width="9.140625" style="75"/>
    <col min="14079" max="14079" width="121.140625" style="75" customWidth="1"/>
    <col min="14080" max="14080" width="32.7109375" style="75" customWidth="1"/>
    <col min="14081" max="14083" width="32.85546875" style="75" customWidth="1"/>
    <col min="14084" max="14084" width="25.5703125" style="75" customWidth="1"/>
    <col min="14085" max="14085" width="30.28515625" style="75" customWidth="1"/>
    <col min="14086" max="14086" width="25.140625" style="75" customWidth="1"/>
    <col min="14087" max="14334" width="9.140625" style="75"/>
    <col min="14335" max="14335" width="121.140625" style="75" customWidth="1"/>
    <col min="14336" max="14336" width="32.7109375" style="75" customWidth="1"/>
    <col min="14337" max="14339" width="32.85546875" style="75" customWidth="1"/>
    <col min="14340" max="14340" width="25.5703125" style="75" customWidth="1"/>
    <col min="14341" max="14341" width="30.28515625" style="75" customWidth="1"/>
    <col min="14342" max="14342" width="25.140625" style="75" customWidth="1"/>
    <col min="14343" max="14590" width="9.140625" style="75"/>
    <col min="14591" max="14591" width="121.140625" style="75" customWidth="1"/>
    <col min="14592" max="14592" width="32.7109375" style="75" customWidth="1"/>
    <col min="14593" max="14595" width="32.85546875" style="75" customWidth="1"/>
    <col min="14596" max="14596" width="25.5703125" style="75" customWidth="1"/>
    <col min="14597" max="14597" width="30.28515625" style="75" customWidth="1"/>
    <col min="14598" max="14598" width="25.140625" style="75" customWidth="1"/>
    <col min="14599" max="14846" width="9.140625" style="75"/>
    <col min="14847" max="14847" width="121.140625" style="75" customWidth="1"/>
    <col min="14848" max="14848" width="32.7109375" style="75" customWidth="1"/>
    <col min="14849" max="14851" width="32.85546875" style="75" customWidth="1"/>
    <col min="14852" max="14852" width="25.5703125" style="75" customWidth="1"/>
    <col min="14853" max="14853" width="30.28515625" style="75" customWidth="1"/>
    <col min="14854" max="14854" width="25.140625" style="75" customWidth="1"/>
    <col min="14855" max="15102" width="9.140625" style="75"/>
    <col min="15103" max="15103" width="121.140625" style="75" customWidth="1"/>
    <col min="15104" max="15104" width="32.7109375" style="75" customWidth="1"/>
    <col min="15105" max="15107" width="32.85546875" style="75" customWidth="1"/>
    <col min="15108" max="15108" width="25.5703125" style="75" customWidth="1"/>
    <col min="15109" max="15109" width="30.28515625" style="75" customWidth="1"/>
    <col min="15110" max="15110" width="25.140625" style="75" customWidth="1"/>
    <col min="15111" max="15358" width="9.140625" style="75"/>
    <col min="15359" max="15359" width="121.140625" style="75" customWidth="1"/>
    <col min="15360" max="15360" width="32.7109375" style="75" customWidth="1"/>
    <col min="15361" max="15363" width="32.85546875" style="75" customWidth="1"/>
    <col min="15364" max="15364" width="25.5703125" style="75" customWidth="1"/>
    <col min="15365" max="15365" width="30.28515625" style="75" customWidth="1"/>
    <col min="15366" max="15366" width="25.140625" style="75" customWidth="1"/>
    <col min="15367" max="15614" width="9.140625" style="75"/>
    <col min="15615" max="15615" width="121.140625" style="75" customWidth="1"/>
    <col min="15616" max="15616" width="32.7109375" style="75" customWidth="1"/>
    <col min="15617" max="15619" width="32.85546875" style="75" customWidth="1"/>
    <col min="15620" max="15620" width="25.5703125" style="75" customWidth="1"/>
    <col min="15621" max="15621" width="30.28515625" style="75" customWidth="1"/>
    <col min="15622" max="15622" width="25.140625" style="75" customWidth="1"/>
    <col min="15623" max="15870" width="9.140625" style="75"/>
    <col min="15871" max="15871" width="121.140625" style="75" customWidth="1"/>
    <col min="15872" max="15872" width="32.7109375" style="75" customWidth="1"/>
    <col min="15873" max="15875" width="32.85546875" style="75" customWidth="1"/>
    <col min="15876" max="15876" width="25.5703125" style="75" customWidth="1"/>
    <col min="15877" max="15877" width="30.28515625" style="75" customWidth="1"/>
    <col min="15878" max="15878" width="25.140625" style="75" customWidth="1"/>
    <col min="15879" max="16126" width="9.140625" style="75"/>
    <col min="16127" max="16127" width="121.140625" style="75" customWidth="1"/>
    <col min="16128" max="16128" width="32.7109375" style="75" customWidth="1"/>
    <col min="16129" max="16131" width="32.85546875" style="75" customWidth="1"/>
    <col min="16132" max="16132" width="25.5703125" style="75" customWidth="1"/>
    <col min="16133" max="16133" width="30.28515625" style="75" customWidth="1"/>
    <col min="16134" max="16134" width="25.140625" style="75" customWidth="1"/>
    <col min="16135" max="16384" width="9.140625" style="75"/>
  </cols>
  <sheetData>
    <row r="1" spans="1:7" s="69" customFormat="1" ht="46.5">
      <c r="A1" s="1" t="s">
        <v>0</v>
      </c>
      <c r="D1" s="277" t="s">
        <v>1</v>
      </c>
      <c r="E1" s="289" t="s">
        <v>107</v>
      </c>
      <c r="F1" s="281"/>
      <c r="G1" s="285"/>
    </row>
    <row r="2" spans="1:7" s="69" customFormat="1" ht="46.5">
      <c r="A2" s="1" t="s">
        <v>2</v>
      </c>
      <c r="B2" s="2"/>
      <c r="C2" s="2"/>
      <c r="D2" s="2"/>
      <c r="E2" s="67"/>
      <c r="F2" s="67"/>
    </row>
    <row r="3" spans="1:7" s="69" customFormat="1" ht="47.25" thickBot="1">
      <c r="A3" s="7" t="s">
        <v>3</v>
      </c>
      <c r="B3" s="8"/>
      <c r="C3" s="8"/>
      <c r="D3" s="8"/>
      <c r="E3" s="67"/>
      <c r="F3" s="67"/>
    </row>
    <row r="4" spans="1:7" s="70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7" s="71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7" s="70" customFormat="1" ht="26.25">
      <c r="A6" s="18" t="s">
        <v>14</v>
      </c>
      <c r="B6" s="19"/>
      <c r="C6" s="19"/>
      <c r="D6" s="19"/>
      <c r="E6" s="19"/>
      <c r="F6" s="20"/>
    </row>
    <row r="7" spans="1:7" s="70" customFormat="1" ht="26.25">
      <c r="A7" s="18" t="s">
        <v>15</v>
      </c>
      <c r="B7" s="19"/>
      <c r="C7" s="19"/>
      <c r="D7" s="19"/>
      <c r="E7" s="19"/>
      <c r="F7" s="21"/>
    </row>
    <row r="8" spans="1:7" s="70" customFormat="1" ht="26.25">
      <c r="A8" s="22" t="s">
        <v>16</v>
      </c>
      <c r="B8" s="23">
        <v>5310985</v>
      </c>
      <c r="C8" s="23">
        <v>5310985</v>
      </c>
      <c r="D8" s="23">
        <v>5832484</v>
      </c>
      <c r="E8" s="23">
        <v>521499</v>
      </c>
      <c r="F8" s="24">
        <v>9.8192519843305903E-2</v>
      </c>
    </row>
    <row r="9" spans="1:7" s="70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7" s="70" customFormat="1" ht="26.25">
      <c r="A10" s="25" t="s">
        <v>18</v>
      </c>
      <c r="B10" s="255">
        <v>203738</v>
      </c>
      <c r="C10" s="26">
        <v>204511</v>
      </c>
      <c r="D10" s="26">
        <v>226219</v>
      </c>
      <c r="E10" s="26">
        <v>21708</v>
      </c>
      <c r="F10" s="24">
        <v>0.10614587968373339</v>
      </c>
    </row>
    <row r="11" spans="1:7" s="70" customFormat="1" ht="26.25">
      <c r="A11" s="27" t="s">
        <v>19</v>
      </c>
      <c r="B11" s="28">
        <v>4268</v>
      </c>
      <c r="C11" s="28">
        <v>4268</v>
      </c>
      <c r="D11" s="28">
        <v>0</v>
      </c>
      <c r="E11" s="26">
        <v>-4268</v>
      </c>
      <c r="F11" s="24">
        <v>-1</v>
      </c>
    </row>
    <row r="12" spans="1:7" s="70" customFormat="1" ht="26.25">
      <c r="A12" s="29" t="s">
        <v>20</v>
      </c>
      <c r="B12" s="28">
        <v>199470</v>
      </c>
      <c r="C12" s="28">
        <v>200243</v>
      </c>
      <c r="D12" s="28">
        <v>226219</v>
      </c>
      <c r="E12" s="26">
        <v>25976</v>
      </c>
      <c r="F12" s="24">
        <v>0.1297223872994312</v>
      </c>
    </row>
    <row r="13" spans="1:7" s="70" customFormat="1" ht="26.25">
      <c r="A13" s="29" t="s">
        <v>21</v>
      </c>
      <c r="B13" s="28">
        <v>0</v>
      </c>
      <c r="C13" s="28">
        <v>0</v>
      </c>
      <c r="D13" s="28">
        <v>0</v>
      </c>
      <c r="E13" s="26">
        <v>0</v>
      </c>
      <c r="F13" s="24">
        <v>0</v>
      </c>
    </row>
    <row r="14" spans="1:7" s="70" customFormat="1" ht="26.25">
      <c r="A14" s="29" t="s">
        <v>22</v>
      </c>
      <c r="B14" s="28">
        <v>0</v>
      </c>
      <c r="C14" s="28">
        <v>0</v>
      </c>
      <c r="D14" s="28">
        <v>0</v>
      </c>
      <c r="E14" s="26">
        <v>0</v>
      </c>
      <c r="F14" s="24">
        <v>0</v>
      </c>
    </row>
    <row r="15" spans="1:7" s="70" customFormat="1" ht="26.25">
      <c r="A15" s="29" t="s">
        <v>23</v>
      </c>
      <c r="B15" s="28">
        <v>0</v>
      </c>
      <c r="C15" s="28">
        <v>0</v>
      </c>
      <c r="D15" s="28">
        <v>0</v>
      </c>
      <c r="E15" s="26">
        <v>0</v>
      </c>
      <c r="F15" s="24">
        <v>0</v>
      </c>
    </row>
    <row r="16" spans="1:7" s="70" customFormat="1" ht="26.25">
      <c r="A16" s="29" t="s">
        <v>24</v>
      </c>
      <c r="B16" s="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70" customFormat="1" ht="26.25">
      <c r="A17" s="29" t="s">
        <v>25</v>
      </c>
      <c r="B17" s="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70" customFormat="1" ht="26.25">
      <c r="A18" s="29" t="s">
        <v>26</v>
      </c>
      <c r="B18" s="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70" customFormat="1" ht="26.25">
      <c r="A19" s="29" t="s">
        <v>27</v>
      </c>
      <c r="B19" s="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70" customFormat="1" ht="26.25">
      <c r="A20" s="29" t="s">
        <v>28</v>
      </c>
      <c r="B20" s="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70" customFormat="1" ht="26.25">
      <c r="A21" s="29" t="s">
        <v>29</v>
      </c>
      <c r="B21" s="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70" customFormat="1" ht="26.25">
      <c r="A22" s="29" t="s">
        <v>30</v>
      </c>
      <c r="B22" s="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70" customFormat="1" ht="26.25">
      <c r="A23" s="30" t="s">
        <v>31</v>
      </c>
      <c r="B23" s="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70" customFormat="1" ht="26.25">
      <c r="A24" s="30" t="s">
        <v>32</v>
      </c>
      <c r="B24" s="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70" customFormat="1" ht="26.25">
      <c r="A25" s="30" t="s">
        <v>33</v>
      </c>
      <c r="B25" s="28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70" customFormat="1" ht="26.25">
      <c r="A26" s="30" t="s">
        <v>34</v>
      </c>
      <c r="B26" s="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70" customFormat="1" ht="26.25">
      <c r="A27" s="30" t="s">
        <v>35</v>
      </c>
      <c r="B27" s="28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70" customFormat="1" ht="26.25">
      <c r="A28" s="30" t="s">
        <v>36</v>
      </c>
      <c r="B28" s="28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70" customFormat="1" ht="26.25">
      <c r="A29" s="31" t="s">
        <v>37</v>
      </c>
      <c r="B29" s="28"/>
      <c r="C29" s="28"/>
      <c r="D29" s="28"/>
      <c r="E29" s="28"/>
      <c r="F29" s="20"/>
    </row>
    <row r="30" spans="1:6" s="70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70" customFormat="1" ht="26.25">
      <c r="A31" s="32" t="s">
        <v>39</v>
      </c>
      <c r="B31" s="28"/>
      <c r="C31" s="28"/>
      <c r="D31" s="28"/>
      <c r="E31" s="28"/>
      <c r="F31" s="20"/>
    </row>
    <row r="32" spans="1:6" s="70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70" customFormat="1" ht="26.25">
      <c r="A33" s="29" t="s">
        <v>40</v>
      </c>
      <c r="B33" s="28"/>
      <c r="C33" s="28"/>
      <c r="D33" s="28"/>
      <c r="E33" s="26"/>
      <c r="F33" s="24" t="s">
        <v>41</v>
      </c>
    </row>
    <row r="34" spans="1:10" s="72" customFormat="1" ht="26.25">
      <c r="A34" s="33" t="s">
        <v>42</v>
      </c>
      <c r="B34" s="34">
        <v>5514723</v>
      </c>
      <c r="C34" s="34">
        <v>5515496</v>
      </c>
      <c r="D34" s="34">
        <v>6058703</v>
      </c>
      <c r="E34" s="34">
        <v>543207</v>
      </c>
      <c r="F34" s="35">
        <v>9.8487425246976887E-2</v>
      </c>
    </row>
    <row r="35" spans="1:10" s="70" customFormat="1" ht="26.25">
      <c r="A35" s="31" t="s">
        <v>43</v>
      </c>
      <c r="B35" s="28"/>
      <c r="C35" s="28"/>
      <c r="D35" s="28"/>
      <c r="E35" s="28"/>
      <c r="F35" s="20"/>
    </row>
    <row r="36" spans="1:10" s="70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70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70" customFormat="1" ht="26.25">
      <c r="A38" s="38" t="s">
        <v>46</v>
      </c>
      <c r="B38" s="123">
        <v>487990</v>
      </c>
      <c r="C38" s="23">
        <v>0</v>
      </c>
      <c r="D38" s="23">
        <v>0</v>
      </c>
      <c r="E38" s="26">
        <v>0</v>
      </c>
      <c r="F38" s="24">
        <v>0</v>
      </c>
    </row>
    <row r="39" spans="1:10" s="70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70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72" customFormat="1" ht="26.25">
      <c r="A41" s="31" t="s">
        <v>49</v>
      </c>
      <c r="B41" s="40">
        <v>487990</v>
      </c>
      <c r="C41" s="40">
        <v>0</v>
      </c>
      <c r="D41" s="40">
        <v>0</v>
      </c>
      <c r="E41" s="40">
        <v>0</v>
      </c>
      <c r="F41" s="35">
        <v>0</v>
      </c>
      <c r="J41" s="72" t="s">
        <v>50</v>
      </c>
    </row>
    <row r="42" spans="1:10" s="70" customFormat="1" ht="26.25">
      <c r="A42" s="29" t="s">
        <v>50</v>
      </c>
      <c r="B42" s="28"/>
      <c r="C42" s="28"/>
      <c r="D42" s="28"/>
      <c r="E42" s="28"/>
      <c r="F42" s="20"/>
    </row>
    <row r="43" spans="1:10" s="72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70" customFormat="1" ht="26.25">
      <c r="A44" s="29" t="s">
        <v>50</v>
      </c>
      <c r="B44" s="28"/>
      <c r="C44" s="28"/>
      <c r="D44" s="28"/>
      <c r="E44" s="28"/>
      <c r="F44" s="20"/>
    </row>
    <row r="45" spans="1:10" s="72" customFormat="1" ht="26.25">
      <c r="A45" s="41" t="s">
        <v>52</v>
      </c>
      <c r="B45" s="42">
        <v>1651959</v>
      </c>
      <c r="C45" s="42">
        <v>1651959</v>
      </c>
      <c r="D45" s="42">
        <v>0</v>
      </c>
      <c r="E45" s="42">
        <v>-1651959</v>
      </c>
      <c r="F45" s="35">
        <v>-1</v>
      </c>
    </row>
    <row r="46" spans="1:10" s="70" customFormat="1" ht="26.25">
      <c r="A46" s="29" t="s">
        <v>50</v>
      </c>
      <c r="B46" s="28"/>
      <c r="C46" s="28"/>
      <c r="D46" s="28"/>
      <c r="E46" s="28"/>
      <c r="F46" s="20"/>
    </row>
    <row r="47" spans="1:10" s="72" customFormat="1" ht="26.25">
      <c r="A47" s="31" t="s">
        <v>53</v>
      </c>
      <c r="B47" s="79">
        <v>1990530</v>
      </c>
      <c r="C47" s="40">
        <v>1674067</v>
      </c>
      <c r="D47" s="40">
        <v>3279478</v>
      </c>
      <c r="E47" s="40">
        <v>1605411</v>
      </c>
      <c r="F47" s="35">
        <v>0.95898849926556107</v>
      </c>
    </row>
    <row r="48" spans="1:10" s="70" customFormat="1" ht="26.25">
      <c r="A48" s="29" t="s">
        <v>50</v>
      </c>
      <c r="B48" s="28"/>
      <c r="C48" s="28"/>
      <c r="D48" s="28"/>
      <c r="E48" s="28"/>
      <c r="F48" s="20"/>
    </row>
    <row r="49" spans="1:6" s="72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70" customFormat="1" ht="26.25">
      <c r="A50" s="31"/>
      <c r="B50" s="19"/>
      <c r="C50" s="19"/>
      <c r="D50" s="19"/>
      <c r="E50" s="19"/>
      <c r="F50" s="45"/>
    </row>
    <row r="51" spans="1:6" s="72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70" customFormat="1" ht="26.25">
      <c r="A52" s="29"/>
      <c r="B52" s="28"/>
      <c r="C52" s="28"/>
      <c r="D52" s="28"/>
      <c r="E52" s="28"/>
      <c r="F52" s="20"/>
    </row>
    <row r="53" spans="1:6" s="72" customFormat="1" ht="26.25">
      <c r="A53" s="46" t="s">
        <v>56</v>
      </c>
      <c r="B53" s="40">
        <v>8669222</v>
      </c>
      <c r="C53" s="40">
        <v>8841522</v>
      </c>
      <c r="D53" s="40">
        <v>9338181</v>
      </c>
      <c r="E53" s="40">
        <v>496659</v>
      </c>
      <c r="F53" s="35">
        <v>5.6173473300185198E-2</v>
      </c>
    </row>
    <row r="54" spans="1:6" s="70" customFormat="1" ht="26.25">
      <c r="A54" s="47"/>
      <c r="B54" s="28"/>
      <c r="C54" s="28"/>
      <c r="D54" s="28"/>
      <c r="E54" s="28"/>
      <c r="F54" s="20" t="s">
        <v>50</v>
      </c>
    </row>
    <row r="55" spans="1:6" s="70" customFormat="1" ht="26.25">
      <c r="A55" s="48"/>
      <c r="B55" s="19"/>
      <c r="C55" s="19"/>
      <c r="D55" s="19"/>
      <c r="E55" s="19"/>
      <c r="F55" s="21" t="s">
        <v>50</v>
      </c>
    </row>
    <row r="56" spans="1:6" s="70" customFormat="1" ht="26.25">
      <c r="A56" s="46" t="s">
        <v>57</v>
      </c>
      <c r="B56" s="19"/>
      <c r="C56" s="19"/>
      <c r="D56" s="19"/>
      <c r="E56" s="19"/>
      <c r="F56" s="21"/>
    </row>
    <row r="57" spans="1:6" s="70" customFormat="1" ht="26.25">
      <c r="A57" s="27" t="s">
        <v>58</v>
      </c>
      <c r="B57" s="19">
        <v>5032405</v>
      </c>
      <c r="C57" s="19">
        <v>5032411</v>
      </c>
      <c r="D57" s="19">
        <v>5171216</v>
      </c>
      <c r="E57" s="19">
        <v>138805</v>
      </c>
      <c r="F57" s="24">
        <v>2.7582206620246241E-2</v>
      </c>
    </row>
    <row r="58" spans="1:6" s="70" customFormat="1" ht="26.25">
      <c r="A58" s="29" t="s">
        <v>59</v>
      </c>
      <c r="B58" s="28">
        <v>0</v>
      </c>
      <c r="C58" s="28">
        <v>0</v>
      </c>
      <c r="D58" s="28">
        <v>0</v>
      </c>
      <c r="E58" s="28">
        <v>0</v>
      </c>
      <c r="F58" s="24">
        <v>0</v>
      </c>
    </row>
    <row r="59" spans="1:6" s="70" customFormat="1" ht="26.25">
      <c r="A59" s="29" t="s">
        <v>60</v>
      </c>
      <c r="B59" s="28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70" customFormat="1" ht="26.25">
      <c r="A60" s="29" t="s">
        <v>61</v>
      </c>
      <c r="B60" s="28">
        <v>175022</v>
      </c>
      <c r="C60" s="28">
        <v>175022</v>
      </c>
      <c r="D60" s="28">
        <v>219619</v>
      </c>
      <c r="E60" s="28">
        <v>44597</v>
      </c>
      <c r="F60" s="24">
        <v>0.2548079669984345</v>
      </c>
    </row>
    <row r="61" spans="1:6" s="70" customFormat="1" ht="26.25">
      <c r="A61" s="29" t="s">
        <v>62</v>
      </c>
      <c r="B61" s="28">
        <v>563709</v>
      </c>
      <c r="C61" s="28">
        <v>613013</v>
      </c>
      <c r="D61" s="28">
        <v>721573</v>
      </c>
      <c r="E61" s="28">
        <v>108560</v>
      </c>
      <c r="F61" s="24">
        <v>0.17709249232887395</v>
      </c>
    </row>
    <row r="62" spans="1:6" s="70" customFormat="1" ht="26.25">
      <c r="A62" s="29" t="s">
        <v>63</v>
      </c>
      <c r="B62" s="28">
        <v>2255802</v>
      </c>
      <c r="C62" s="28">
        <v>2378792</v>
      </c>
      <c r="D62" s="28">
        <v>2461936</v>
      </c>
      <c r="E62" s="28">
        <v>83144</v>
      </c>
      <c r="F62" s="24">
        <v>3.4952194222950136E-2</v>
      </c>
    </row>
    <row r="63" spans="1:6" s="70" customFormat="1" ht="26.25">
      <c r="A63" s="29" t="s">
        <v>64</v>
      </c>
      <c r="B63" s="28">
        <v>0</v>
      </c>
      <c r="C63" s="28">
        <v>0</v>
      </c>
      <c r="D63" s="28">
        <v>0</v>
      </c>
      <c r="E63" s="28">
        <v>0</v>
      </c>
      <c r="F63" s="24">
        <v>0</v>
      </c>
    </row>
    <row r="64" spans="1:6" s="70" customFormat="1" ht="26.25">
      <c r="A64" s="29" t="s">
        <v>65</v>
      </c>
      <c r="B64" s="28">
        <v>642284</v>
      </c>
      <c r="C64" s="28">
        <v>642284</v>
      </c>
      <c r="D64" s="28">
        <v>763837</v>
      </c>
      <c r="E64" s="28">
        <v>121553</v>
      </c>
      <c r="F64" s="24">
        <v>0.18925117237857397</v>
      </c>
    </row>
    <row r="65" spans="1:6" s="72" customFormat="1" ht="26.25">
      <c r="A65" s="49" t="s">
        <v>66</v>
      </c>
      <c r="B65" s="34">
        <v>8669222</v>
      </c>
      <c r="C65" s="34">
        <v>8841522</v>
      </c>
      <c r="D65" s="34">
        <v>9338181</v>
      </c>
      <c r="E65" s="34">
        <v>496659</v>
      </c>
      <c r="F65" s="35">
        <v>5.6173473300185198E-2</v>
      </c>
    </row>
    <row r="66" spans="1:6" s="70" customFormat="1" ht="26.25">
      <c r="A66" s="29" t="s">
        <v>67</v>
      </c>
      <c r="B66" s="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70" customFormat="1" ht="26.25">
      <c r="A67" s="29" t="s">
        <v>68</v>
      </c>
      <c r="B67" s="28">
        <v>0</v>
      </c>
      <c r="C67" s="28">
        <v>0</v>
      </c>
      <c r="D67" s="28">
        <v>0</v>
      </c>
      <c r="E67" s="28">
        <v>0</v>
      </c>
      <c r="F67" s="24">
        <v>0</v>
      </c>
    </row>
    <row r="68" spans="1:6" s="70" customFormat="1" ht="26.25">
      <c r="A68" s="29" t="s">
        <v>69</v>
      </c>
      <c r="B68" s="28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70" customFormat="1" ht="26.25">
      <c r="A69" s="29" t="s">
        <v>70</v>
      </c>
      <c r="B69" s="28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72" customFormat="1" ht="26.25">
      <c r="A70" s="50" t="s">
        <v>71</v>
      </c>
      <c r="B70" s="260">
        <v>8669222</v>
      </c>
      <c r="C70" s="51">
        <v>8841522</v>
      </c>
      <c r="D70" s="51">
        <v>9338181</v>
      </c>
      <c r="E70" s="51">
        <v>496659</v>
      </c>
      <c r="F70" s="35">
        <v>5.6173473300185198E-2</v>
      </c>
    </row>
    <row r="71" spans="1:6" s="70" customFormat="1" ht="26.25">
      <c r="A71" s="48"/>
      <c r="B71" s="19"/>
      <c r="C71" s="19"/>
      <c r="D71" s="19"/>
      <c r="E71" s="19"/>
      <c r="F71" s="21"/>
    </row>
    <row r="72" spans="1:6" s="70" customFormat="1" ht="26.25">
      <c r="A72" s="46" t="s">
        <v>72</v>
      </c>
      <c r="B72" s="19"/>
      <c r="C72" s="19"/>
      <c r="D72" s="19"/>
      <c r="E72" s="19"/>
      <c r="F72" s="21"/>
    </row>
    <row r="73" spans="1:6" s="70" customFormat="1" ht="26.25">
      <c r="A73" s="27" t="s">
        <v>73</v>
      </c>
      <c r="B73" s="23">
        <v>5134119</v>
      </c>
      <c r="C73" s="23">
        <v>5268619</v>
      </c>
      <c r="D73" s="23">
        <v>5503417</v>
      </c>
      <c r="E73" s="19">
        <v>234798</v>
      </c>
      <c r="F73" s="24">
        <v>4.4565378517596357E-2</v>
      </c>
    </row>
    <row r="74" spans="1:6" s="70" customFormat="1" ht="26.25">
      <c r="A74" s="29" t="s">
        <v>74</v>
      </c>
      <c r="B74" s="255">
        <v>1664</v>
      </c>
      <c r="C74" s="23">
        <v>1664</v>
      </c>
      <c r="D74" s="23">
        <v>0</v>
      </c>
      <c r="E74" s="28">
        <v>-1664</v>
      </c>
      <c r="F74" s="24">
        <v>-1</v>
      </c>
    </row>
    <row r="75" spans="1:6" s="70" customFormat="1" ht="26.25">
      <c r="A75" s="29" t="s">
        <v>75</v>
      </c>
      <c r="B75" s="19">
        <v>1929724</v>
      </c>
      <c r="C75" s="23">
        <v>1967524</v>
      </c>
      <c r="D75" s="23">
        <v>2252615</v>
      </c>
      <c r="E75" s="28">
        <v>285091</v>
      </c>
      <c r="F75" s="24">
        <v>0.14489835956257713</v>
      </c>
    </row>
    <row r="76" spans="1:6" s="72" customFormat="1" ht="26.25">
      <c r="A76" s="49" t="s">
        <v>76</v>
      </c>
      <c r="B76" s="260">
        <v>7065507</v>
      </c>
      <c r="C76" s="51">
        <v>7237807</v>
      </c>
      <c r="D76" s="51">
        <v>7756032</v>
      </c>
      <c r="E76" s="34">
        <v>518225</v>
      </c>
      <c r="F76" s="35">
        <v>7.1599726270678399E-2</v>
      </c>
    </row>
    <row r="77" spans="1:6" s="70" customFormat="1" ht="26.25">
      <c r="A77" s="29" t="s">
        <v>77</v>
      </c>
      <c r="B77" s="255">
        <v>18614</v>
      </c>
      <c r="C77" s="26">
        <v>18614</v>
      </c>
      <c r="D77" s="26">
        <v>24666</v>
      </c>
      <c r="E77" s="28">
        <v>6052</v>
      </c>
      <c r="F77" s="24">
        <v>0.32513162136026647</v>
      </c>
    </row>
    <row r="78" spans="1:6" s="70" customFormat="1" ht="26.25">
      <c r="A78" s="29" t="s">
        <v>78</v>
      </c>
      <c r="B78" s="23">
        <v>743517</v>
      </c>
      <c r="C78" s="23">
        <v>743517</v>
      </c>
      <c r="D78" s="23">
        <v>726153</v>
      </c>
      <c r="E78" s="28">
        <v>-17364</v>
      </c>
      <c r="F78" s="24">
        <v>-2.3353870859711346E-2</v>
      </c>
    </row>
    <row r="79" spans="1:6" s="70" customFormat="1" ht="26.25">
      <c r="A79" s="29" t="s">
        <v>79</v>
      </c>
      <c r="B79" s="19">
        <v>288514</v>
      </c>
      <c r="C79" s="19">
        <v>288514</v>
      </c>
      <c r="D79" s="19">
        <v>297923</v>
      </c>
      <c r="E79" s="28">
        <v>9409</v>
      </c>
      <c r="F79" s="24">
        <v>3.2611935642637792E-2</v>
      </c>
    </row>
    <row r="80" spans="1:6" s="72" customFormat="1" ht="26.25">
      <c r="A80" s="32" t="s">
        <v>80</v>
      </c>
      <c r="B80" s="260">
        <v>1050645</v>
      </c>
      <c r="C80" s="51">
        <v>1050645</v>
      </c>
      <c r="D80" s="51">
        <v>1048742</v>
      </c>
      <c r="E80" s="34">
        <v>-1903</v>
      </c>
      <c r="F80" s="35">
        <v>-1.8112683161296155E-3</v>
      </c>
    </row>
    <row r="81" spans="1:6" s="70" customFormat="1" ht="26.25">
      <c r="A81" s="29" t="s">
        <v>81</v>
      </c>
      <c r="B81" s="19">
        <v>20970</v>
      </c>
      <c r="C81" s="19">
        <v>20970</v>
      </c>
      <c r="D81" s="19">
        <v>8864</v>
      </c>
      <c r="E81" s="28">
        <v>-12106</v>
      </c>
      <c r="F81" s="24">
        <v>-0.57730090605627082</v>
      </c>
    </row>
    <row r="82" spans="1:6" s="70" customFormat="1" ht="26.25">
      <c r="A82" s="29" t="s">
        <v>82</v>
      </c>
      <c r="B82" s="28">
        <v>63717</v>
      </c>
      <c r="C82" s="28">
        <v>63717</v>
      </c>
      <c r="D82" s="28">
        <v>58502</v>
      </c>
      <c r="E82" s="28">
        <v>-5215</v>
      </c>
      <c r="F82" s="24">
        <v>-8.1846289059434682E-2</v>
      </c>
    </row>
    <row r="83" spans="1:6" s="70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70" customFormat="1" ht="26.25">
      <c r="A84" s="29" t="s">
        <v>84</v>
      </c>
      <c r="B84" s="28">
        <v>386117</v>
      </c>
      <c r="C84" s="28">
        <v>386117</v>
      </c>
      <c r="D84" s="28">
        <v>386120</v>
      </c>
      <c r="E84" s="28">
        <v>3</v>
      </c>
      <c r="F84" s="24">
        <v>7.7696656712861642E-6</v>
      </c>
    </row>
    <row r="85" spans="1:6" s="72" customFormat="1" ht="26.25">
      <c r="A85" s="32" t="s">
        <v>85</v>
      </c>
      <c r="B85" s="34">
        <v>470804</v>
      </c>
      <c r="C85" s="34">
        <v>470804</v>
      </c>
      <c r="D85" s="34">
        <v>453486</v>
      </c>
      <c r="E85" s="34">
        <v>-17318</v>
      </c>
      <c r="F85" s="35">
        <v>-3.6783884588915981E-2</v>
      </c>
    </row>
    <row r="86" spans="1:6" s="70" customFormat="1" ht="26.25">
      <c r="A86" s="29" t="s">
        <v>86</v>
      </c>
      <c r="B86" s="28">
        <v>82266</v>
      </c>
      <c r="C86" s="28">
        <v>82266</v>
      </c>
      <c r="D86" s="28">
        <v>79921</v>
      </c>
      <c r="E86" s="28">
        <v>-2345</v>
      </c>
      <c r="F86" s="24">
        <v>-2.8505093234142902E-2</v>
      </c>
    </row>
    <row r="87" spans="1:6" s="70" customFormat="1" ht="26.25">
      <c r="A87" s="29" t="s">
        <v>87</v>
      </c>
      <c r="B87" s="28">
        <v>0</v>
      </c>
      <c r="C87" s="28">
        <v>0</v>
      </c>
      <c r="D87" s="28">
        <v>0</v>
      </c>
      <c r="E87" s="28">
        <v>0</v>
      </c>
      <c r="F87" s="24">
        <v>0</v>
      </c>
    </row>
    <row r="88" spans="1:6" s="70" customFormat="1" ht="26.25">
      <c r="A88" s="38" t="s">
        <v>88</v>
      </c>
      <c r="B88" s="28">
        <v>0</v>
      </c>
      <c r="C88" s="28">
        <v>0</v>
      </c>
      <c r="D88" s="28">
        <v>0</v>
      </c>
      <c r="E88" s="28">
        <v>0</v>
      </c>
      <c r="F88" s="24">
        <v>0</v>
      </c>
    </row>
    <row r="89" spans="1:6" s="72" customFormat="1" ht="26.25">
      <c r="A89" s="52" t="s">
        <v>89</v>
      </c>
      <c r="B89" s="260">
        <v>82266</v>
      </c>
      <c r="C89" s="51">
        <v>82266</v>
      </c>
      <c r="D89" s="51">
        <v>79921</v>
      </c>
      <c r="E89" s="51">
        <v>-2345</v>
      </c>
      <c r="F89" s="35">
        <v>-2.8505093234142902E-2</v>
      </c>
    </row>
    <row r="90" spans="1:6" s="70" customFormat="1" ht="26.25">
      <c r="A90" s="38" t="s">
        <v>90</v>
      </c>
      <c r="B90" s="28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72" customFormat="1" ht="27" thickBot="1">
      <c r="A91" s="53" t="s">
        <v>71</v>
      </c>
      <c r="B91" s="263">
        <v>8669222</v>
      </c>
      <c r="C91" s="54">
        <v>8841522</v>
      </c>
      <c r="D91" s="55">
        <v>9338181</v>
      </c>
      <c r="E91" s="54">
        <v>496659</v>
      </c>
      <c r="F91" s="56">
        <v>5.6173473300185198E-2</v>
      </c>
    </row>
    <row r="92" spans="1:6" s="74" customFormat="1" ht="31.5">
      <c r="A92" s="57"/>
      <c r="B92" s="58"/>
      <c r="C92" s="58"/>
      <c r="D92" s="58"/>
      <c r="E92" s="73"/>
      <c r="F92" s="73"/>
    </row>
    <row r="93" spans="1:6" s="74" customFormat="1" ht="31.5">
      <c r="A93" s="61" t="s">
        <v>91</v>
      </c>
      <c r="B93" s="62"/>
      <c r="C93" s="62"/>
      <c r="D93" s="62"/>
      <c r="E93" s="73"/>
      <c r="F93" s="73"/>
    </row>
    <row r="94" spans="1:6" s="74" customFormat="1" ht="31.5">
      <c r="A94" s="61" t="s">
        <v>92</v>
      </c>
      <c r="B94" s="62"/>
      <c r="C94" s="62"/>
      <c r="D94" s="62"/>
      <c r="E94" s="73"/>
      <c r="F94" s="73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zoomScale="50" zoomScaleNormal="50" workbookViewId="0">
      <selection activeCell="B8" sqref="B8:B91"/>
    </sheetView>
  </sheetViews>
  <sheetFormatPr defaultRowHeight="15.75"/>
  <cols>
    <col min="1" max="1" width="121.140625" style="75" customWidth="1"/>
    <col min="2" max="2" width="32.7109375" style="76" customWidth="1"/>
    <col min="3" max="4" width="32.85546875" style="76" customWidth="1"/>
    <col min="5" max="5" width="30.28515625" style="75" customWidth="1"/>
    <col min="6" max="6" width="25.140625" style="75" customWidth="1"/>
    <col min="7" max="16384" width="9.140625" style="75"/>
  </cols>
  <sheetData>
    <row r="1" spans="1:6" s="69" customFormat="1" ht="46.5">
      <c r="A1" s="1" t="s">
        <v>0</v>
      </c>
      <c r="D1" s="277" t="s">
        <v>1</v>
      </c>
      <c r="E1" s="4" t="s">
        <v>109</v>
      </c>
      <c r="F1" s="281"/>
    </row>
    <row r="2" spans="1:6" s="69" customFormat="1" ht="46.5">
      <c r="A2" s="1" t="s">
        <v>2</v>
      </c>
      <c r="B2" s="2"/>
      <c r="C2" s="2"/>
      <c r="D2" s="2"/>
      <c r="E2" s="67"/>
      <c r="F2" s="67"/>
    </row>
    <row r="3" spans="1:6" s="69" customFormat="1" ht="47.25" thickBot="1">
      <c r="A3" s="7" t="s">
        <v>3</v>
      </c>
      <c r="B3" s="8"/>
      <c r="C3" s="8"/>
      <c r="D3" s="8"/>
      <c r="E3" s="67"/>
      <c r="F3" s="67"/>
    </row>
    <row r="4" spans="1:6" s="70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71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70" customFormat="1" ht="26.25">
      <c r="A6" s="18" t="s">
        <v>14</v>
      </c>
      <c r="B6" s="19"/>
      <c r="C6" s="19"/>
      <c r="D6" s="19"/>
      <c r="E6" s="19"/>
      <c r="F6" s="20"/>
    </row>
    <row r="7" spans="1:6" s="70" customFormat="1" ht="26.25">
      <c r="A7" s="18" t="s">
        <v>15</v>
      </c>
      <c r="B7" s="19"/>
      <c r="C7" s="19"/>
      <c r="D7" s="19"/>
      <c r="E7" s="19"/>
      <c r="F7" s="21"/>
    </row>
    <row r="8" spans="1:6" s="70" customFormat="1" ht="26.25">
      <c r="A8" s="22" t="s">
        <v>16</v>
      </c>
      <c r="B8" s="23">
        <v>3801885</v>
      </c>
      <c r="C8" s="23">
        <v>3801885</v>
      </c>
      <c r="D8" s="23">
        <v>3803765</v>
      </c>
      <c r="E8" s="23">
        <v>1880</v>
      </c>
      <c r="F8" s="24">
        <v>4.9449154827144951E-4</v>
      </c>
    </row>
    <row r="9" spans="1:6" s="70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70" customFormat="1" ht="26.25">
      <c r="A10" s="25" t="s">
        <v>18</v>
      </c>
      <c r="B10" s="255">
        <v>146559</v>
      </c>
      <c r="C10" s="26">
        <v>147115</v>
      </c>
      <c r="D10" s="26">
        <v>147533</v>
      </c>
      <c r="E10" s="26">
        <v>418</v>
      </c>
      <c r="F10" s="24">
        <v>2.8413146178159943E-3</v>
      </c>
    </row>
    <row r="11" spans="1:6" s="70" customFormat="1" ht="26.25">
      <c r="A11" s="27" t="s">
        <v>19</v>
      </c>
      <c r="B11" s="28">
        <v>3070</v>
      </c>
      <c r="C11" s="28">
        <v>3070</v>
      </c>
      <c r="D11" s="28">
        <v>0</v>
      </c>
      <c r="E11" s="26">
        <v>-3070</v>
      </c>
      <c r="F11" s="24">
        <v>-1</v>
      </c>
    </row>
    <row r="12" spans="1:6" s="70" customFormat="1" ht="26.25">
      <c r="A12" s="29" t="s">
        <v>20</v>
      </c>
      <c r="B12" s="28">
        <v>143489</v>
      </c>
      <c r="C12" s="28">
        <v>144045</v>
      </c>
      <c r="D12" s="28">
        <v>147533</v>
      </c>
      <c r="E12" s="26">
        <v>3488</v>
      </c>
      <c r="F12" s="24">
        <v>2.4214655142490195E-2</v>
      </c>
    </row>
    <row r="13" spans="1:6" s="70" customFormat="1" ht="26.25">
      <c r="A13" s="29" t="s">
        <v>21</v>
      </c>
      <c r="B13" s="28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70" customFormat="1" ht="26.25">
      <c r="A14" s="29" t="s">
        <v>22</v>
      </c>
      <c r="B14" s="28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70" customFormat="1" ht="26.25">
      <c r="A15" s="29" t="s">
        <v>23</v>
      </c>
      <c r="B15" s="28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70" customFormat="1" ht="26.25">
      <c r="A16" s="29" t="s">
        <v>24</v>
      </c>
      <c r="B16" s="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70" customFormat="1" ht="26.25">
      <c r="A17" s="29" t="s">
        <v>25</v>
      </c>
      <c r="B17" s="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70" customFormat="1" ht="26.25">
      <c r="A18" s="29" t="s">
        <v>26</v>
      </c>
      <c r="B18" s="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70" customFormat="1" ht="26.25">
      <c r="A19" s="29" t="s">
        <v>27</v>
      </c>
      <c r="B19" s="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70" customFormat="1" ht="26.25">
      <c r="A20" s="29" t="s">
        <v>28</v>
      </c>
      <c r="B20" s="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70" customFormat="1" ht="26.25">
      <c r="A21" s="29" t="s">
        <v>29</v>
      </c>
      <c r="B21" s="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70" customFormat="1" ht="26.25">
      <c r="A22" s="29" t="s">
        <v>30</v>
      </c>
      <c r="B22" s="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70" customFormat="1" ht="26.25">
      <c r="A23" s="30" t="s">
        <v>31</v>
      </c>
      <c r="B23" s="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70" customFormat="1" ht="26.25">
      <c r="A24" s="30" t="s">
        <v>32</v>
      </c>
      <c r="B24" s="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70" customFormat="1" ht="26.25">
      <c r="A25" s="30" t="s">
        <v>33</v>
      </c>
      <c r="B25" s="28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70" customFormat="1" ht="26.25">
      <c r="A26" s="30" t="s">
        <v>34</v>
      </c>
      <c r="B26" s="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70" customFormat="1" ht="26.25">
      <c r="A27" s="30" t="s">
        <v>35</v>
      </c>
      <c r="B27" s="28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70" customFormat="1" ht="26.25">
      <c r="A28" s="30" t="s">
        <v>36</v>
      </c>
      <c r="B28" s="28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70" customFormat="1" ht="26.25">
      <c r="A29" s="31" t="s">
        <v>37</v>
      </c>
      <c r="B29" s="28"/>
      <c r="C29" s="28"/>
      <c r="D29" s="28"/>
      <c r="E29" s="28"/>
      <c r="F29" s="20"/>
    </row>
    <row r="30" spans="1:6" s="70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70" customFormat="1" ht="26.25">
      <c r="A31" s="32" t="s">
        <v>39</v>
      </c>
      <c r="B31" s="28"/>
      <c r="C31" s="28"/>
      <c r="D31" s="28"/>
      <c r="E31" s="28"/>
      <c r="F31" s="20"/>
    </row>
    <row r="32" spans="1:6" s="70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70" customFormat="1" ht="26.25">
      <c r="A33" s="29" t="s">
        <v>40</v>
      </c>
      <c r="B33" s="28"/>
      <c r="C33" s="28"/>
      <c r="D33" s="28"/>
      <c r="E33" s="26"/>
      <c r="F33" s="24" t="s">
        <v>41</v>
      </c>
    </row>
    <row r="34" spans="1:10" s="72" customFormat="1" ht="26.25">
      <c r="A34" s="33" t="s">
        <v>42</v>
      </c>
      <c r="B34" s="34">
        <v>3948444</v>
      </c>
      <c r="C34" s="34">
        <v>3949000</v>
      </c>
      <c r="D34" s="34">
        <v>3951298</v>
      </c>
      <c r="E34" s="34">
        <v>2298</v>
      </c>
      <c r="F34" s="35">
        <v>5.8191947328437574E-4</v>
      </c>
    </row>
    <row r="35" spans="1:10" s="70" customFormat="1" ht="26.25">
      <c r="A35" s="31" t="s">
        <v>43</v>
      </c>
      <c r="B35" s="28"/>
      <c r="C35" s="28"/>
      <c r="D35" s="28"/>
      <c r="E35" s="28"/>
      <c r="F35" s="20"/>
    </row>
    <row r="36" spans="1:10" s="70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70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70" customFormat="1" ht="26.25">
      <c r="A38" s="38" t="s">
        <v>46</v>
      </c>
      <c r="B38" s="23">
        <v>355799</v>
      </c>
      <c r="C38" s="23">
        <v>0</v>
      </c>
      <c r="D38" s="23">
        <v>0</v>
      </c>
      <c r="E38" s="26">
        <v>0</v>
      </c>
      <c r="F38" s="24">
        <v>0</v>
      </c>
    </row>
    <row r="39" spans="1:10" s="70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70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72" customFormat="1" ht="26.25">
      <c r="A41" s="31" t="s">
        <v>49</v>
      </c>
      <c r="B41" s="40">
        <v>355799</v>
      </c>
      <c r="C41" s="40">
        <v>0</v>
      </c>
      <c r="D41" s="40">
        <v>0</v>
      </c>
      <c r="E41" s="40">
        <v>0</v>
      </c>
      <c r="F41" s="35">
        <v>0</v>
      </c>
      <c r="J41" s="72" t="s">
        <v>50</v>
      </c>
    </row>
    <row r="42" spans="1:10" s="70" customFormat="1" ht="26.25">
      <c r="A42" s="29" t="s">
        <v>50</v>
      </c>
      <c r="B42" s="28"/>
      <c r="C42" s="28"/>
      <c r="D42" s="28"/>
      <c r="E42" s="28"/>
      <c r="F42" s="20"/>
    </row>
    <row r="43" spans="1:10" s="72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70" customFormat="1" ht="26.25">
      <c r="A44" s="29" t="s">
        <v>50</v>
      </c>
      <c r="B44" s="28"/>
      <c r="C44" s="28"/>
      <c r="D44" s="28"/>
      <c r="E44" s="28"/>
      <c r="F44" s="20"/>
    </row>
    <row r="45" spans="1:10" s="72" customFormat="1" ht="26.25">
      <c r="A45" s="41" t="s">
        <v>52</v>
      </c>
      <c r="B45" s="42">
        <v>1188332</v>
      </c>
      <c r="C45" s="42">
        <v>1188332</v>
      </c>
      <c r="D45" s="42">
        <v>0</v>
      </c>
      <c r="E45" s="42">
        <v>-1188332</v>
      </c>
      <c r="F45" s="35">
        <v>-1</v>
      </c>
    </row>
    <row r="46" spans="1:10" s="70" customFormat="1" ht="26.25">
      <c r="A46" s="29" t="s">
        <v>50</v>
      </c>
      <c r="B46" s="28"/>
      <c r="C46" s="28"/>
      <c r="D46" s="28"/>
      <c r="E46" s="28"/>
      <c r="F46" s="20"/>
    </row>
    <row r="47" spans="1:10" s="72" customFormat="1" ht="26.25">
      <c r="A47" s="31" t="s">
        <v>53</v>
      </c>
      <c r="B47" s="40">
        <v>2856440.32</v>
      </c>
      <c r="C47" s="40">
        <v>2665477</v>
      </c>
      <c r="D47" s="40">
        <v>3900000</v>
      </c>
      <c r="E47" s="40">
        <v>1234523</v>
      </c>
      <c r="F47" s="35">
        <v>0.46315274902015663</v>
      </c>
    </row>
    <row r="48" spans="1:10" s="70" customFormat="1" ht="26.25">
      <c r="A48" s="29" t="s">
        <v>50</v>
      </c>
      <c r="B48" s="28"/>
      <c r="C48" s="28"/>
      <c r="D48" s="28"/>
      <c r="E48" s="28"/>
      <c r="F48" s="20"/>
    </row>
    <row r="49" spans="1:6" s="72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70" customFormat="1" ht="26.25">
      <c r="A50" s="31"/>
      <c r="B50" s="19"/>
      <c r="C50" s="19"/>
      <c r="D50" s="19"/>
      <c r="E50" s="19"/>
      <c r="F50" s="45"/>
    </row>
    <row r="51" spans="1:6" s="72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70" customFormat="1" ht="26.25">
      <c r="A52" s="29"/>
      <c r="B52" s="28"/>
      <c r="C52" s="28"/>
      <c r="D52" s="28"/>
      <c r="E52" s="28"/>
      <c r="F52" s="20"/>
    </row>
    <row r="53" spans="1:6" s="72" customFormat="1" ht="26.25">
      <c r="A53" s="46" t="s">
        <v>56</v>
      </c>
      <c r="B53" s="40">
        <v>7637417.3200000003</v>
      </c>
      <c r="C53" s="40">
        <v>7802809</v>
      </c>
      <c r="D53" s="40">
        <v>7851298</v>
      </c>
      <c r="E53" s="40">
        <v>48489</v>
      </c>
      <c r="F53" s="35">
        <v>6.2143005166472743E-3</v>
      </c>
    </row>
    <row r="54" spans="1:6" s="70" customFormat="1" ht="26.25">
      <c r="A54" s="47"/>
      <c r="B54" s="28"/>
      <c r="C54" s="28"/>
      <c r="D54" s="28"/>
      <c r="E54" s="28"/>
      <c r="F54" s="20" t="s">
        <v>50</v>
      </c>
    </row>
    <row r="55" spans="1:6" s="70" customFormat="1" ht="26.25">
      <c r="A55" s="48"/>
      <c r="B55" s="19"/>
      <c r="C55" s="19"/>
      <c r="D55" s="19"/>
      <c r="E55" s="19"/>
      <c r="F55" s="21" t="s">
        <v>50</v>
      </c>
    </row>
    <row r="56" spans="1:6" s="70" customFormat="1" ht="26.25">
      <c r="A56" s="46" t="s">
        <v>57</v>
      </c>
      <c r="B56" s="19"/>
      <c r="C56" s="19"/>
      <c r="D56" s="19"/>
      <c r="E56" s="19"/>
      <c r="F56" s="21"/>
    </row>
    <row r="57" spans="1:6" s="70" customFormat="1" ht="26.25">
      <c r="A57" s="27" t="s">
        <v>58</v>
      </c>
      <c r="B57" s="19">
        <v>3249265</v>
      </c>
      <c r="C57" s="19">
        <v>3636988</v>
      </c>
      <c r="D57" s="19">
        <v>3167341</v>
      </c>
      <c r="E57" s="19">
        <v>-469647</v>
      </c>
      <c r="F57" s="24">
        <v>-0.12913075324966702</v>
      </c>
    </row>
    <row r="58" spans="1:6" s="70" customFormat="1" ht="26.25">
      <c r="A58" s="29" t="s">
        <v>59</v>
      </c>
      <c r="B58" s="28">
        <v>0</v>
      </c>
      <c r="C58" s="28">
        <v>0</v>
      </c>
      <c r="D58" s="28">
        <v>0</v>
      </c>
      <c r="E58" s="28">
        <v>0</v>
      </c>
      <c r="F58" s="24">
        <v>0</v>
      </c>
    </row>
    <row r="59" spans="1:6" s="70" customFormat="1" ht="26.25">
      <c r="A59" s="29" t="s">
        <v>60</v>
      </c>
      <c r="B59" s="28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70" customFormat="1" ht="26.25">
      <c r="A60" s="29" t="s">
        <v>61</v>
      </c>
      <c r="B60" s="28">
        <v>416106</v>
      </c>
      <c r="C60" s="28">
        <v>423943</v>
      </c>
      <c r="D60" s="28">
        <v>553010</v>
      </c>
      <c r="E60" s="28">
        <v>129067</v>
      </c>
      <c r="F60" s="24">
        <v>0.30444422953085676</v>
      </c>
    </row>
    <row r="61" spans="1:6" s="70" customFormat="1" ht="26.25">
      <c r="A61" s="29" t="s">
        <v>62</v>
      </c>
      <c r="B61" s="28">
        <v>601908</v>
      </c>
      <c r="C61" s="28">
        <v>560147</v>
      </c>
      <c r="D61" s="28">
        <v>622761</v>
      </c>
      <c r="E61" s="28">
        <v>62614</v>
      </c>
      <c r="F61" s="24">
        <v>0.11178137167564943</v>
      </c>
    </row>
    <row r="62" spans="1:6" s="70" customFormat="1" ht="26.25">
      <c r="A62" s="29" t="s">
        <v>63</v>
      </c>
      <c r="B62" s="28">
        <v>1922109</v>
      </c>
      <c r="C62" s="28">
        <v>1876191</v>
      </c>
      <c r="D62" s="28">
        <v>2004598</v>
      </c>
      <c r="E62" s="28">
        <v>128407</v>
      </c>
      <c r="F62" s="24">
        <v>6.8440260080130433E-2</v>
      </c>
    </row>
    <row r="63" spans="1:6" s="70" customFormat="1" ht="26.25">
      <c r="A63" s="29" t="s">
        <v>64</v>
      </c>
      <c r="B63" s="28">
        <v>0</v>
      </c>
      <c r="C63" s="28">
        <v>0</v>
      </c>
      <c r="D63" s="28">
        <v>0</v>
      </c>
      <c r="E63" s="28">
        <v>0</v>
      </c>
      <c r="F63" s="24">
        <v>0</v>
      </c>
    </row>
    <row r="64" spans="1:6" s="70" customFormat="1" ht="26.25">
      <c r="A64" s="29" t="s">
        <v>65</v>
      </c>
      <c r="B64" s="28">
        <v>1238624</v>
      </c>
      <c r="C64" s="28">
        <v>1096135</v>
      </c>
      <c r="D64" s="28">
        <v>1294183</v>
      </c>
      <c r="E64" s="28">
        <v>198048</v>
      </c>
      <c r="F64" s="24">
        <v>0.18067847482290048</v>
      </c>
    </row>
    <row r="65" spans="1:6" s="72" customFormat="1" ht="26.25">
      <c r="A65" s="49" t="s">
        <v>66</v>
      </c>
      <c r="B65" s="34">
        <v>7428012</v>
      </c>
      <c r="C65" s="34">
        <v>7593404</v>
      </c>
      <c r="D65" s="34">
        <v>7641893</v>
      </c>
      <c r="E65" s="34">
        <v>48489</v>
      </c>
      <c r="F65" s="35">
        <v>6.38567367151807E-3</v>
      </c>
    </row>
    <row r="66" spans="1:6" s="70" customFormat="1" ht="26.25">
      <c r="A66" s="29" t="s">
        <v>67</v>
      </c>
      <c r="B66" s="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70" customFormat="1" ht="26.25">
      <c r="A67" s="29" t="s">
        <v>68</v>
      </c>
      <c r="B67" s="28">
        <v>209405</v>
      </c>
      <c r="C67" s="28">
        <v>209405</v>
      </c>
      <c r="D67" s="28">
        <v>209405</v>
      </c>
      <c r="E67" s="28">
        <v>0</v>
      </c>
      <c r="F67" s="24">
        <v>0</v>
      </c>
    </row>
    <row r="68" spans="1:6" s="70" customFormat="1" ht="26.25">
      <c r="A68" s="29" t="s">
        <v>69</v>
      </c>
      <c r="B68" s="28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70" customFormat="1" ht="26.25">
      <c r="A69" s="29" t="s">
        <v>70</v>
      </c>
      <c r="B69" s="28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72" customFormat="1" ht="26.25">
      <c r="A70" s="50" t="s">
        <v>71</v>
      </c>
      <c r="B70" s="260">
        <v>7637417</v>
      </c>
      <c r="C70" s="51">
        <v>7802809</v>
      </c>
      <c r="D70" s="51">
        <v>7851298</v>
      </c>
      <c r="E70" s="51">
        <v>48489</v>
      </c>
      <c r="F70" s="35">
        <v>6.2143005166472743E-3</v>
      </c>
    </row>
    <row r="71" spans="1:6" s="70" customFormat="1" ht="26.25">
      <c r="A71" s="48"/>
      <c r="B71" s="19"/>
      <c r="C71" s="19"/>
      <c r="D71" s="19"/>
      <c r="E71" s="19"/>
      <c r="F71" s="21"/>
    </row>
    <row r="72" spans="1:6" s="70" customFormat="1" ht="26.25">
      <c r="A72" s="46" t="s">
        <v>72</v>
      </c>
      <c r="B72" s="19"/>
      <c r="C72" s="19"/>
      <c r="D72" s="19"/>
      <c r="E72" s="19"/>
      <c r="F72" s="21"/>
    </row>
    <row r="73" spans="1:6" s="70" customFormat="1" ht="26.25">
      <c r="A73" s="27" t="s">
        <v>73</v>
      </c>
      <c r="B73" s="23">
        <v>4905400</v>
      </c>
      <c r="C73" s="23">
        <v>5027697</v>
      </c>
      <c r="D73" s="23">
        <v>4782261</v>
      </c>
      <c r="E73" s="19">
        <v>-245436</v>
      </c>
      <c r="F73" s="24">
        <v>-4.8816784305020768E-2</v>
      </c>
    </row>
    <row r="74" spans="1:6" s="70" customFormat="1" ht="26.25">
      <c r="A74" s="29" t="s">
        <v>74</v>
      </c>
      <c r="B74" s="255">
        <v>243</v>
      </c>
      <c r="C74" s="23">
        <v>0</v>
      </c>
      <c r="D74" s="23">
        <v>0</v>
      </c>
      <c r="E74" s="28">
        <v>0</v>
      </c>
      <c r="F74" s="24">
        <v>0</v>
      </c>
    </row>
    <row r="75" spans="1:6" s="70" customFormat="1" ht="26.25">
      <c r="A75" s="29" t="s">
        <v>75</v>
      </c>
      <c r="B75" s="19">
        <v>1659945</v>
      </c>
      <c r="C75" s="23">
        <v>1767975</v>
      </c>
      <c r="D75" s="23">
        <v>1801902</v>
      </c>
      <c r="E75" s="28">
        <v>33927</v>
      </c>
      <c r="F75" s="24">
        <v>1.9189750986297882E-2</v>
      </c>
    </row>
    <row r="76" spans="1:6" s="72" customFormat="1" ht="26.25">
      <c r="A76" s="49" t="s">
        <v>76</v>
      </c>
      <c r="B76" s="260">
        <v>6565588</v>
      </c>
      <c r="C76" s="51">
        <v>6795672</v>
      </c>
      <c r="D76" s="51">
        <v>6584163</v>
      </c>
      <c r="E76" s="34">
        <v>-211509</v>
      </c>
      <c r="F76" s="35">
        <v>-3.1124074263737273E-2</v>
      </c>
    </row>
    <row r="77" spans="1:6" s="70" customFormat="1" ht="26.25">
      <c r="A77" s="29" t="s">
        <v>77</v>
      </c>
      <c r="B77" s="255">
        <v>11270</v>
      </c>
      <c r="C77" s="26">
        <v>20466</v>
      </c>
      <c r="D77" s="26">
        <v>14592</v>
      </c>
      <c r="E77" s="28">
        <v>-5874</v>
      </c>
      <c r="F77" s="24">
        <v>-0.28701260627381997</v>
      </c>
    </row>
    <row r="78" spans="1:6" s="70" customFormat="1" ht="26.25">
      <c r="A78" s="29" t="s">
        <v>78</v>
      </c>
      <c r="B78" s="23">
        <v>815067</v>
      </c>
      <c r="C78" s="23">
        <v>789419</v>
      </c>
      <c r="D78" s="23">
        <v>948274</v>
      </c>
      <c r="E78" s="28">
        <v>158855</v>
      </c>
      <c r="F78" s="24">
        <v>0.20123027188349912</v>
      </c>
    </row>
    <row r="79" spans="1:6" s="70" customFormat="1" ht="26.25">
      <c r="A79" s="29" t="s">
        <v>79</v>
      </c>
      <c r="B79" s="19">
        <v>115440</v>
      </c>
      <c r="C79" s="19">
        <v>107397</v>
      </c>
      <c r="D79" s="19">
        <v>166244</v>
      </c>
      <c r="E79" s="28">
        <v>58847</v>
      </c>
      <c r="F79" s="24">
        <v>0.54793895546430538</v>
      </c>
    </row>
    <row r="80" spans="1:6" s="72" customFormat="1" ht="26.25">
      <c r="A80" s="32" t="s">
        <v>80</v>
      </c>
      <c r="B80" s="260">
        <v>941777</v>
      </c>
      <c r="C80" s="51">
        <v>917282</v>
      </c>
      <c r="D80" s="51">
        <v>1129110</v>
      </c>
      <c r="E80" s="34">
        <v>211828</v>
      </c>
      <c r="F80" s="35">
        <v>0.23093007384860925</v>
      </c>
    </row>
    <row r="81" spans="1:6" s="70" customFormat="1" ht="26.25">
      <c r="A81" s="29" t="s">
        <v>81</v>
      </c>
      <c r="B81" s="19">
        <v>94373</v>
      </c>
      <c r="C81" s="19">
        <v>82129</v>
      </c>
      <c r="D81" s="19">
        <v>93519</v>
      </c>
      <c r="E81" s="28">
        <v>11390</v>
      </c>
      <c r="F81" s="24">
        <v>0.13868426499774744</v>
      </c>
    </row>
    <row r="82" spans="1:6" s="70" customFormat="1" ht="26.25">
      <c r="A82" s="29" t="s">
        <v>82</v>
      </c>
      <c r="B82" s="28">
        <v>18939</v>
      </c>
      <c r="C82" s="28">
        <v>5400</v>
      </c>
      <c r="D82" s="28">
        <v>18939</v>
      </c>
      <c r="E82" s="28">
        <v>13539</v>
      </c>
      <c r="F82" s="24">
        <v>2.507222222222222</v>
      </c>
    </row>
    <row r="83" spans="1:6" s="70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70" customFormat="1" ht="26.25">
      <c r="A84" s="29" t="s">
        <v>84</v>
      </c>
      <c r="B84" s="28">
        <v>0</v>
      </c>
      <c r="C84" s="28">
        <v>0</v>
      </c>
      <c r="D84" s="28">
        <v>0</v>
      </c>
      <c r="E84" s="28">
        <v>0</v>
      </c>
      <c r="F84" s="24">
        <v>0</v>
      </c>
    </row>
    <row r="85" spans="1:6" s="72" customFormat="1" ht="26.25">
      <c r="A85" s="32" t="s">
        <v>85</v>
      </c>
      <c r="B85" s="34">
        <v>113312</v>
      </c>
      <c r="C85" s="34">
        <v>87529</v>
      </c>
      <c r="D85" s="34">
        <v>112458</v>
      </c>
      <c r="E85" s="34">
        <v>24929</v>
      </c>
      <c r="F85" s="35">
        <v>0.28480846348067496</v>
      </c>
    </row>
    <row r="86" spans="1:6" s="70" customFormat="1" ht="26.25">
      <c r="A86" s="29" t="s">
        <v>86</v>
      </c>
      <c r="B86" s="28">
        <v>4750</v>
      </c>
      <c r="C86" s="28">
        <v>526</v>
      </c>
      <c r="D86" s="28">
        <v>25567</v>
      </c>
      <c r="E86" s="28">
        <v>25041</v>
      </c>
      <c r="F86" s="24">
        <v>47.606463878326998</v>
      </c>
    </row>
    <row r="87" spans="1:6" s="70" customFormat="1" ht="26.25">
      <c r="A87" s="29" t="s">
        <v>87</v>
      </c>
      <c r="B87" s="28">
        <v>11990</v>
      </c>
      <c r="C87" s="28">
        <v>1800</v>
      </c>
      <c r="D87" s="28">
        <v>0</v>
      </c>
      <c r="E87" s="28">
        <v>-1800</v>
      </c>
      <c r="F87" s="24">
        <v>-1</v>
      </c>
    </row>
    <row r="88" spans="1:6" s="70" customFormat="1" ht="26.25">
      <c r="A88" s="38" t="s">
        <v>88</v>
      </c>
      <c r="B88" s="28">
        <v>0</v>
      </c>
      <c r="C88" s="28">
        <v>0</v>
      </c>
      <c r="D88" s="28">
        <v>0</v>
      </c>
      <c r="E88" s="28">
        <v>0</v>
      </c>
      <c r="F88" s="24">
        <v>0</v>
      </c>
    </row>
    <row r="89" spans="1:6" s="72" customFormat="1" ht="26.25">
      <c r="A89" s="52" t="s">
        <v>89</v>
      </c>
      <c r="B89" s="260">
        <v>16740</v>
      </c>
      <c r="C89" s="51">
        <v>2326</v>
      </c>
      <c r="D89" s="51">
        <v>25567</v>
      </c>
      <c r="E89" s="51">
        <v>23241</v>
      </c>
      <c r="F89" s="35">
        <v>9.9918314703353399</v>
      </c>
    </row>
    <row r="90" spans="1:6" s="70" customFormat="1" ht="26.25">
      <c r="A90" s="38" t="s">
        <v>90</v>
      </c>
      <c r="B90" s="28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72" customFormat="1" ht="27" thickBot="1">
      <c r="A91" s="53" t="s">
        <v>71</v>
      </c>
      <c r="B91" s="263">
        <v>7637417</v>
      </c>
      <c r="C91" s="54">
        <v>7802809</v>
      </c>
      <c r="D91" s="55">
        <v>7851298</v>
      </c>
      <c r="E91" s="54">
        <v>48489</v>
      </c>
      <c r="F91" s="56">
        <v>6.2143005166472743E-3</v>
      </c>
    </row>
    <row r="92" spans="1:6" s="74" customFormat="1" ht="31.5">
      <c r="A92" s="57"/>
      <c r="B92" s="58"/>
      <c r="C92" s="58"/>
      <c r="D92" s="58"/>
      <c r="E92" s="73"/>
      <c r="F92" s="73"/>
    </row>
    <row r="93" spans="1:6" s="74" customFormat="1" ht="31.5">
      <c r="A93" s="61" t="s">
        <v>91</v>
      </c>
      <c r="B93" s="62"/>
      <c r="C93" s="62"/>
      <c r="D93" s="62"/>
      <c r="E93" s="73"/>
      <c r="F93" s="73"/>
    </row>
    <row r="94" spans="1:6" s="74" customFormat="1" ht="31.5">
      <c r="A94" s="61" t="s">
        <v>92</v>
      </c>
      <c r="B94" s="62"/>
      <c r="C94" s="62"/>
      <c r="D94" s="62"/>
      <c r="E94" s="73"/>
      <c r="F94" s="73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7"/>
  <sheetViews>
    <sheetView zoomScale="50" zoomScaleNormal="50" workbookViewId="0">
      <selection activeCell="B8" sqref="B8:B91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0.285156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4" t="s">
        <v>110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3259085</v>
      </c>
      <c r="C8" s="23">
        <v>3259085</v>
      </c>
      <c r="D8" s="23">
        <v>3461796</v>
      </c>
      <c r="E8" s="23">
        <v>202711</v>
      </c>
      <c r="F8" s="24">
        <v>6.2198745967042897E-2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55">
        <v>125581</v>
      </c>
      <c r="C10" s="26">
        <v>126058</v>
      </c>
      <c r="D10" s="26">
        <v>134270</v>
      </c>
      <c r="E10" s="26">
        <v>8212</v>
      </c>
      <c r="F10" s="24">
        <v>6.5144615970426312E-2</v>
      </c>
    </row>
    <row r="11" spans="1:6" s="13" customFormat="1" ht="26.25">
      <c r="A11" s="27" t="s">
        <v>19</v>
      </c>
      <c r="B11" s="28">
        <v>2631</v>
      </c>
      <c r="C11" s="28">
        <v>2631</v>
      </c>
      <c r="D11" s="28">
        <v>0</v>
      </c>
      <c r="E11" s="26">
        <v>-2631</v>
      </c>
      <c r="F11" s="24">
        <v>-1</v>
      </c>
    </row>
    <row r="12" spans="1:6" s="13" customFormat="1" ht="26.25">
      <c r="A12" s="29" t="s">
        <v>20</v>
      </c>
      <c r="B12" s="28">
        <v>122950</v>
      </c>
      <c r="C12" s="28">
        <v>123427</v>
      </c>
      <c r="D12" s="28">
        <v>134270</v>
      </c>
      <c r="E12" s="26">
        <v>10843</v>
      </c>
      <c r="F12" s="24">
        <v>8.7849498083887645E-2</v>
      </c>
    </row>
    <row r="13" spans="1:6" s="13" customFormat="1" ht="26.25">
      <c r="A13" s="29" t="s">
        <v>21</v>
      </c>
      <c r="B13" s="28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8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13" customFormat="1" ht="26.25">
      <c r="A15" s="29" t="s">
        <v>23</v>
      </c>
      <c r="B15" s="28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8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8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8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4">
        <v>3384666</v>
      </c>
      <c r="C34" s="34">
        <v>3385143</v>
      </c>
      <c r="D34" s="34">
        <v>3596066</v>
      </c>
      <c r="E34" s="34">
        <v>210923</v>
      </c>
      <c r="F34" s="35">
        <v>6.230844605382993E-2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13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13" customFormat="1" ht="26.25">
      <c r="A38" s="38" t="s">
        <v>46</v>
      </c>
      <c r="B38" s="23">
        <v>97855</v>
      </c>
      <c r="C38" s="23">
        <v>0</v>
      </c>
      <c r="D38" s="23">
        <v>0</v>
      </c>
      <c r="E38" s="26">
        <v>0</v>
      </c>
      <c r="F38" s="24">
        <v>0</v>
      </c>
    </row>
    <row r="39" spans="1:10" s="13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13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97855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1018245</v>
      </c>
      <c r="C45" s="42">
        <v>1018245</v>
      </c>
      <c r="D45" s="42">
        <v>0</v>
      </c>
      <c r="E45" s="42">
        <v>-1018245</v>
      </c>
      <c r="F45" s="35">
        <v>-1</v>
      </c>
    </row>
    <row r="46" spans="1:10" s="13" customFormat="1" ht="26.25">
      <c r="A46" s="29" t="s">
        <v>50</v>
      </c>
      <c r="B46" s="28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2181688</v>
      </c>
      <c r="C47" s="40">
        <v>2113807</v>
      </c>
      <c r="D47" s="40">
        <v>4750000</v>
      </c>
      <c r="E47" s="40">
        <v>2636193</v>
      </c>
      <c r="F47" s="35">
        <v>1.2471304144607336</v>
      </c>
    </row>
    <row r="48" spans="1:10" s="13" customFormat="1" ht="26.25">
      <c r="A48" s="29" t="s">
        <v>50</v>
      </c>
      <c r="B48" s="28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8"/>
      <c r="C52" s="28"/>
      <c r="D52" s="28"/>
      <c r="E52" s="28"/>
      <c r="F52" s="20"/>
    </row>
    <row r="53" spans="1:6" s="36" customFormat="1" ht="26.25">
      <c r="A53" s="46" t="s">
        <v>56</v>
      </c>
      <c r="B53" s="40">
        <v>6486744</v>
      </c>
      <c r="C53" s="40">
        <v>6517195</v>
      </c>
      <c r="D53" s="40">
        <v>8346066</v>
      </c>
      <c r="E53" s="40">
        <v>1828871</v>
      </c>
      <c r="F53" s="35">
        <v>0.28062241501136609</v>
      </c>
    </row>
    <row r="54" spans="1:6" s="13" customFormat="1" ht="26.25">
      <c r="A54" s="47"/>
      <c r="B54" s="28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3327659</v>
      </c>
      <c r="C57" s="19">
        <v>3110591</v>
      </c>
      <c r="D57" s="19">
        <v>4330355</v>
      </c>
      <c r="E57" s="19">
        <v>1219764</v>
      </c>
      <c r="F57" s="24">
        <v>0.39213255616054954</v>
      </c>
    </row>
    <row r="58" spans="1:6" s="13" customFormat="1" ht="26.25">
      <c r="A58" s="29" t="s">
        <v>59</v>
      </c>
      <c r="B58" s="28">
        <v>0</v>
      </c>
      <c r="C58" s="28">
        <v>0</v>
      </c>
      <c r="D58" s="28">
        <v>0</v>
      </c>
      <c r="E58" s="28">
        <v>0</v>
      </c>
      <c r="F58" s="24">
        <v>0</v>
      </c>
    </row>
    <row r="59" spans="1:6" s="13" customFormat="1" ht="26.25">
      <c r="A59" s="29" t="s">
        <v>60</v>
      </c>
      <c r="B59" s="28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13" customFormat="1" ht="26.25">
      <c r="A60" s="29" t="s">
        <v>61</v>
      </c>
      <c r="B60" s="28">
        <v>438492</v>
      </c>
      <c r="C60" s="28">
        <v>298594</v>
      </c>
      <c r="D60" s="28">
        <v>530400</v>
      </c>
      <c r="E60" s="28">
        <v>231806</v>
      </c>
      <c r="F60" s="24">
        <v>0.77632504336992703</v>
      </c>
    </row>
    <row r="61" spans="1:6" s="13" customFormat="1" ht="26.25">
      <c r="A61" s="29" t="s">
        <v>62</v>
      </c>
      <c r="B61" s="28">
        <v>854177</v>
      </c>
      <c r="C61" s="28">
        <v>856979</v>
      </c>
      <c r="D61" s="28">
        <v>918200</v>
      </c>
      <c r="E61" s="28">
        <v>61221</v>
      </c>
      <c r="F61" s="24">
        <v>7.1438156594268942E-2</v>
      </c>
    </row>
    <row r="62" spans="1:6" s="13" customFormat="1" ht="26.25">
      <c r="A62" s="29" t="s">
        <v>63</v>
      </c>
      <c r="B62" s="28">
        <v>1689998</v>
      </c>
      <c r="C62" s="28">
        <v>1740615</v>
      </c>
      <c r="D62" s="28">
        <v>2567111</v>
      </c>
      <c r="E62" s="28">
        <v>826496</v>
      </c>
      <c r="F62" s="24">
        <v>0.47482987334936216</v>
      </c>
    </row>
    <row r="63" spans="1:6" s="13" customFormat="1" ht="26.25">
      <c r="A63" s="29" t="s">
        <v>64</v>
      </c>
      <c r="B63" s="28">
        <v>0</v>
      </c>
      <c r="C63" s="28">
        <v>0</v>
      </c>
      <c r="D63" s="28">
        <v>0</v>
      </c>
      <c r="E63" s="28">
        <v>0</v>
      </c>
      <c r="F63" s="24">
        <v>0</v>
      </c>
    </row>
    <row r="64" spans="1:6" s="13" customFormat="1" ht="26.25">
      <c r="A64" s="29" t="s">
        <v>65</v>
      </c>
      <c r="B64" s="28">
        <v>176418</v>
      </c>
      <c r="C64" s="28">
        <v>510416</v>
      </c>
      <c r="D64" s="28">
        <v>0</v>
      </c>
      <c r="E64" s="28">
        <v>-510416</v>
      </c>
      <c r="F64" s="24">
        <v>-1</v>
      </c>
    </row>
    <row r="65" spans="1:6" s="36" customFormat="1" ht="26.25">
      <c r="A65" s="49" t="s">
        <v>66</v>
      </c>
      <c r="B65" s="34">
        <v>6486744</v>
      </c>
      <c r="C65" s="34">
        <v>6517195</v>
      </c>
      <c r="D65" s="34">
        <v>8346066</v>
      </c>
      <c r="E65" s="34">
        <v>1828871</v>
      </c>
      <c r="F65" s="35">
        <v>0.28062241501136609</v>
      </c>
    </row>
    <row r="66" spans="1:6" s="13" customFormat="1" ht="26.25">
      <c r="A66" s="29" t="s">
        <v>67</v>
      </c>
      <c r="B66" s="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8">
        <v>0</v>
      </c>
      <c r="C67" s="28">
        <v>0</v>
      </c>
      <c r="D67" s="28">
        <v>0</v>
      </c>
      <c r="E67" s="28">
        <v>0</v>
      </c>
      <c r="F67" s="24">
        <v>0</v>
      </c>
    </row>
    <row r="68" spans="1:6" s="13" customFormat="1" ht="26.25">
      <c r="A68" s="29" t="s">
        <v>69</v>
      </c>
      <c r="B68" s="28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13" customFormat="1" ht="26.25">
      <c r="A69" s="29" t="s">
        <v>70</v>
      </c>
      <c r="B69" s="28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50" t="s">
        <v>71</v>
      </c>
      <c r="B70" s="260">
        <v>6486744</v>
      </c>
      <c r="C70" s="51">
        <v>6517195</v>
      </c>
      <c r="D70" s="51">
        <v>8346066</v>
      </c>
      <c r="E70" s="51">
        <v>1828871</v>
      </c>
      <c r="F70" s="35">
        <v>0.28062241501136609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3979137</v>
      </c>
      <c r="C73" s="23">
        <v>3562521</v>
      </c>
      <c r="D73" s="23">
        <v>4000000</v>
      </c>
      <c r="E73" s="19">
        <v>437479</v>
      </c>
      <c r="F73" s="24">
        <v>0.12280039893098174</v>
      </c>
    </row>
    <row r="74" spans="1:6" s="13" customFormat="1" ht="26.25">
      <c r="A74" s="29" t="s">
        <v>74</v>
      </c>
      <c r="B74" s="255">
        <v>610252</v>
      </c>
      <c r="C74" s="23">
        <v>358170</v>
      </c>
      <c r="D74" s="23">
        <v>668000</v>
      </c>
      <c r="E74" s="28">
        <v>309830</v>
      </c>
      <c r="F74" s="24">
        <v>0.86503615601530004</v>
      </c>
    </row>
    <row r="75" spans="1:6" s="13" customFormat="1" ht="26.25">
      <c r="A75" s="29" t="s">
        <v>75</v>
      </c>
      <c r="B75" s="19">
        <v>1420921</v>
      </c>
      <c r="C75" s="23">
        <v>1017747</v>
      </c>
      <c r="D75" s="23">
        <v>1442000</v>
      </c>
      <c r="E75" s="28">
        <v>424253</v>
      </c>
      <c r="F75" s="24">
        <v>0.4168550730191295</v>
      </c>
    </row>
    <row r="76" spans="1:6" s="36" customFormat="1" ht="26.25">
      <c r="A76" s="49" t="s">
        <v>76</v>
      </c>
      <c r="B76" s="260">
        <v>6010310</v>
      </c>
      <c r="C76" s="51">
        <v>4938438</v>
      </c>
      <c r="D76" s="51">
        <v>6110000</v>
      </c>
      <c r="E76" s="34">
        <v>1171562</v>
      </c>
      <c r="F76" s="35">
        <v>0.23723331142357157</v>
      </c>
    </row>
    <row r="77" spans="1:6" s="13" customFormat="1" ht="26.25">
      <c r="A77" s="29" t="s">
        <v>77</v>
      </c>
      <c r="B77" s="255">
        <v>29749</v>
      </c>
      <c r="C77" s="26">
        <v>43691</v>
      </c>
      <c r="D77" s="26">
        <v>35400</v>
      </c>
      <c r="E77" s="28">
        <v>-8291</v>
      </c>
      <c r="F77" s="24">
        <v>-0.1897644823876771</v>
      </c>
    </row>
    <row r="78" spans="1:6" s="13" customFormat="1" ht="26.25">
      <c r="A78" s="29" t="s">
        <v>78</v>
      </c>
      <c r="B78" s="23">
        <v>21383</v>
      </c>
      <c r="C78" s="23">
        <v>583016</v>
      </c>
      <c r="D78" s="23">
        <v>844500</v>
      </c>
      <c r="E78" s="28">
        <v>261484</v>
      </c>
      <c r="F78" s="24">
        <v>0.44850227094968237</v>
      </c>
    </row>
    <row r="79" spans="1:6" s="13" customFormat="1" ht="26.25">
      <c r="A79" s="29" t="s">
        <v>79</v>
      </c>
      <c r="B79" s="19">
        <v>200731</v>
      </c>
      <c r="C79" s="19">
        <v>191422</v>
      </c>
      <c r="D79" s="19">
        <v>148000</v>
      </c>
      <c r="E79" s="28">
        <v>-43422</v>
      </c>
      <c r="F79" s="24">
        <v>-0.22683913029850278</v>
      </c>
    </row>
    <row r="80" spans="1:6" s="36" customFormat="1" ht="26.25">
      <c r="A80" s="32" t="s">
        <v>80</v>
      </c>
      <c r="B80" s="260">
        <v>251863</v>
      </c>
      <c r="C80" s="51">
        <v>818129</v>
      </c>
      <c r="D80" s="51">
        <v>1027900</v>
      </c>
      <c r="E80" s="34">
        <v>209771</v>
      </c>
      <c r="F80" s="35">
        <v>0.25640333003719462</v>
      </c>
    </row>
    <row r="81" spans="1:6" s="13" customFormat="1" ht="26.25">
      <c r="A81" s="29" t="s">
        <v>81</v>
      </c>
      <c r="B81" s="19">
        <v>203030</v>
      </c>
      <c r="C81" s="19">
        <v>146503</v>
      </c>
      <c r="D81" s="19">
        <v>241200</v>
      </c>
      <c r="E81" s="28">
        <v>94697</v>
      </c>
      <c r="F81" s="24">
        <v>0.64638266793171473</v>
      </c>
    </row>
    <row r="82" spans="1:6" s="13" customFormat="1" ht="26.25">
      <c r="A82" s="29" t="s">
        <v>82</v>
      </c>
      <c r="B82" s="28">
        <v>0</v>
      </c>
      <c r="C82" s="28">
        <v>566848</v>
      </c>
      <c r="D82" s="28">
        <v>890355</v>
      </c>
      <c r="E82" s="28">
        <v>323507</v>
      </c>
      <c r="F82" s="24">
        <v>0.57071207801738733</v>
      </c>
    </row>
    <row r="83" spans="1:6" s="13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28">
        <v>0</v>
      </c>
      <c r="C84" s="28">
        <v>42020</v>
      </c>
      <c r="D84" s="28">
        <v>57011</v>
      </c>
      <c r="E84" s="28">
        <v>14991</v>
      </c>
      <c r="F84" s="24">
        <v>0.35675868633983815</v>
      </c>
    </row>
    <row r="85" spans="1:6" s="36" customFormat="1" ht="26.25">
      <c r="A85" s="32" t="s">
        <v>85</v>
      </c>
      <c r="B85" s="34">
        <v>203030</v>
      </c>
      <c r="C85" s="34">
        <v>755371</v>
      </c>
      <c r="D85" s="34">
        <v>1188566</v>
      </c>
      <c r="E85" s="34">
        <v>433195</v>
      </c>
      <c r="F85" s="35">
        <v>0.57348640601770517</v>
      </c>
    </row>
    <row r="86" spans="1:6" s="13" customFormat="1" ht="26.25">
      <c r="A86" s="29" t="s">
        <v>86</v>
      </c>
      <c r="B86" s="28">
        <v>10173</v>
      </c>
      <c r="C86" s="28">
        <v>166</v>
      </c>
      <c r="D86" s="28">
        <v>6700</v>
      </c>
      <c r="E86" s="28">
        <v>6534</v>
      </c>
      <c r="F86" s="24">
        <v>39.361445783132531</v>
      </c>
    </row>
    <row r="87" spans="1:6" s="13" customFormat="1" ht="26.25">
      <c r="A87" s="29" t="s">
        <v>87</v>
      </c>
      <c r="B87" s="28">
        <v>11368</v>
      </c>
      <c r="C87" s="28">
        <v>0</v>
      </c>
      <c r="D87" s="28">
        <v>12000</v>
      </c>
      <c r="E87" s="28">
        <v>12000</v>
      </c>
      <c r="F87" s="24">
        <v>1</v>
      </c>
    </row>
    <row r="88" spans="1:6" s="13" customFormat="1" ht="26.25">
      <c r="A88" s="38" t="s">
        <v>88</v>
      </c>
      <c r="B88" s="28">
        <v>0</v>
      </c>
      <c r="C88" s="28">
        <v>5091</v>
      </c>
      <c r="D88" s="28">
        <v>900</v>
      </c>
      <c r="E88" s="28">
        <v>-4191</v>
      </c>
      <c r="F88" s="24">
        <v>-0.82321744254566886</v>
      </c>
    </row>
    <row r="89" spans="1:6" s="36" customFormat="1" ht="26.25">
      <c r="A89" s="52" t="s">
        <v>89</v>
      </c>
      <c r="B89" s="260">
        <v>21541</v>
      </c>
      <c r="C89" s="51">
        <v>5257</v>
      </c>
      <c r="D89" s="51">
        <v>19600</v>
      </c>
      <c r="E89" s="51">
        <v>14343</v>
      </c>
      <c r="F89" s="35">
        <v>2.7283621837549932</v>
      </c>
    </row>
    <row r="90" spans="1:6" s="13" customFormat="1" ht="26.25">
      <c r="A90" s="38" t="s">
        <v>90</v>
      </c>
      <c r="B90" s="28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36" customFormat="1" ht="27" thickBot="1">
      <c r="A91" s="53" t="s">
        <v>71</v>
      </c>
      <c r="B91" s="263">
        <v>6486744</v>
      </c>
      <c r="C91" s="54">
        <v>6517195</v>
      </c>
      <c r="D91" s="55">
        <v>8346066</v>
      </c>
      <c r="E91" s="54">
        <v>1828871</v>
      </c>
      <c r="F91" s="56">
        <v>0.28062241501136609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  <row r="97" spans="2:2">
      <c r="B97" s="66">
        <v>0</v>
      </c>
    </row>
  </sheetData>
  <pageMargins left="0.7" right="0.7" top="0.3" bottom="0.3" header="0.3" footer="0.3"/>
  <pageSetup scale="3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6"/>
  <sheetViews>
    <sheetView topLeftCell="A49" zoomScale="50" zoomScaleNormal="50" workbookViewId="0">
      <selection activeCell="A88" sqref="A88"/>
    </sheetView>
  </sheetViews>
  <sheetFormatPr defaultRowHeight="15.75"/>
  <cols>
    <col min="1" max="1" width="121.140625" style="75" customWidth="1"/>
    <col min="2" max="2" width="32.7109375" style="76" customWidth="1"/>
    <col min="3" max="4" width="32.85546875" style="76" customWidth="1"/>
    <col min="5" max="5" width="30.28515625" style="75" customWidth="1"/>
    <col min="6" max="6" width="25.140625" style="75" customWidth="1"/>
    <col min="7" max="16384" width="9.140625" style="75"/>
  </cols>
  <sheetData>
    <row r="1" spans="1:6" s="69" customFormat="1" ht="46.5">
      <c r="A1" s="1" t="s">
        <v>0</v>
      </c>
      <c r="D1" s="277" t="s">
        <v>1</v>
      </c>
      <c r="E1" s="4" t="s">
        <v>0</v>
      </c>
      <c r="F1" s="281"/>
    </row>
    <row r="2" spans="1:6" s="69" customFormat="1" ht="46.5">
      <c r="A2" s="1" t="s">
        <v>2</v>
      </c>
      <c r="B2" s="2"/>
      <c r="C2" s="2"/>
      <c r="D2" s="2"/>
      <c r="E2" s="67"/>
      <c r="F2" s="67"/>
    </row>
    <row r="3" spans="1:6" s="69" customFormat="1" ht="47.25" thickBot="1">
      <c r="A3" s="7" t="s">
        <v>3</v>
      </c>
      <c r="B3" s="8"/>
      <c r="C3" s="8"/>
      <c r="D3" s="8"/>
      <c r="E3" s="67"/>
      <c r="F3" s="67"/>
    </row>
    <row r="4" spans="1:6" s="70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71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70" customFormat="1" ht="26.25">
      <c r="A6" s="18" t="s">
        <v>14</v>
      </c>
      <c r="B6" s="19"/>
      <c r="C6" s="19"/>
      <c r="D6" s="19"/>
      <c r="E6" s="19"/>
      <c r="F6" s="20"/>
    </row>
    <row r="7" spans="1:6" s="70" customFormat="1" ht="26.25">
      <c r="A7" s="18" t="s">
        <v>15</v>
      </c>
      <c r="B7" s="19"/>
      <c r="C7" s="19"/>
      <c r="D7" s="19"/>
      <c r="E7" s="19"/>
      <c r="F7" s="21"/>
    </row>
    <row r="8" spans="1:6" s="70" customFormat="1" ht="26.25">
      <c r="A8" s="22" t="s">
        <v>16</v>
      </c>
      <c r="B8" s="23">
        <v>13851410</v>
      </c>
      <c r="C8" s="23">
        <v>15942938</v>
      </c>
      <c r="D8" s="23">
        <v>18444775</v>
      </c>
      <c r="E8" s="23">
        <v>2501837</v>
      </c>
      <c r="F8" s="24">
        <v>0.15692446398524537</v>
      </c>
    </row>
    <row r="9" spans="1:6" s="70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70" customFormat="1" ht="26.25">
      <c r="A10" s="25" t="s">
        <v>18</v>
      </c>
      <c r="B10" s="255">
        <v>30639654</v>
      </c>
      <c r="C10" s="255">
        <v>36400000</v>
      </c>
      <c r="D10" s="255">
        <v>30443600</v>
      </c>
      <c r="E10" s="255">
        <v>-5956400</v>
      </c>
      <c r="F10" s="24">
        <v>-0.16363736263736264</v>
      </c>
    </row>
    <row r="11" spans="1:6" s="70" customFormat="1" ht="26.25">
      <c r="A11" s="27" t="s">
        <v>19</v>
      </c>
      <c r="B11" s="28">
        <v>0</v>
      </c>
      <c r="C11" s="28">
        <v>0</v>
      </c>
      <c r="D11" s="28">
        <v>113600</v>
      </c>
      <c r="E11" s="255">
        <v>113600</v>
      </c>
      <c r="F11" s="24">
        <v>1</v>
      </c>
    </row>
    <row r="12" spans="1:6" s="70" customFormat="1" ht="26.25">
      <c r="A12" s="29" t="s">
        <v>20</v>
      </c>
      <c r="B12" s="28">
        <v>0</v>
      </c>
      <c r="C12" s="28">
        <v>0</v>
      </c>
      <c r="D12" s="28">
        <v>0</v>
      </c>
      <c r="E12" s="255">
        <v>0</v>
      </c>
      <c r="F12" s="24">
        <v>0</v>
      </c>
    </row>
    <row r="13" spans="1:6" s="70" customFormat="1" ht="26.25">
      <c r="A13" s="29" t="s">
        <v>21</v>
      </c>
      <c r="B13" s="28">
        <v>0</v>
      </c>
      <c r="C13" s="28">
        <v>0</v>
      </c>
      <c r="D13" s="28">
        <v>0</v>
      </c>
      <c r="E13" s="255">
        <v>0</v>
      </c>
      <c r="F13" s="24">
        <v>0</v>
      </c>
    </row>
    <row r="14" spans="1:6" s="70" customFormat="1" ht="26.25">
      <c r="A14" s="29" t="s">
        <v>22</v>
      </c>
      <c r="B14" s="28">
        <v>0</v>
      </c>
      <c r="C14" s="28">
        <v>0</v>
      </c>
      <c r="D14" s="28">
        <v>0</v>
      </c>
      <c r="E14" s="255">
        <v>0</v>
      </c>
      <c r="F14" s="24">
        <v>0</v>
      </c>
    </row>
    <row r="15" spans="1:6" s="70" customFormat="1" ht="26.25">
      <c r="A15" s="29" t="s">
        <v>23</v>
      </c>
      <c r="B15" s="28">
        <v>0</v>
      </c>
      <c r="C15" s="28">
        <v>0</v>
      </c>
      <c r="D15" s="28">
        <v>0</v>
      </c>
      <c r="E15" s="255">
        <v>0</v>
      </c>
      <c r="F15" s="24">
        <v>0</v>
      </c>
    </row>
    <row r="16" spans="1:6" s="70" customFormat="1" ht="26.25">
      <c r="A16" s="29" t="s">
        <v>24</v>
      </c>
      <c r="B16" s="28">
        <v>0</v>
      </c>
      <c r="C16" s="28">
        <v>0</v>
      </c>
      <c r="D16" s="28">
        <v>0</v>
      </c>
      <c r="E16" s="255">
        <v>0</v>
      </c>
      <c r="F16" s="24">
        <v>0</v>
      </c>
    </row>
    <row r="17" spans="1:6" s="70" customFormat="1" ht="26.25">
      <c r="A17" s="29" t="s">
        <v>25</v>
      </c>
      <c r="B17" s="28">
        <v>0</v>
      </c>
      <c r="C17" s="28">
        <v>0</v>
      </c>
      <c r="D17" s="28">
        <v>0</v>
      </c>
      <c r="E17" s="255">
        <v>0</v>
      </c>
      <c r="F17" s="24">
        <v>0</v>
      </c>
    </row>
    <row r="18" spans="1:6" s="70" customFormat="1" ht="26.25">
      <c r="A18" s="29" t="s">
        <v>26</v>
      </c>
      <c r="B18" s="28">
        <v>0</v>
      </c>
      <c r="C18" s="28">
        <v>0</v>
      </c>
      <c r="D18" s="28">
        <v>0</v>
      </c>
      <c r="E18" s="255">
        <v>0</v>
      </c>
      <c r="F18" s="24">
        <v>0</v>
      </c>
    </row>
    <row r="19" spans="1:6" s="70" customFormat="1" ht="26.25">
      <c r="A19" s="29" t="s">
        <v>27</v>
      </c>
      <c r="B19" s="28">
        <v>0</v>
      </c>
      <c r="C19" s="28">
        <v>0</v>
      </c>
      <c r="D19" s="28">
        <v>0</v>
      </c>
      <c r="E19" s="255">
        <v>0</v>
      </c>
      <c r="F19" s="24">
        <v>0</v>
      </c>
    </row>
    <row r="20" spans="1:6" s="70" customFormat="1" ht="26.25">
      <c r="A20" s="29" t="s">
        <v>28</v>
      </c>
      <c r="B20" s="28">
        <v>0</v>
      </c>
      <c r="C20" s="28">
        <v>0</v>
      </c>
      <c r="D20" s="28">
        <v>0</v>
      </c>
      <c r="E20" s="255">
        <v>0</v>
      </c>
      <c r="F20" s="24">
        <v>0</v>
      </c>
    </row>
    <row r="21" spans="1:6" s="70" customFormat="1" ht="26.25">
      <c r="A21" s="29" t="s">
        <v>29</v>
      </c>
      <c r="B21" s="28">
        <v>0</v>
      </c>
      <c r="C21" s="28">
        <v>0</v>
      </c>
      <c r="D21" s="28">
        <v>0</v>
      </c>
      <c r="E21" s="255">
        <v>0</v>
      </c>
      <c r="F21" s="24">
        <v>0</v>
      </c>
    </row>
    <row r="22" spans="1:6" s="70" customFormat="1" ht="26.25">
      <c r="A22" s="29" t="s">
        <v>30</v>
      </c>
      <c r="B22" s="28">
        <v>30572300</v>
      </c>
      <c r="C22" s="28">
        <v>36000000</v>
      </c>
      <c r="D22" s="28">
        <v>29730000</v>
      </c>
      <c r="E22" s="255">
        <v>-6270000</v>
      </c>
      <c r="F22" s="24">
        <v>-0.17416666666666666</v>
      </c>
    </row>
    <row r="23" spans="1:6" s="70" customFormat="1" ht="26.25">
      <c r="A23" s="256" t="s">
        <v>31</v>
      </c>
      <c r="B23" s="28">
        <v>67354</v>
      </c>
      <c r="C23" s="28">
        <v>400000</v>
      </c>
      <c r="D23" s="28">
        <v>400000</v>
      </c>
      <c r="E23" s="255">
        <v>0</v>
      </c>
      <c r="F23" s="24">
        <v>0</v>
      </c>
    </row>
    <row r="24" spans="1:6" s="70" customFormat="1" ht="26.25">
      <c r="A24" s="256" t="s">
        <v>32</v>
      </c>
      <c r="B24" s="28">
        <v>0</v>
      </c>
      <c r="C24" s="28">
        <v>0</v>
      </c>
      <c r="D24" s="28">
        <v>0</v>
      </c>
      <c r="E24" s="255">
        <v>0</v>
      </c>
      <c r="F24" s="24">
        <v>0</v>
      </c>
    </row>
    <row r="25" spans="1:6" s="70" customFormat="1" ht="26.25">
      <c r="A25" s="256" t="s">
        <v>33</v>
      </c>
      <c r="B25" s="28">
        <v>0</v>
      </c>
      <c r="C25" s="28">
        <v>0</v>
      </c>
      <c r="D25" s="28">
        <v>0</v>
      </c>
      <c r="E25" s="255">
        <v>0</v>
      </c>
      <c r="F25" s="24">
        <v>0</v>
      </c>
    </row>
    <row r="26" spans="1:6" s="70" customFormat="1" ht="26.25">
      <c r="A26" s="256" t="s">
        <v>34</v>
      </c>
      <c r="B26" s="28">
        <v>0</v>
      </c>
      <c r="C26" s="28">
        <v>0</v>
      </c>
      <c r="D26" s="28">
        <v>0</v>
      </c>
      <c r="E26" s="255">
        <v>0</v>
      </c>
      <c r="F26" s="24">
        <v>0</v>
      </c>
    </row>
    <row r="27" spans="1:6" s="70" customFormat="1" ht="26.25">
      <c r="A27" s="256" t="s">
        <v>35</v>
      </c>
      <c r="B27" s="28">
        <v>0</v>
      </c>
      <c r="C27" s="28">
        <v>0</v>
      </c>
      <c r="D27" s="28">
        <v>0</v>
      </c>
      <c r="E27" s="255">
        <v>0</v>
      </c>
      <c r="F27" s="24">
        <v>0</v>
      </c>
    </row>
    <row r="28" spans="1:6" s="70" customFormat="1" ht="26.25">
      <c r="A28" s="256" t="s">
        <v>36</v>
      </c>
      <c r="B28" s="28">
        <v>0</v>
      </c>
      <c r="C28" s="28">
        <v>0</v>
      </c>
      <c r="D28" s="28">
        <v>0</v>
      </c>
      <c r="E28" s="255">
        <v>0</v>
      </c>
      <c r="F28" s="24">
        <v>0</v>
      </c>
    </row>
    <row r="29" spans="1:6" s="70" customFormat="1" ht="26.25">
      <c r="A29" s="267" t="s">
        <v>144</v>
      </c>
      <c r="B29" s="28">
        <v>0</v>
      </c>
      <c r="C29" s="28">
        <v>0</v>
      </c>
      <c r="D29" s="28">
        <v>200000</v>
      </c>
      <c r="E29" s="255">
        <v>200000</v>
      </c>
      <c r="F29" s="24">
        <v>1</v>
      </c>
    </row>
    <row r="30" spans="1:6" s="70" customFormat="1" ht="26.25">
      <c r="A30" s="31" t="s">
        <v>37</v>
      </c>
      <c r="B30" s="28"/>
      <c r="C30" s="28"/>
      <c r="D30" s="28"/>
      <c r="E30" s="28"/>
      <c r="F30" s="20"/>
    </row>
    <row r="31" spans="1:6" s="70" customFormat="1" ht="26.25">
      <c r="A31" s="27" t="s">
        <v>38</v>
      </c>
      <c r="B31" s="23">
        <v>0</v>
      </c>
      <c r="C31" s="23">
        <v>0</v>
      </c>
      <c r="D31" s="23">
        <v>0</v>
      </c>
      <c r="E31" s="23">
        <v>0</v>
      </c>
      <c r="F31" s="24">
        <v>0</v>
      </c>
    </row>
    <row r="32" spans="1:6" s="70" customFormat="1" ht="26.25">
      <c r="A32" s="32" t="s">
        <v>39</v>
      </c>
      <c r="B32" s="28"/>
      <c r="C32" s="28"/>
      <c r="D32" s="28"/>
      <c r="E32" s="28"/>
      <c r="F32" s="20"/>
    </row>
    <row r="33" spans="1:10" s="70" customFormat="1" ht="26.25">
      <c r="A33" s="27" t="s">
        <v>38</v>
      </c>
      <c r="B33" s="19">
        <v>0</v>
      </c>
      <c r="C33" s="19">
        <v>0</v>
      </c>
      <c r="D33" s="19">
        <v>0</v>
      </c>
      <c r="E33" s="23">
        <v>0</v>
      </c>
      <c r="F33" s="24">
        <v>0</v>
      </c>
    </row>
    <row r="34" spans="1:10" s="70" customFormat="1" ht="26.25">
      <c r="A34" s="29" t="s">
        <v>40</v>
      </c>
      <c r="B34" s="28"/>
      <c r="C34" s="28"/>
      <c r="D34" s="28"/>
      <c r="E34" s="255"/>
      <c r="F34" s="24" t="s">
        <v>41</v>
      </c>
    </row>
    <row r="35" spans="1:10" s="72" customFormat="1" ht="26.25">
      <c r="A35" s="257" t="s">
        <v>42</v>
      </c>
      <c r="B35" s="34">
        <v>44491064</v>
      </c>
      <c r="C35" s="34">
        <v>52342938</v>
      </c>
      <c r="D35" s="34">
        <v>48888375</v>
      </c>
      <c r="E35" s="34">
        <v>-3454563</v>
      </c>
      <c r="F35" s="35">
        <v>-6.5998645318686544E-2</v>
      </c>
    </row>
    <row r="36" spans="1:10" s="70" customFormat="1" ht="26.25">
      <c r="A36" s="31" t="s">
        <v>43</v>
      </c>
      <c r="B36" s="28"/>
      <c r="C36" s="28"/>
      <c r="D36" s="28"/>
      <c r="E36" s="28"/>
      <c r="F36" s="20"/>
    </row>
    <row r="37" spans="1:10" s="70" customFormat="1" ht="26.25">
      <c r="A37" s="37" t="s">
        <v>44</v>
      </c>
      <c r="B37" s="23">
        <v>0</v>
      </c>
      <c r="C37" s="23">
        <v>0</v>
      </c>
      <c r="D37" s="23">
        <v>0</v>
      </c>
      <c r="E37" s="23">
        <v>0</v>
      </c>
      <c r="F37" s="24">
        <v>0</v>
      </c>
    </row>
    <row r="38" spans="1:10" s="70" customFormat="1" ht="26.25">
      <c r="A38" s="258" t="s">
        <v>45</v>
      </c>
      <c r="B38" s="23">
        <v>0</v>
      </c>
      <c r="C38" s="23">
        <v>0</v>
      </c>
      <c r="D38" s="23">
        <v>0</v>
      </c>
      <c r="E38" s="255">
        <v>0</v>
      </c>
      <c r="F38" s="24">
        <v>0</v>
      </c>
    </row>
    <row r="39" spans="1:10" s="70" customFormat="1" ht="26.25">
      <c r="A39" s="258" t="s">
        <v>46</v>
      </c>
      <c r="B39" s="23">
        <v>0</v>
      </c>
      <c r="C39" s="23">
        <v>0</v>
      </c>
      <c r="D39" s="23">
        <v>0</v>
      </c>
      <c r="E39" s="255">
        <v>0</v>
      </c>
      <c r="F39" s="24">
        <v>0</v>
      </c>
    </row>
    <row r="40" spans="1:10" s="70" customFormat="1" ht="26.25">
      <c r="A40" s="258" t="s">
        <v>47</v>
      </c>
      <c r="B40" s="23">
        <v>0</v>
      </c>
      <c r="C40" s="23">
        <v>0</v>
      </c>
      <c r="D40" s="23">
        <v>0</v>
      </c>
      <c r="E40" s="255">
        <v>0</v>
      </c>
      <c r="F40" s="24">
        <v>0</v>
      </c>
    </row>
    <row r="41" spans="1:10" s="70" customFormat="1" ht="26.25">
      <c r="A41" s="39" t="s">
        <v>48</v>
      </c>
      <c r="B41" s="23">
        <v>0</v>
      </c>
      <c r="C41" s="23">
        <v>0</v>
      </c>
      <c r="D41" s="23">
        <v>0</v>
      </c>
      <c r="E41" s="255">
        <v>0</v>
      </c>
      <c r="F41" s="24">
        <v>0</v>
      </c>
    </row>
    <row r="42" spans="1:10" s="72" customFormat="1" ht="26.25">
      <c r="A42" s="31" t="s">
        <v>49</v>
      </c>
      <c r="B42" s="40">
        <v>0</v>
      </c>
      <c r="C42" s="40">
        <v>0</v>
      </c>
      <c r="D42" s="40">
        <v>0</v>
      </c>
      <c r="E42" s="40">
        <v>0</v>
      </c>
      <c r="F42" s="35">
        <v>0</v>
      </c>
      <c r="J42" s="72" t="s">
        <v>50</v>
      </c>
    </row>
    <row r="43" spans="1:10" s="70" customFormat="1" ht="26.25">
      <c r="A43" s="29" t="s">
        <v>50</v>
      </c>
      <c r="B43" s="28"/>
      <c r="C43" s="28"/>
      <c r="D43" s="28"/>
      <c r="E43" s="28"/>
      <c r="F43" s="20"/>
    </row>
    <row r="44" spans="1:10" s="72" customFormat="1" ht="26.25">
      <c r="A44" s="41" t="s">
        <v>51</v>
      </c>
      <c r="B44" s="42">
        <v>7141579</v>
      </c>
      <c r="C44" s="42">
        <v>11390108</v>
      </c>
      <c r="D44" s="42">
        <v>11540108</v>
      </c>
      <c r="E44" s="42">
        <v>150000</v>
      </c>
      <c r="F44" s="35">
        <v>1.3169322011696466E-2</v>
      </c>
    </row>
    <row r="45" spans="1:10" s="70" customFormat="1" ht="26.25">
      <c r="A45" s="29" t="s">
        <v>50</v>
      </c>
      <c r="B45" s="28"/>
      <c r="C45" s="28"/>
      <c r="D45" s="28"/>
      <c r="E45" s="28"/>
      <c r="F45" s="20"/>
    </row>
    <row r="46" spans="1:10" s="72" customFormat="1" ht="26.25">
      <c r="A46" s="41" t="s">
        <v>52</v>
      </c>
      <c r="B46" s="42">
        <v>0</v>
      </c>
      <c r="C46" s="42">
        <v>0</v>
      </c>
      <c r="D46" s="42">
        <v>0</v>
      </c>
      <c r="E46" s="42">
        <v>0</v>
      </c>
      <c r="F46" s="35">
        <v>0</v>
      </c>
    </row>
    <row r="47" spans="1:10" s="70" customFormat="1" ht="26.25">
      <c r="A47" s="29" t="s">
        <v>50</v>
      </c>
      <c r="B47" s="28"/>
      <c r="C47" s="28"/>
      <c r="D47" s="28"/>
      <c r="E47" s="28"/>
      <c r="F47" s="20"/>
    </row>
    <row r="48" spans="1:10" s="72" customFormat="1" ht="26.25">
      <c r="A48" s="31" t="s">
        <v>53</v>
      </c>
      <c r="B48" s="40">
        <v>576476</v>
      </c>
      <c r="C48" s="40">
        <v>2000000</v>
      </c>
      <c r="D48" s="40">
        <v>1426044</v>
      </c>
      <c r="E48" s="40">
        <v>-573956</v>
      </c>
      <c r="F48" s="35">
        <v>-0.28697800000000001</v>
      </c>
    </row>
    <row r="49" spans="1:6" s="70" customFormat="1" ht="26.25">
      <c r="A49" s="29" t="s">
        <v>50</v>
      </c>
      <c r="B49" s="28"/>
      <c r="C49" s="28"/>
      <c r="D49" s="28"/>
      <c r="E49" s="28"/>
      <c r="F49" s="20"/>
    </row>
    <row r="50" spans="1:6" s="72" customFormat="1" ht="26.25">
      <c r="A50" s="43" t="s">
        <v>54</v>
      </c>
      <c r="B50" s="44">
        <v>11818429</v>
      </c>
      <c r="C50" s="44">
        <v>16063873</v>
      </c>
      <c r="D50" s="44">
        <v>15563873</v>
      </c>
      <c r="E50" s="44">
        <v>-500000</v>
      </c>
      <c r="F50" s="35">
        <v>-3.1125744084256644E-2</v>
      </c>
    </row>
    <row r="51" spans="1:6" s="70" customFormat="1" ht="26.25">
      <c r="A51" s="31"/>
      <c r="B51" s="19"/>
      <c r="C51" s="19"/>
      <c r="D51" s="19"/>
      <c r="E51" s="19"/>
      <c r="F51" s="45"/>
    </row>
    <row r="52" spans="1:6" s="72" customFormat="1" ht="26.25">
      <c r="A52" s="31" t="s">
        <v>55</v>
      </c>
      <c r="B52" s="40">
        <v>0</v>
      </c>
      <c r="C52" s="40">
        <v>0</v>
      </c>
      <c r="D52" s="40">
        <v>0</v>
      </c>
      <c r="E52" s="44">
        <v>0</v>
      </c>
      <c r="F52" s="35">
        <v>0</v>
      </c>
    </row>
    <row r="53" spans="1:6" s="70" customFormat="1" ht="26.25">
      <c r="A53" s="29"/>
      <c r="B53" s="28"/>
      <c r="C53" s="28"/>
      <c r="D53" s="28"/>
      <c r="E53" s="28"/>
      <c r="F53" s="20"/>
    </row>
    <row r="54" spans="1:6" s="72" customFormat="1" ht="26.25">
      <c r="A54" s="46" t="s">
        <v>56</v>
      </c>
      <c r="B54" s="40">
        <v>64027548</v>
      </c>
      <c r="C54" s="40">
        <v>81796919</v>
      </c>
      <c r="D54" s="40">
        <v>77418400</v>
      </c>
      <c r="E54" s="40">
        <v>-4378519</v>
      </c>
      <c r="F54" s="35">
        <v>-5.3529143316510493E-2</v>
      </c>
    </row>
    <row r="55" spans="1:6" s="70" customFormat="1" ht="26.25">
      <c r="A55" s="47"/>
      <c r="B55" s="28"/>
      <c r="C55" s="28"/>
      <c r="D55" s="28"/>
      <c r="E55" s="28"/>
      <c r="F55" s="20" t="s">
        <v>50</v>
      </c>
    </row>
    <row r="56" spans="1:6" s="70" customFormat="1" ht="26.25">
      <c r="A56" s="48"/>
      <c r="B56" s="19"/>
      <c r="C56" s="19"/>
      <c r="D56" s="19"/>
      <c r="E56" s="19"/>
      <c r="F56" s="21" t="s">
        <v>50</v>
      </c>
    </row>
    <row r="57" spans="1:6" s="70" customFormat="1" ht="26.25">
      <c r="A57" s="46" t="s">
        <v>57</v>
      </c>
      <c r="B57" s="19"/>
      <c r="C57" s="19"/>
      <c r="D57" s="19"/>
      <c r="E57" s="19"/>
      <c r="F57" s="21"/>
    </row>
    <row r="58" spans="1:6" s="70" customFormat="1" ht="26.25">
      <c r="A58" s="27" t="s">
        <v>58</v>
      </c>
      <c r="B58" s="19">
        <v>0</v>
      </c>
      <c r="C58" s="19">
        <v>0</v>
      </c>
      <c r="D58" s="19">
        <v>0</v>
      </c>
      <c r="E58" s="19">
        <v>0</v>
      </c>
      <c r="F58" s="24">
        <v>0</v>
      </c>
    </row>
    <row r="59" spans="1:6" s="70" customFormat="1" ht="26.25">
      <c r="A59" s="29" t="s">
        <v>59</v>
      </c>
      <c r="B59" s="28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70" customFormat="1" ht="26.25">
      <c r="A60" s="29" t="s">
        <v>60</v>
      </c>
      <c r="B60" s="28">
        <v>0</v>
      </c>
      <c r="C60" s="28">
        <v>0</v>
      </c>
      <c r="D60" s="28">
        <v>0</v>
      </c>
      <c r="E60" s="28">
        <v>0</v>
      </c>
      <c r="F60" s="24">
        <v>0</v>
      </c>
    </row>
    <row r="61" spans="1:6" s="70" customFormat="1" ht="26.25">
      <c r="A61" s="29" t="s">
        <v>61</v>
      </c>
      <c r="B61" s="28">
        <v>0</v>
      </c>
      <c r="C61" s="28">
        <v>0</v>
      </c>
      <c r="D61" s="28">
        <v>0</v>
      </c>
      <c r="E61" s="28">
        <v>0</v>
      </c>
      <c r="F61" s="24">
        <v>0</v>
      </c>
    </row>
    <row r="62" spans="1:6" s="70" customFormat="1" ht="26.25">
      <c r="A62" s="29" t="s">
        <v>62</v>
      </c>
      <c r="B62" s="28">
        <v>0</v>
      </c>
      <c r="C62" s="28">
        <v>0</v>
      </c>
      <c r="D62" s="28">
        <v>0</v>
      </c>
      <c r="E62" s="28">
        <v>0</v>
      </c>
      <c r="F62" s="24">
        <v>0</v>
      </c>
    </row>
    <row r="63" spans="1:6" s="70" customFormat="1" ht="26.25">
      <c r="A63" s="29" t="s">
        <v>63</v>
      </c>
      <c r="B63" s="28">
        <v>64027548</v>
      </c>
      <c r="C63" s="28">
        <v>81796919</v>
      </c>
      <c r="D63" s="28">
        <v>77418400</v>
      </c>
      <c r="E63" s="28">
        <v>-4378519</v>
      </c>
      <c r="F63" s="24">
        <v>-5.3529143316510493E-2</v>
      </c>
    </row>
    <row r="64" spans="1:6" s="70" customFormat="1" ht="26.25">
      <c r="A64" s="29" t="s">
        <v>64</v>
      </c>
      <c r="B64" s="28">
        <v>0</v>
      </c>
      <c r="C64" s="28">
        <v>0</v>
      </c>
      <c r="D64" s="28">
        <v>0</v>
      </c>
      <c r="E64" s="28">
        <v>0</v>
      </c>
      <c r="F64" s="24">
        <v>0</v>
      </c>
    </row>
    <row r="65" spans="1:6" s="70" customFormat="1" ht="26.25">
      <c r="A65" s="29" t="s">
        <v>65</v>
      </c>
      <c r="B65" s="28">
        <v>0</v>
      </c>
      <c r="C65" s="28">
        <v>0</v>
      </c>
      <c r="D65" s="28">
        <v>0</v>
      </c>
      <c r="E65" s="28">
        <v>0</v>
      </c>
      <c r="F65" s="24">
        <v>0</v>
      </c>
    </row>
    <row r="66" spans="1:6" s="72" customFormat="1" ht="26.25">
      <c r="A66" s="49" t="s">
        <v>66</v>
      </c>
      <c r="B66" s="34">
        <v>64027548</v>
      </c>
      <c r="C66" s="34">
        <v>81796919</v>
      </c>
      <c r="D66" s="34">
        <v>77418400</v>
      </c>
      <c r="E66" s="34">
        <v>-4378519</v>
      </c>
      <c r="F66" s="35">
        <v>-5.3529143316510493E-2</v>
      </c>
    </row>
    <row r="67" spans="1:6" s="70" customFormat="1" ht="26.25">
      <c r="A67" s="29" t="s">
        <v>67</v>
      </c>
      <c r="B67" s="28">
        <v>0</v>
      </c>
      <c r="C67" s="28">
        <v>0</v>
      </c>
      <c r="D67" s="28">
        <v>0</v>
      </c>
      <c r="E67" s="28">
        <v>0</v>
      </c>
      <c r="F67" s="24">
        <v>0</v>
      </c>
    </row>
    <row r="68" spans="1:6" s="70" customFormat="1" ht="26.25">
      <c r="A68" s="29" t="s">
        <v>68</v>
      </c>
      <c r="B68" s="28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70" customFormat="1" ht="26.25">
      <c r="A69" s="29" t="s">
        <v>69</v>
      </c>
      <c r="B69" s="28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70" customFormat="1" ht="26.25">
      <c r="A70" s="29" t="s">
        <v>70</v>
      </c>
      <c r="B70" s="28">
        <v>0</v>
      </c>
      <c r="C70" s="28">
        <v>0</v>
      </c>
      <c r="D70" s="28">
        <v>0</v>
      </c>
      <c r="E70" s="28">
        <v>0</v>
      </c>
      <c r="F70" s="24">
        <v>0</v>
      </c>
    </row>
    <row r="71" spans="1:6" s="72" customFormat="1" ht="26.25">
      <c r="A71" s="259" t="s">
        <v>71</v>
      </c>
      <c r="B71" s="260">
        <v>64027548</v>
      </c>
      <c r="C71" s="260">
        <v>81796919</v>
      </c>
      <c r="D71" s="260">
        <v>77418400</v>
      </c>
      <c r="E71" s="260">
        <v>-4378519</v>
      </c>
      <c r="F71" s="35">
        <v>-5.3529143316510493E-2</v>
      </c>
    </row>
    <row r="72" spans="1:6" s="70" customFormat="1" ht="26.25">
      <c r="A72" s="48"/>
      <c r="B72" s="19"/>
      <c r="C72" s="19"/>
      <c r="D72" s="19"/>
      <c r="E72" s="19"/>
      <c r="F72" s="21"/>
    </row>
    <row r="73" spans="1:6" s="70" customFormat="1" ht="26.25">
      <c r="A73" s="46" t="s">
        <v>72</v>
      </c>
      <c r="B73" s="19"/>
      <c r="C73" s="19"/>
      <c r="D73" s="19"/>
      <c r="E73" s="19"/>
      <c r="F73" s="21"/>
    </row>
    <row r="74" spans="1:6" s="70" customFormat="1" ht="26.25">
      <c r="A74" s="27" t="s">
        <v>73</v>
      </c>
      <c r="B74" s="23">
        <v>4912672</v>
      </c>
      <c r="C74" s="23">
        <v>5911530</v>
      </c>
      <c r="D74" s="23">
        <v>4705634</v>
      </c>
      <c r="E74" s="19">
        <v>-1205896</v>
      </c>
      <c r="F74" s="24">
        <v>-0.20399050668777796</v>
      </c>
    </row>
    <row r="75" spans="1:6" s="70" customFormat="1" ht="26.25">
      <c r="A75" s="29" t="s">
        <v>74</v>
      </c>
      <c r="B75" s="255">
        <v>57292</v>
      </c>
      <c r="C75" s="23">
        <v>91044</v>
      </c>
      <c r="D75" s="23">
        <v>180050</v>
      </c>
      <c r="E75" s="28">
        <v>89006</v>
      </c>
      <c r="F75" s="24">
        <v>0.97761521901498172</v>
      </c>
    </row>
    <row r="76" spans="1:6" s="70" customFormat="1" ht="26.25">
      <c r="A76" s="29" t="s">
        <v>75</v>
      </c>
      <c r="B76" s="19">
        <v>1563766</v>
      </c>
      <c r="C76" s="23">
        <v>1786344</v>
      </c>
      <c r="D76" s="23">
        <v>1699841</v>
      </c>
      <c r="E76" s="28">
        <v>-86503</v>
      </c>
      <c r="F76" s="24">
        <v>-4.8424603547804902E-2</v>
      </c>
    </row>
    <row r="77" spans="1:6" s="72" customFormat="1" ht="26.25">
      <c r="A77" s="49" t="s">
        <v>76</v>
      </c>
      <c r="B77" s="260">
        <v>6533730</v>
      </c>
      <c r="C77" s="260">
        <v>7788918</v>
      </c>
      <c r="D77" s="260">
        <v>6585525</v>
      </c>
      <c r="E77" s="34">
        <v>-1203393</v>
      </c>
      <c r="F77" s="35">
        <v>-0.15450066363518014</v>
      </c>
    </row>
    <row r="78" spans="1:6" s="70" customFormat="1" ht="26.25">
      <c r="A78" s="29" t="s">
        <v>77</v>
      </c>
      <c r="B78" s="255">
        <v>63215</v>
      </c>
      <c r="C78" s="255">
        <v>78689</v>
      </c>
      <c r="D78" s="255">
        <v>109319</v>
      </c>
      <c r="E78" s="28">
        <v>30630</v>
      </c>
      <c r="F78" s="24">
        <v>0.38925389825769802</v>
      </c>
    </row>
    <row r="79" spans="1:6" s="70" customFormat="1" ht="26.25">
      <c r="A79" s="29" t="s">
        <v>78</v>
      </c>
      <c r="B79" s="23">
        <v>2511309</v>
      </c>
      <c r="C79" s="23">
        <v>3296762</v>
      </c>
      <c r="D79" s="23">
        <v>2721930</v>
      </c>
      <c r="E79" s="28">
        <v>-574832</v>
      </c>
      <c r="F79" s="24">
        <v>-0.1743626018499364</v>
      </c>
    </row>
    <row r="80" spans="1:6" s="70" customFormat="1" ht="26.25">
      <c r="A80" s="29" t="s">
        <v>79</v>
      </c>
      <c r="B80" s="19">
        <v>70678</v>
      </c>
      <c r="C80" s="19">
        <v>128048</v>
      </c>
      <c r="D80" s="19">
        <v>107996</v>
      </c>
      <c r="E80" s="28">
        <v>-20052</v>
      </c>
      <c r="F80" s="24">
        <v>-0.15659752592777709</v>
      </c>
    </row>
    <row r="81" spans="1:6" s="72" customFormat="1" ht="26.25">
      <c r="A81" s="32" t="s">
        <v>80</v>
      </c>
      <c r="B81" s="260">
        <v>2645202</v>
      </c>
      <c r="C81" s="260">
        <v>3503499</v>
      </c>
      <c r="D81" s="260">
        <v>2939245</v>
      </c>
      <c r="E81" s="34">
        <v>-564254</v>
      </c>
      <c r="F81" s="35">
        <v>-0.16105442016681037</v>
      </c>
    </row>
    <row r="82" spans="1:6" s="70" customFormat="1" ht="26.25">
      <c r="A82" s="29" t="s">
        <v>81</v>
      </c>
      <c r="B82" s="19">
        <v>500650</v>
      </c>
      <c r="C82" s="19">
        <v>657322</v>
      </c>
      <c r="D82" s="19">
        <v>844582</v>
      </c>
      <c r="E82" s="28">
        <v>187260</v>
      </c>
      <c r="F82" s="24">
        <v>0.2848832079254916</v>
      </c>
    </row>
    <row r="83" spans="1:6" s="70" customFormat="1" ht="26.25">
      <c r="A83" s="29" t="s">
        <v>82</v>
      </c>
      <c r="B83" s="28">
        <v>52303786</v>
      </c>
      <c r="C83" s="28">
        <v>66305942</v>
      </c>
      <c r="D83" s="28">
        <v>63316253</v>
      </c>
      <c r="E83" s="28">
        <v>-2989689</v>
      </c>
      <c r="F83" s="24">
        <v>-4.5089307380626609E-2</v>
      </c>
    </row>
    <row r="84" spans="1:6" s="70" customFormat="1" ht="26.25">
      <c r="A84" s="29" t="s">
        <v>83</v>
      </c>
      <c r="B84" s="28">
        <v>0</v>
      </c>
      <c r="C84" s="28">
        <v>0</v>
      </c>
      <c r="D84" s="28">
        <v>0</v>
      </c>
      <c r="E84" s="28">
        <v>0</v>
      </c>
      <c r="F84" s="24">
        <v>0</v>
      </c>
    </row>
    <row r="85" spans="1:6" s="70" customFormat="1" ht="26.25">
      <c r="A85" s="29" t="s">
        <v>84</v>
      </c>
      <c r="B85" s="28">
        <v>1872488</v>
      </c>
      <c r="C85" s="28">
        <v>1972681</v>
      </c>
      <c r="D85" s="28">
        <v>1788255</v>
      </c>
      <c r="E85" s="28">
        <v>-184426</v>
      </c>
      <c r="F85" s="24">
        <v>-9.3490027024136182E-2</v>
      </c>
    </row>
    <row r="86" spans="1:6" s="72" customFormat="1" ht="26.25">
      <c r="A86" s="32" t="s">
        <v>85</v>
      </c>
      <c r="B86" s="34">
        <v>54676924</v>
      </c>
      <c r="C86" s="34">
        <v>68935945</v>
      </c>
      <c r="D86" s="34">
        <v>65949090</v>
      </c>
      <c r="E86" s="34">
        <v>-2986855</v>
      </c>
      <c r="F86" s="35">
        <v>-4.332797642797237E-2</v>
      </c>
    </row>
    <row r="87" spans="1:6" s="70" customFormat="1" ht="26.25">
      <c r="A87" s="29" t="s">
        <v>86</v>
      </c>
      <c r="B87" s="28">
        <v>171692</v>
      </c>
      <c r="C87" s="28">
        <v>1568557</v>
      </c>
      <c r="D87" s="28">
        <v>1944540</v>
      </c>
      <c r="E87" s="28">
        <v>375983</v>
      </c>
      <c r="F87" s="24">
        <v>0.23969992802301734</v>
      </c>
    </row>
    <row r="88" spans="1:6" s="70" customFormat="1" ht="26.25">
      <c r="A88" s="29" t="s">
        <v>87</v>
      </c>
      <c r="B88" s="28">
        <v>0</v>
      </c>
      <c r="C88" s="28">
        <v>0</v>
      </c>
      <c r="D88" s="28">
        <v>0</v>
      </c>
      <c r="E88" s="28">
        <v>0</v>
      </c>
      <c r="F88" s="24">
        <v>0</v>
      </c>
    </row>
    <row r="89" spans="1:6" s="70" customFormat="1" ht="26.25">
      <c r="A89" s="258" t="s">
        <v>88</v>
      </c>
      <c r="B89" s="28">
        <v>0</v>
      </c>
      <c r="C89" s="28">
        <v>0</v>
      </c>
      <c r="D89" s="28">
        <v>0</v>
      </c>
      <c r="E89" s="28">
        <v>0</v>
      </c>
      <c r="F89" s="24">
        <v>0</v>
      </c>
    </row>
    <row r="90" spans="1:6" s="72" customFormat="1" ht="26.25">
      <c r="A90" s="261" t="s">
        <v>89</v>
      </c>
      <c r="B90" s="260">
        <v>171692</v>
      </c>
      <c r="C90" s="260">
        <v>1568557</v>
      </c>
      <c r="D90" s="260">
        <v>1944540</v>
      </c>
      <c r="E90" s="260">
        <v>375983</v>
      </c>
      <c r="F90" s="35">
        <v>0.23969992802301734</v>
      </c>
    </row>
    <row r="91" spans="1:6" s="70" customFormat="1" ht="26.25">
      <c r="A91" s="258" t="s">
        <v>90</v>
      </c>
      <c r="B91" s="28">
        <v>0</v>
      </c>
      <c r="C91" s="28">
        <v>0</v>
      </c>
      <c r="D91" s="255">
        <v>0</v>
      </c>
      <c r="E91" s="28">
        <v>0</v>
      </c>
      <c r="F91" s="24">
        <v>0</v>
      </c>
    </row>
    <row r="92" spans="1:6" s="72" customFormat="1" ht="27" thickBot="1">
      <c r="A92" s="262" t="s">
        <v>71</v>
      </c>
      <c r="B92" s="263">
        <v>64027548</v>
      </c>
      <c r="C92" s="263">
        <v>81796919</v>
      </c>
      <c r="D92" s="55">
        <v>77418400</v>
      </c>
      <c r="E92" s="263">
        <v>-4378519</v>
      </c>
      <c r="F92" s="56">
        <v>-5.3529143316510493E-2</v>
      </c>
    </row>
    <row r="93" spans="1:6" s="74" customFormat="1" ht="31.5">
      <c r="A93" s="57"/>
      <c r="B93" s="58"/>
      <c r="C93" s="58"/>
      <c r="D93" s="58"/>
      <c r="E93" s="73"/>
      <c r="F93" s="73"/>
    </row>
    <row r="94" spans="1:6" s="74" customFormat="1" ht="31.5">
      <c r="A94" s="61" t="s">
        <v>91</v>
      </c>
      <c r="B94" s="62"/>
      <c r="C94" s="62"/>
      <c r="D94" s="62"/>
      <c r="E94" s="73"/>
      <c r="F94" s="73"/>
    </row>
    <row r="95" spans="1:6" s="74" customFormat="1" ht="31.5">
      <c r="A95" s="61" t="s">
        <v>92</v>
      </c>
      <c r="B95" s="62"/>
      <c r="C95" s="62"/>
      <c r="D95" s="62"/>
      <c r="E95" s="73"/>
      <c r="F95" s="73"/>
    </row>
    <row r="96" spans="1:6">
      <c r="A96" s="63" t="s">
        <v>50</v>
      </c>
      <c r="B96" s="64"/>
      <c r="C96" s="64"/>
      <c r="D96" s="64"/>
    </row>
  </sheetData>
  <pageMargins left="0.7" right="0.7" top="0.32" bottom="0.28999999999999998" header="0.3" footer="0.3"/>
  <pageSetup scale="31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zoomScale="50" zoomScaleNormal="50" workbookViewId="0">
      <selection activeCell="B8" sqref="B8:B91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0.285156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289" t="s">
        <v>111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5736592</v>
      </c>
      <c r="C8" s="23">
        <v>5736592</v>
      </c>
      <c r="D8" s="23">
        <v>5497289</v>
      </c>
      <c r="E8" s="23">
        <v>-239303</v>
      </c>
      <c r="F8" s="24">
        <v>-4.1715185601486036E-2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55">
        <v>221735</v>
      </c>
      <c r="C10" s="26">
        <v>222576</v>
      </c>
      <c r="D10" s="26">
        <v>213218</v>
      </c>
      <c r="E10" s="26">
        <v>-9358</v>
      </c>
      <c r="F10" s="24">
        <v>-4.2044065847171304E-2</v>
      </c>
    </row>
    <row r="11" spans="1:6" s="13" customFormat="1" ht="26.25">
      <c r="A11" s="27" t="s">
        <v>19</v>
      </c>
      <c r="B11" s="28">
        <v>4645</v>
      </c>
      <c r="C11" s="28">
        <v>4645</v>
      </c>
      <c r="D11" s="28">
        <v>0</v>
      </c>
      <c r="E11" s="26">
        <v>-4645</v>
      </c>
      <c r="F11" s="24">
        <v>-1</v>
      </c>
    </row>
    <row r="12" spans="1:6" s="13" customFormat="1" ht="26.25">
      <c r="A12" s="29" t="s">
        <v>20</v>
      </c>
      <c r="B12" s="28">
        <v>217090</v>
      </c>
      <c r="C12" s="28">
        <v>217931</v>
      </c>
      <c r="D12" s="28">
        <v>213218</v>
      </c>
      <c r="E12" s="26">
        <v>-4713</v>
      </c>
      <c r="F12" s="24">
        <v>-2.1626111016789719E-2</v>
      </c>
    </row>
    <row r="13" spans="1:6" s="13" customFormat="1" ht="26.25">
      <c r="A13" s="29" t="s">
        <v>21</v>
      </c>
      <c r="B13" s="28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8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13" customFormat="1" ht="26.25">
      <c r="A15" s="29" t="s">
        <v>23</v>
      </c>
      <c r="B15" s="28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8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8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8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4">
        <v>5958327</v>
      </c>
      <c r="C34" s="34">
        <v>5959168</v>
      </c>
      <c r="D34" s="34">
        <v>5710507</v>
      </c>
      <c r="E34" s="34">
        <v>-248661</v>
      </c>
      <c r="F34" s="35">
        <v>-4.1727469338001547E-2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13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13" customFormat="1" ht="26.25">
      <c r="A38" s="38" t="s">
        <v>46</v>
      </c>
      <c r="B38" s="23">
        <v>1236741</v>
      </c>
      <c r="C38" s="23">
        <v>0</v>
      </c>
      <c r="D38" s="23">
        <v>0</v>
      </c>
      <c r="E38" s="26">
        <v>0</v>
      </c>
      <c r="F38" s="24">
        <v>0</v>
      </c>
    </row>
    <row r="39" spans="1:10" s="13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13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1236741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1797880</v>
      </c>
      <c r="C45" s="42">
        <v>1797880</v>
      </c>
      <c r="D45" s="42">
        <v>0</v>
      </c>
      <c r="E45" s="42">
        <v>-1797880</v>
      </c>
      <c r="F45" s="35">
        <v>-1</v>
      </c>
    </row>
    <row r="46" spans="1:10" s="13" customFormat="1" ht="26.25">
      <c r="A46" s="29" t="s">
        <v>50</v>
      </c>
      <c r="B46" s="28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6403077</v>
      </c>
      <c r="C47" s="40">
        <v>5958357</v>
      </c>
      <c r="D47" s="40">
        <v>8853461</v>
      </c>
      <c r="E47" s="40">
        <v>2895104</v>
      </c>
      <c r="F47" s="35">
        <v>0.48588965045229748</v>
      </c>
    </row>
    <row r="48" spans="1:10" s="13" customFormat="1" ht="26.25">
      <c r="A48" s="29" t="s">
        <v>50</v>
      </c>
      <c r="B48" s="28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8"/>
      <c r="C52" s="28"/>
      <c r="D52" s="28"/>
      <c r="E52" s="28"/>
      <c r="F52" s="20"/>
    </row>
    <row r="53" spans="1:6" s="36" customFormat="1" ht="26.25">
      <c r="A53" s="46" t="s">
        <v>56</v>
      </c>
      <c r="B53" s="40">
        <v>12922543</v>
      </c>
      <c r="C53" s="40">
        <v>13715405</v>
      </c>
      <c r="D53" s="40">
        <v>14563968</v>
      </c>
      <c r="E53" s="40">
        <v>848563</v>
      </c>
      <c r="F53" s="35">
        <v>6.1869335976589827E-2</v>
      </c>
    </row>
    <row r="54" spans="1:6" s="13" customFormat="1" ht="26.25">
      <c r="A54" s="47"/>
      <c r="B54" s="28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6051076</v>
      </c>
      <c r="C57" s="19">
        <v>6407386</v>
      </c>
      <c r="D57" s="19">
        <v>6815851</v>
      </c>
      <c r="E57" s="19">
        <v>408465</v>
      </c>
      <c r="F57" s="24">
        <v>6.3749085820645118E-2</v>
      </c>
    </row>
    <row r="58" spans="1:6" s="13" customFormat="1" ht="26.25">
      <c r="A58" s="29" t="s">
        <v>59</v>
      </c>
      <c r="B58" s="28">
        <v>0</v>
      </c>
      <c r="C58" s="28">
        <v>0</v>
      </c>
      <c r="D58" s="28">
        <v>0</v>
      </c>
      <c r="E58" s="28">
        <v>0</v>
      </c>
      <c r="F58" s="24">
        <v>0</v>
      </c>
    </row>
    <row r="59" spans="1:6" s="13" customFormat="1" ht="26.25">
      <c r="A59" s="29" t="s">
        <v>60</v>
      </c>
      <c r="B59" s="28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13" customFormat="1" ht="26.25">
      <c r="A60" s="29" t="s">
        <v>61</v>
      </c>
      <c r="B60" s="28">
        <v>1718920</v>
      </c>
      <c r="C60" s="28">
        <v>1835484</v>
      </c>
      <c r="D60" s="28">
        <v>1866764</v>
      </c>
      <c r="E60" s="28">
        <v>31280</v>
      </c>
      <c r="F60" s="24">
        <v>1.7041826569994617E-2</v>
      </c>
    </row>
    <row r="61" spans="1:6" s="13" customFormat="1" ht="26.25">
      <c r="A61" s="29" t="s">
        <v>62</v>
      </c>
      <c r="B61" s="28">
        <v>1099404</v>
      </c>
      <c r="C61" s="28">
        <v>1212951</v>
      </c>
      <c r="D61" s="28">
        <v>1181035</v>
      </c>
      <c r="E61" s="28">
        <v>-31916</v>
      </c>
      <c r="F61" s="24">
        <v>-2.6312686992302246E-2</v>
      </c>
    </row>
    <row r="62" spans="1:6" s="13" customFormat="1" ht="26.25">
      <c r="A62" s="29" t="s">
        <v>63</v>
      </c>
      <c r="B62" s="28">
        <v>1952110</v>
      </c>
      <c r="C62" s="28">
        <v>2114803</v>
      </c>
      <c r="D62" s="28">
        <v>2352457</v>
      </c>
      <c r="E62" s="28">
        <v>237654</v>
      </c>
      <c r="F62" s="24">
        <v>0.11237642465988558</v>
      </c>
    </row>
    <row r="63" spans="1:6" s="13" customFormat="1" ht="26.25">
      <c r="A63" s="29" t="s">
        <v>64</v>
      </c>
      <c r="B63" s="28">
        <v>525204</v>
      </c>
      <c r="C63" s="28">
        <v>425000</v>
      </c>
      <c r="D63" s="28">
        <v>525000</v>
      </c>
      <c r="E63" s="28">
        <v>100000</v>
      </c>
      <c r="F63" s="24">
        <v>0.23529411764705882</v>
      </c>
    </row>
    <row r="64" spans="1:6" s="13" customFormat="1" ht="26.25">
      <c r="A64" s="29" t="s">
        <v>65</v>
      </c>
      <c r="B64" s="28">
        <v>1428677</v>
      </c>
      <c r="C64" s="28">
        <v>1568715</v>
      </c>
      <c r="D64" s="28">
        <v>1671795</v>
      </c>
      <c r="E64" s="28">
        <v>103080</v>
      </c>
      <c r="F64" s="24">
        <v>6.5709832569969692E-2</v>
      </c>
    </row>
    <row r="65" spans="1:6" s="36" customFormat="1" ht="26.25">
      <c r="A65" s="49" t="s">
        <v>66</v>
      </c>
      <c r="B65" s="34">
        <v>12775391</v>
      </c>
      <c r="C65" s="34">
        <v>13564339</v>
      </c>
      <c r="D65" s="34">
        <v>14412902</v>
      </c>
      <c r="E65" s="34">
        <v>848563</v>
      </c>
      <c r="F65" s="35">
        <v>6.2558374573209938E-2</v>
      </c>
    </row>
    <row r="66" spans="1:6" s="13" customFormat="1" ht="26.25">
      <c r="A66" s="29" t="s">
        <v>67</v>
      </c>
      <c r="B66" s="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8">
        <v>147152</v>
      </c>
      <c r="C67" s="28">
        <v>151066</v>
      </c>
      <c r="D67" s="28">
        <v>151066</v>
      </c>
      <c r="E67" s="28">
        <v>0</v>
      </c>
      <c r="F67" s="24">
        <v>0</v>
      </c>
    </row>
    <row r="68" spans="1:6" s="13" customFormat="1" ht="26.25">
      <c r="A68" s="29" t="s">
        <v>69</v>
      </c>
      <c r="B68" s="28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13" customFormat="1" ht="26.25">
      <c r="A69" s="29" t="s">
        <v>70</v>
      </c>
      <c r="B69" s="28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50" t="s">
        <v>71</v>
      </c>
      <c r="B70" s="260">
        <v>12922543</v>
      </c>
      <c r="C70" s="51">
        <v>13715405</v>
      </c>
      <c r="D70" s="51">
        <v>14563968</v>
      </c>
      <c r="E70" s="51">
        <v>848563</v>
      </c>
      <c r="F70" s="35">
        <v>6.1869335976589827E-2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4074816</v>
      </c>
      <c r="C73" s="23">
        <v>4411701</v>
      </c>
      <c r="D73" s="23">
        <v>4867274</v>
      </c>
      <c r="E73" s="19">
        <v>455573</v>
      </c>
      <c r="F73" s="24">
        <v>0.10326470447566596</v>
      </c>
    </row>
    <row r="74" spans="1:6" s="13" customFormat="1" ht="26.25">
      <c r="A74" s="29" t="s">
        <v>74</v>
      </c>
      <c r="B74" s="255">
        <v>1924405</v>
      </c>
      <c r="C74" s="23">
        <v>1853252</v>
      </c>
      <c r="D74" s="23">
        <v>1932000</v>
      </c>
      <c r="E74" s="28">
        <v>78748</v>
      </c>
      <c r="F74" s="24">
        <v>4.2491792805295775E-2</v>
      </c>
    </row>
    <row r="75" spans="1:6" s="13" customFormat="1" ht="26.25">
      <c r="A75" s="29" t="s">
        <v>75</v>
      </c>
      <c r="B75" s="19">
        <v>1643808</v>
      </c>
      <c r="C75" s="23">
        <v>1685235</v>
      </c>
      <c r="D75" s="23">
        <v>2191984</v>
      </c>
      <c r="E75" s="28">
        <v>506749</v>
      </c>
      <c r="F75" s="24">
        <v>0.30069930899844827</v>
      </c>
    </row>
    <row r="76" spans="1:6" s="36" customFormat="1" ht="26.25">
      <c r="A76" s="49" t="s">
        <v>76</v>
      </c>
      <c r="B76" s="260">
        <v>7643029</v>
      </c>
      <c r="C76" s="51">
        <v>7950188</v>
      </c>
      <c r="D76" s="51">
        <v>8991258</v>
      </c>
      <c r="E76" s="34">
        <v>1041070</v>
      </c>
      <c r="F76" s="35">
        <v>0.13094910459979059</v>
      </c>
    </row>
    <row r="77" spans="1:6" s="13" customFormat="1" ht="26.25">
      <c r="A77" s="29" t="s">
        <v>77</v>
      </c>
      <c r="B77" s="255">
        <v>48629</v>
      </c>
      <c r="C77" s="26">
        <v>120750</v>
      </c>
      <c r="D77" s="26">
        <v>150390</v>
      </c>
      <c r="E77" s="28">
        <v>29640</v>
      </c>
      <c r="F77" s="24">
        <v>0.24546583850931677</v>
      </c>
    </row>
    <row r="78" spans="1:6" s="13" customFormat="1" ht="26.25">
      <c r="A78" s="29" t="s">
        <v>78</v>
      </c>
      <c r="B78" s="23">
        <v>1807723</v>
      </c>
      <c r="C78" s="23">
        <v>1777100</v>
      </c>
      <c r="D78" s="23">
        <v>1961470</v>
      </c>
      <c r="E78" s="28">
        <v>184370</v>
      </c>
      <c r="F78" s="24">
        <v>0.10374767880254347</v>
      </c>
    </row>
    <row r="79" spans="1:6" s="13" customFormat="1" ht="26.25">
      <c r="A79" s="29" t="s">
        <v>79</v>
      </c>
      <c r="B79" s="19">
        <v>246591</v>
      </c>
      <c r="C79" s="19">
        <v>346875</v>
      </c>
      <c r="D79" s="19">
        <v>335950</v>
      </c>
      <c r="E79" s="28">
        <v>-10925</v>
      </c>
      <c r="F79" s="24">
        <v>-3.1495495495495497E-2</v>
      </c>
    </row>
    <row r="80" spans="1:6" s="36" customFormat="1" ht="26.25">
      <c r="A80" s="32" t="s">
        <v>80</v>
      </c>
      <c r="B80" s="260">
        <v>2102943</v>
      </c>
      <c r="C80" s="51">
        <v>2244725</v>
      </c>
      <c r="D80" s="51">
        <v>2447810</v>
      </c>
      <c r="E80" s="34">
        <v>203085</v>
      </c>
      <c r="F80" s="35">
        <v>9.0472106828230633E-2</v>
      </c>
    </row>
    <row r="81" spans="1:6" s="13" customFormat="1" ht="26.25">
      <c r="A81" s="29" t="s">
        <v>81</v>
      </c>
      <c r="B81" s="19">
        <v>873671</v>
      </c>
      <c r="C81" s="19">
        <v>1055000</v>
      </c>
      <c r="D81" s="19">
        <v>1044232</v>
      </c>
      <c r="E81" s="28">
        <v>-10768</v>
      </c>
      <c r="F81" s="24">
        <v>-1.0206635071090047E-2</v>
      </c>
    </row>
    <row r="82" spans="1:6" s="13" customFormat="1" ht="26.25">
      <c r="A82" s="29" t="s">
        <v>82</v>
      </c>
      <c r="B82" s="28">
        <v>909438</v>
      </c>
      <c r="C82" s="28">
        <v>685558</v>
      </c>
      <c r="D82" s="28">
        <v>860558</v>
      </c>
      <c r="E82" s="28">
        <v>175000</v>
      </c>
      <c r="F82" s="24">
        <v>0.25526651282604829</v>
      </c>
    </row>
    <row r="83" spans="1:6" s="13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28">
        <v>147152</v>
      </c>
      <c r="C84" s="28">
        <v>151066</v>
      </c>
      <c r="D84" s="28">
        <v>151066</v>
      </c>
      <c r="E84" s="28">
        <v>0</v>
      </c>
      <c r="F84" s="24">
        <v>0</v>
      </c>
    </row>
    <row r="85" spans="1:6" s="36" customFormat="1" ht="26.25">
      <c r="A85" s="32" t="s">
        <v>85</v>
      </c>
      <c r="B85" s="34">
        <v>1930261</v>
      </c>
      <c r="C85" s="34">
        <v>1891624</v>
      </c>
      <c r="D85" s="34">
        <v>2055856</v>
      </c>
      <c r="E85" s="34">
        <v>164232</v>
      </c>
      <c r="F85" s="35">
        <v>8.6820636659293807E-2</v>
      </c>
    </row>
    <row r="86" spans="1:6" s="13" customFormat="1" ht="26.25">
      <c r="A86" s="29" t="s">
        <v>86</v>
      </c>
      <c r="B86" s="28">
        <v>1177179</v>
      </c>
      <c r="C86" s="28">
        <v>1578868</v>
      </c>
      <c r="D86" s="28">
        <v>1014044</v>
      </c>
      <c r="E86" s="28">
        <v>-564824</v>
      </c>
      <c r="F86" s="24">
        <v>-0.3577398490564126</v>
      </c>
    </row>
    <row r="87" spans="1:6" s="13" customFormat="1" ht="26.25">
      <c r="A87" s="29" t="s">
        <v>87</v>
      </c>
      <c r="B87" s="28">
        <v>69131</v>
      </c>
      <c r="C87" s="28">
        <v>50000</v>
      </c>
      <c r="D87" s="28">
        <v>55000</v>
      </c>
      <c r="E87" s="28">
        <v>5000</v>
      </c>
      <c r="F87" s="24">
        <v>0.1</v>
      </c>
    </row>
    <row r="88" spans="1:6" s="13" customFormat="1" ht="26.25">
      <c r="A88" s="38" t="s">
        <v>88</v>
      </c>
      <c r="B88" s="28">
        <v>0</v>
      </c>
      <c r="C88" s="28">
        <v>0</v>
      </c>
      <c r="D88" s="28">
        <v>0</v>
      </c>
      <c r="E88" s="28">
        <v>0</v>
      </c>
      <c r="F88" s="24">
        <v>0</v>
      </c>
    </row>
    <row r="89" spans="1:6" s="36" customFormat="1" ht="26.25">
      <c r="A89" s="52" t="s">
        <v>89</v>
      </c>
      <c r="B89" s="260">
        <v>1246310</v>
      </c>
      <c r="C89" s="51">
        <v>1628868</v>
      </c>
      <c r="D89" s="51">
        <v>1069044</v>
      </c>
      <c r="E89" s="51">
        <v>-559824</v>
      </c>
      <c r="F89" s="35">
        <v>-0.34368899137314995</v>
      </c>
    </row>
    <row r="90" spans="1:6" s="13" customFormat="1" ht="26.25">
      <c r="A90" s="38" t="s">
        <v>90</v>
      </c>
      <c r="B90" s="28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36" customFormat="1" ht="27" thickBot="1">
      <c r="A91" s="53" t="s">
        <v>71</v>
      </c>
      <c r="B91" s="263">
        <v>12922543</v>
      </c>
      <c r="C91" s="54">
        <v>13715405</v>
      </c>
      <c r="D91" s="55">
        <v>14563968</v>
      </c>
      <c r="E91" s="54">
        <v>848563</v>
      </c>
      <c r="F91" s="56">
        <v>6.1869335976589827E-2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zoomScale="50" zoomScaleNormal="50" workbookViewId="0">
      <selection activeCell="B8" sqref="B8:B91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0.285156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289" t="s">
        <v>112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6415011</v>
      </c>
      <c r="C8" s="23">
        <v>6415011</v>
      </c>
      <c r="D8" s="23">
        <v>6571292</v>
      </c>
      <c r="E8" s="23">
        <v>156281</v>
      </c>
      <c r="F8" s="24">
        <v>2.4361766488007582E-2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55">
        <v>420712</v>
      </c>
      <c r="C10" s="26">
        <v>421644</v>
      </c>
      <c r="D10" s="26">
        <v>580076</v>
      </c>
      <c r="E10" s="26">
        <v>158432</v>
      </c>
      <c r="F10" s="24">
        <v>0.37574826156662966</v>
      </c>
    </row>
    <row r="11" spans="1:6" s="13" customFormat="1" ht="26.25">
      <c r="A11" s="27" t="s">
        <v>19</v>
      </c>
      <c r="B11" s="28">
        <v>5143</v>
      </c>
      <c r="C11" s="28">
        <v>5143</v>
      </c>
      <c r="D11" s="28">
        <v>0</v>
      </c>
      <c r="E11" s="26">
        <v>-5143</v>
      </c>
      <c r="F11" s="24">
        <v>-1</v>
      </c>
    </row>
    <row r="12" spans="1:6" s="13" customFormat="1" ht="26.25">
      <c r="A12" s="29" t="s">
        <v>20</v>
      </c>
      <c r="B12" s="28">
        <v>240368</v>
      </c>
      <c r="C12" s="28">
        <v>241300</v>
      </c>
      <c r="D12" s="28">
        <v>254875</v>
      </c>
      <c r="E12" s="26">
        <v>13575</v>
      </c>
      <c r="F12" s="24">
        <v>5.6257770410277665E-2</v>
      </c>
    </row>
    <row r="13" spans="1:6" s="13" customFormat="1" ht="26.25">
      <c r="A13" s="29" t="s">
        <v>21</v>
      </c>
      <c r="B13" s="28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8">
        <v>175201</v>
      </c>
      <c r="C14" s="28">
        <v>175201</v>
      </c>
      <c r="D14" s="28">
        <v>175201</v>
      </c>
      <c r="E14" s="26">
        <v>0</v>
      </c>
      <c r="F14" s="24">
        <v>0</v>
      </c>
    </row>
    <row r="15" spans="1:6" s="13" customFormat="1" ht="26.25">
      <c r="A15" s="29" t="s">
        <v>23</v>
      </c>
      <c r="B15" s="28">
        <v>0</v>
      </c>
      <c r="C15" s="28">
        <v>0</v>
      </c>
      <c r="D15" s="28">
        <v>150000</v>
      </c>
      <c r="E15" s="26">
        <v>150000</v>
      </c>
      <c r="F15" s="24">
        <v>1</v>
      </c>
    </row>
    <row r="16" spans="1:6" s="13" customFormat="1" ht="26.25">
      <c r="A16" s="29" t="s">
        <v>24</v>
      </c>
      <c r="B16" s="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8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8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8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4">
        <v>6835723</v>
      </c>
      <c r="C34" s="34">
        <v>6836655</v>
      </c>
      <c r="D34" s="34">
        <v>7151368</v>
      </c>
      <c r="E34" s="34">
        <v>314713</v>
      </c>
      <c r="F34" s="35">
        <v>4.6033184356969889E-2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13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13" customFormat="1" ht="26.25">
      <c r="A38" s="38" t="s">
        <v>46</v>
      </c>
      <c r="B38" s="23">
        <v>1009174</v>
      </c>
      <c r="C38" s="23">
        <v>0</v>
      </c>
      <c r="D38" s="23">
        <v>0</v>
      </c>
      <c r="E38" s="26">
        <v>0</v>
      </c>
      <c r="F38" s="24">
        <v>0</v>
      </c>
    </row>
    <row r="39" spans="1:10" s="13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13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1009174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1990665</v>
      </c>
      <c r="C45" s="42">
        <v>1990665</v>
      </c>
      <c r="D45" s="42">
        <v>0</v>
      </c>
      <c r="E45" s="42">
        <v>-1990665</v>
      </c>
      <c r="F45" s="35">
        <v>-1</v>
      </c>
    </row>
    <row r="46" spans="1:10" s="13" customFormat="1" ht="26.25">
      <c r="A46" s="29" t="s">
        <v>50</v>
      </c>
      <c r="B46" s="28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4338273</v>
      </c>
      <c r="C47" s="40">
        <v>3398047</v>
      </c>
      <c r="D47" s="40">
        <v>6137782</v>
      </c>
      <c r="E47" s="40">
        <v>2739735</v>
      </c>
      <c r="F47" s="35">
        <v>0.80626754132594403</v>
      </c>
    </row>
    <row r="48" spans="1:10" s="13" customFormat="1" ht="26.25">
      <c r="A48" s="29" t="s">
        <v>50</v>
      </c>
      <c r="B48" s="28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8"/>
      <c r="C52" s="28"/>
      <c r="D52" s="28"/>
      <c r="E52" s="28"/>
      <c r="F52" s="20"/>
    </row>
    <row r="53" spans="1:6" s="36" customFormat="1" ht="26.25">
      <c r="A53" s="46" t="s">
        <v>56</v>
      </c>
      <c r="B53" s="40">
        <v>12155487</v>
      </c>
      <c r="C53" s="40">
        <v>12225367</v>
      </c>
      <c r="D53" s="40">
        <v>13289150</v>
      </c>
      <c r="E53" s="40">
        <v>1063783</v>
      </c>
      <c r="F53" s="35">
        <v>8.70144021034297E-2</v>
      </c>
    </row>
    <row r="54" spans="1:6" s="13" customFormat="1" ht="26.25">
      <c r="A54" s="47"/>
      <c r="B54" s="28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5928736</v>
      </c>
      <c r="C57" s="19">
        <v>5966767</v>
      </c>
      <c r="D57" s="19">
        <v>6656976</v>
      </c>
      <c r="E57" s="19">
        <v>690209</v>
      </c>
      <c r="F57" s="24">
        <v>0.11567554087498305</v>
      </c>
    </row>
    <row r="58" spans="1:6" s="13" customFormat="1" ht="26.25">
      <c r="A58" s="29" t="s">
        <v>59</v>
      </c>
      <c r="B58" s="28">
        <v>0</v>
      </c>
      <c r="C58" s="28">
        <v>0</v>
      </c>
      <c r="D58" s="28">
        <v>0</v>
      </c>
      <c r="E58" s="28">
        <v>0</v>
      </c>
      <c r="F58" s="24">
        <v>0</v>
      </c>
    </row>
    <row r="59" spans="1:6" s="13" customFormat="1" ht="26.25">
      <c r="A59" s="29" t="s">
        <v>60</v>
      </c>
      <c r="B59" s="28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13" customFormat="1" ht="26.25">
      <c r="A60" s="29" t="s">
        <v>61</v>
      </c>
      <c r="B60" s="28">
        <v>807946</v>
      </c>
      <c r="C60" s="28">
        <v>807946</v>
      </c>
      <c r="D60" s="28">
        <v>828428</v>
      </c>
      <c r="E60" s="28">
        <v>20482</v>
      </c>
      <c r="F60" s="24">
        <v>2.5350704131216689E-2</v>
      </c>
    </row>
    <row r="61" spans="1:6" s="13" customFormat="1" ht="26.25">
      <c r="A61" s="29" t="s">
        <v>62</v>
      </c>
      <c r="B61" s="28">
        <v>1147211</v>
      </c>
      <c r="C61" s="28">
        <v>1151893</v>
      </c>
      <c r="D61" s="28">
        <v>1312605</v>
      </c>
      <c r="E61" s="28">
        <v>160712</v>
      </c>
      <c r="F61" s="24">
        <v>0.13951990332435391</v>
      </c>
    </row>
    <row r="62" spans="1:6" s="13" customFormat="1" ht="26.25">
      <c r="A62" s="29" t="s">
        <v>63</v>
      </c>
      <c r="B62" s="28">
        <v>3116186</v>
      </c>
      <c r="C62" s="28">
        <v>3120406</v>
      </c>
      <c r="D62" s="28">
        <v>3219006</v>
      </c>
      <c r="E62" s="28">
        <v>98600</v>
      </c>
      <c r="F62" s="24">
        <v>3.1598452252687634E-2</v>
      </c>
    </row>
    <row r="63" spans="1:6" s="13" customFormat="1" ht="26.25">
      <c r="A63" s="29" t="s">
        <v>64</v>
      </c>
      <c r="B63" s="28">
        <v>75890</v>
      </c>
      <c r="C63" s="28">
        <v>75891</v>
      </c>
      <c r="D63" s="28">
        <v>75890</v>
      </c>
      <c r="E63" s="28">
        <v>-1</v>
      </c>
      <c r="F63" s="24">
        <v>-1.3176793032111844E-5</v>
      </c>
    </row>
    <row r="64" spans="1:6" s="13" customFormat="1" ht="26.25">
      <c r="A64" s="29" t="s">
        <v>65</v>
      </c>
      <c r="B64" s="28">
        <v>1079518</v>
      </c>
      <c r="C64" s="28">
        <v>1102464</v>
      </c>
      <c r="D64" s="28">
        <v>1196245</v>
      </c>
      <c r="E64" s="28">
        <v>93781</v>
      </c>
      <c r="F64" s="24">
        <v>8.5064909148960879E-2</v>
      </c>
    </row>
    <row r="65" spans="1:6" s="36" customFormat="1" ht="26.25">
      <c r="A65" s="49" t="s">
        <v>66</v>
      </c>
      <c r="B65" s="34">
        <v>12155487</v>
      </c>
      <c r="C65" s="34">
        <v>12225367</v>
      </c>
      <c r="D65" s="34">
        <v>13289150</v>
      </c>
      <c r="E65" s="34">
        <v>1063783</v>
      </c>
      <c r="F65" s="35">
        <v>8.70144021034297E-2</v>
      </c>
    </row>
    <row r="66" spans="1:6" s="13" customFormat="1" ht="26.25">
      <c r="A66" s="29" t="s">
        <v>67</v>
      </c>
      <c r="B66" s="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8">
        <v>0</v>
      </c>
      <c r="C67" s="28">
        <v>0</v>
      </c>
      <c r="D67" s="28">
        <v>0</v>
      </c>
      <c r="E67" s="28">
        <v>0</v>
      </c>
      <c r="F67" s="24">
        <v>0</v>
      </c>
    </row>
    <row r="68" spans="1:6" s="13" customFormat="1" ht="26.25">
      <c r="A68" s="29" t="s">
        <v>69</v>
      </c>
      <c r="B68" s="28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13" customFormat="1" ht="26.25">
      <c r="A69" s="29" t="s">
        <v>70</v>
      </c>
      <c r="B69" s="28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50" t="s">
        <v>71</v>
      </c>
      <c r="B70" s="260">
        <v>12155487</v>
      </c>
      <c r="C70" s="51">
        <v>12225367</v>
      </c>
      <c r="D70" s="51">
        <v>13289150</v>
      </c>
      <c r="E70" s="51">
        <v>1063783</v>
      </c>
      <c r="F70" s="35">
        <v>8.70144021034297E-2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6785914</v>
      </c>
      <c r="C73" s="23">
        <v>6793725</v>
      </c>
      <c r="D73" s="23">
        <v>7814202</v>
      </c>
      <c r="E73" s="19">
        <v>1020477</v>
      </c>
      <c r="F73" s="24">
        <v>0.15020875881787973</v>
      </c>
    </row>
    <row r="74" spans="1:6" s="13" customFormat="1" ht="26.25">
      <c r="A74" s="29" t="s">
        <v>74</v>
      </c>
      <c r="B74" s="255">
        <v>53195</v>
      </c>
      <c r="C74" s="23">
        <v>53196</v>
      </c>
      <c r="D74" s="23">
        <v>53078</v>
      </c>
      <c r="E74" s="28">
        <v>-118</v>
      </c>
      <c r="F74" s="24">
        <v>-2.2182118956312505E-3</v>
      </c>
    </row>
    <row r="75" spans="1:6" s="13" customFormat="1" ht="26.25">
      <c r="A75" s="29" t="s">
        <v>75</v>
      </c>
      <c r="B75" s="19">
        <v>2437609</v>
      </c>
      <c r="C75" s="23">
        <v>2462906</v>
      </c>
      <c r="D75" s="23">
        <v>2639782</v>
      </c>
      <c r="E75" s="28">
        <v>176876</v>
      </c>
      <c r="F75" s="24">
        <v>7.181597673642437E-2</v>
      </c>
    </row>
    <row r="76" spans="1:6" s="36" customFormat="1" ht="26.25">
      <c r="A76" s="49" t="s">
        <v>76</v>
      </c>
      <c r="B76" s="260">
        <v>9276718</v>
      </c>
      <c r="C76" s="51">
        <v>9309827</v>
      </c>
      <c r="D76" s="51">
        <v>10507062</v>
      </c>
      <c r="E76" s="34">
        <v>1197235</v>
      </c>
      <c r="F76" s="35">
        <v>0.12859905989660173</v>
      </c>
    </row>
    <row r="77" spans="1:6" s="13" customFormat="1" ht="26.25">
      <c r="A77" s="29" t="s">
        <v>77</v>
      </c>
      <c r="B77" s="255">
        <v>56365</v>
      </c>
      <c r="C77" s="26">
        <v>57445</v>
      </c>
      <c r="D77" s="26">
        <v>57446</v>
      </c>
      <c r="E77" s="28">
        <v>1</v>
      </c>
      <c r="F77" s="24">
        <v>1.7407955435634083E-5</v>
      </c>
    </row>
    <row r="78" spans="1:6" s="13" customFormat="1" ht="26.25">
      <c r="A78" s="29" t="s">
        <v>78</v>
      </c>
      <c r="B78" s="23">
        <v>1429606</v>
      </c>
      <c r="C78" s="23">
        <v>1435695</v>
      </c>
      <c r="D78" s="23">
        <v>1498800</v>
      </c>
      <c r="E78" s="28">
        <v>63105</v>
      </c>
      <c r="F78" s="24">
        <v>4.3954321774471596E-2</v>
      </c>
    </row>
    <row r="79" spans="1:6" s="13" customFormat="1" ht="26.25">
      <c r="A79" s="29" t="s">
        <v>79</v>
      </c>
      <c r="B79" s="19">
        <v>366621</v>
      </c>
      <c r="C79" s="19">
        <v>376608</v>
      </c>
      <c r="D79" s="19">
        <v>495442</v>
      </c>
      <c r="E79" s="28">
        <v>118834</v>
      </c>
      <c r="F79" s="24">
        <v>0.31553764126093975</v>
      </c>
    </row>
    <row r="80" spans="1:6" s="36" customFormat="1" ht="26.25">
      <c r="A80" s="32" t="s">
        <v>80</v>
      </c>
      <c r="B80" s="260">
        <v>1852592</v>
      </c>
      <c r="C80" s="51">
        <v>1869748</v>
      </c>
      <c r="D80" s="51">
        <v>2051688</v>
      </c>
      <c r="E80" s="34">
        <v>181940</v>
      </c>
      <c r="F80" s="35">
        <v>9.7307230707025766E-2</v>
      </c>
    </row>
    <row r="81" spans="1:6" s="13" customFormat="1" ht="26.25">
      <c r="A81" s="29" t="s">
        <v>81</v>
      </c>
      <c r="B81" s="19">
        <v>169785</v>
      </c>
      <c r="C81" s="19">
        <v>170085</v>
      </c>
      <c r="D81" s="19">
        <v>170085</v>
      </c>
      <c r="E81" s="28">
        <v>0</v>
      </c>
      <c r="F81" s="24">
        <v>0</v>
      </c>
    </row>
    <row r="82" spans="1:6" s="13" customFormat="1" ht="26.25">
      <c r="A82" s="29" t="s">
        <v>82</v>
      </c>
      <c r="B82" s="28">
        <v>140154</v>
      </c>
      <c r="C82" s="28">
        <v>158987</v>
      </c>
      <c r="D82" s="28">
        <v>158986</v>
      </c>
      <c r="E82" s="28">
        <v>-1</v>
      </c>
      <c r="F82" s="24">
        <v>-6.2898224383125668E-6</v>
      </c>
    </row>
    <row r="83" spans="1:6" s="13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28">
        <v>0</v>
      </c>
      <c r="C84" s="28">
        <v>0</v>
      </c>
      <c r="D84" s="28">
        <v>0</v>
      </c>
      <c r="E84" s="28">
        <v>0</v>
      </c>
      <c r="F84" s="24">
        <v>0</v>
      </c>
    </row>
    <row r="85" spans="1:6" s="36" customFormat="1" ht="26.25">
      <c r="A85" s="32" t="s">
        <v>85</v>
      </c>
      <c r="B85" s="34">
        <v>309939</v>
      </c>
      <c r="C85" s="34">
        <v>329072</v>
      </c>
      <c r="D85" s="34">
        <v>329071</v>
      </c>
      <c r="E85" s="34">
        <v>-1</v>
      </c>
      <c r="F85" s="35">
        <v>-3.0388486410268875E-6</v>
      </c>
    </row>
    <row r="86" spans="1:6" s="13" customFormat="1" ht="26.25">
      <c r="A86" s="29" t="s">
        <v>86</v>
      </c>
      <c r="B86" s="28">
        <v>716238</v>
      </c>
      <c r="C86" s="28">
        <v>716720</v>
      </c>
      <c r="D86" s="28">
        <v>401329</v>
      </c>
      <c r="E86" s="28">
        <v>-315391</v>
      </c>
      <c r="F86" s="24">
        <v>-0.44004771737917181</v>
      </c>
    </row>
    <row r="87" spans="1:6" s="13" customFormat="1" ht="26.25">
      <c r="A87" s="29" t="s">
        <v>87</v>
      </c>
      <c r="B87" s="28">
        <v>0</v>
      </c>
      <c r="C87" s="28">
        <v>0</v>
      </c>
      <c r="D87" s="28">
        <v>0</v>
      </c>
      <c r="E87" s="28">
        <v>0</v>
      </c>
      <c r="F87" s="24">
        <v>0</v>
      </c>
    </row>
    <row r="88" spans="1:6" s="13" customFormat="1" ht="26.25">
      <c r="A88" s="38" t="s">
        <v>88</v>
      </c>
      <c r="B88" s="28">
        <v>0</v>
      </c>
      <c r="C88" s="28">
        <v>0</v>
      </c>
      <c r="D88" s="28">
        <v>0</v>
      </c>
      <c r="E88" s="28">
        <v>0</v>
      </c>
      <c r="F88" s="24">
        <v>0</v>
      </c>
    </row>
    <row r="89" spans="1:6" s="36" customFormat="1" ht="26.25">
      <c r="A89" s="52" t="s">
        <v>89</v>
      </c>
      <c r="B89" s="260">
        <v>716238</v>
      </c>
      <c r="C89" s="51">
        <v>716720</v>
      </c>
      <c r="D89" s="51">
        <v>401329</v>
      </c>
      <c r="E89" s="51">
        <v>-315391</v>
      </c>
      <c r="F89" s="35">
        <v>-0.44004771737917181</v>
      </c>
    </row>
    <row r="90" spans="1:6" s="13" customFormat="1" ht="26.25">
      <c r="A90" s="38" t="s">
        <v>90</v>
      </c>
      <c r="B90" s="28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36" customFormat="1" ht="27" thickBot="1">
      <c r="A91" s="53" t="s">
        <v>71</v>
      </c>
      <c r="B91" s="263">
        <v>12155487</v>
      </c>
      <c r="C91" s="54">
        <v>12225367</v>
      </c>
      <c r="D91" s="55">
        <v>13289150</v>
      </c>
      <c r="E91" s="54">
        <v>1063783</v>
      </c>
      <c r="F91" s="56">
        <v>8.70144021034297E-2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zoomScale="50" zoomScaleNormal="50" workbookViewId="0">
      <selection activeCell="B54" sqref="B54"/>
    </sheetView>
  </sheetViews>
  <sheetFormatPr defaultRowHeight="15.75"/>
  <cols>
    <col min="1" max="1" width="121.140625" style="75" customWidth="1"/>
    <col min="2" max="2" width="32.7109375" style="76" customWidth="1"/>
    <col min="3" max="4" width="32.85546875" style="76" customWidth="1"/>
    <col min="5" max="5" width="30.28515625" style="75" customWidth="1"/>
    <col min="6" max="6" width="25.140625" style="75" customWidth="1"/>
    <col min="7" max="254" width="9.140625" style="75"/>
    <col min="255" max="255" width="121.140625" style="75" customWidth="1"/>
    <col min="256" max="256" width="32.7109375" style="75" customWidth="1"/>
    <col min="257" max="259" width="32.85546875" style="75" customWidth="1"/>
    <col min="260" max="260" width="25.5703125" style="75" customWidth="1"/>
    <col min="261" max="261" width="30.28515625" style="75" customWidth="1"/>
    <col min="262" max="262" width="25.140625" style="75" customWidth="1"/>
    <col min="263" max="510" width="9.140625" style="75"/>
    <col min="511" max="511" width="121.140625" style="75" customWidth="1"/>
    <col min="512" max="512" width="32.7109375" style="75" customWidth="1"/>
    <col min="513" max="515" width="32.85546875" style="75" customWidth="1"/>
    <col min="516" max="516" width="25.5703125" style="75" customWidth="1"/>
    <col min="517" max="517" width="30.28515625" style="75" customWidth="1"/>
    <col min="518" max="518" width="25.140625" style="75" customWidth="1"/>
    <col min="519" max="766" width="9.140625" style="75"/>
    <col min="767" max="767" width="121.140625" style="75" customWidth="1"/>
    <col min="768" max="768" width="32.7109375" style="75" customWidth="1"/>
    <col min="769" max="771" width="32.85546875" style="75" customWidth="1"/>
    <col min="772" max="772" width="25.5703125" style="75" customWidth="1"/>
    <col min="773" max="773" width="30.28515625" style="75" customWidth="1"/>
    <col min="774" max="774" width="25.140625" style="75" customWidth="1"/>
    <col min="775" max="1022" width="9.140625" style="75"/>
    <col min="1023" max="1023" width="121.140625" style="75" customWidth="1"/>
    <col min="1024" max="1024" width="32.7109375" style="75" customWidth="1"/>
    <col min="1025" max="1027" width="32.85546875" style="75" customWidth="1"/>
    <col min="1028" max="1028" width="25.5703125" style="75" customWidth="1"/>
    <col min="1029" max="1029" width="30.28515625" style="75" customWidth="1"/>
    <col min="1030" max="1030" width="25.140625" style="75" customWidth="1"/>
    <col min="1031" max="1278" width="9.140625" style="75"/>
    <col min="1279" max="1279" width="121.140625" style="75" customWidth="1"/>
    <col min="1280" max="1280" width="32.7109375" style="75" customWidth="1"/>
    <col min="1281" max="1283" width="32.85546875" style="75" customWidth="1"/>
    <col min="1284" max="1284" width="25.5703125" style="75" customWidth="1"/>
    <col min="1285" max="1285" width="30.28515625" style="75" customWidth="1"/>
    <col min="1286" max="1286" width="25.140625" style="75" customWidth="1"/>
    <col min="1287" max="1534" width="9.140625" style="75"/>
    <col min="1535" max="1535" width="121.140625" style="75" customWidth="1"/>
    <col min="1536" max="1536" width="32.7109375" style="75" customWidth="1"/>
    <col min="1537" max="1539" width="32.85546875" style="75" customWidth="1"/>
    <col min="1540" max="1540" width="25.5703125" style="75" customWidth="1"/>
    <col min="1541" max="1541" width="30.28515625" style="75" customWidth="1"/>
    <col min="1542" max="1542" width="25.140625" style="75" customWidth="1"/>
    <col min="1543" max="1790" width="9.140625" style="75"/>
    <col min="1791" max="1791" width="121.140625" style="75" customWidth="1"/>
    <col min="1792" max="1792" width="32.7109375" style="75" customWidth="1"/>
    <col min="1793" max="1795" width="32.85546875" style="75" customWidth="1"/>
    <col min="1796" max="1796" width="25.5703125" style="75" customWidth="1"/>
    <col min="1797" max="1797" width="30.28515625" style="75" customWidth="1"/>
    <col min="1798" max="1798" width="25.140625" style="75" customWidth="1"/>
    <col min="1799" max="2046" width="9.140625" style="75"/>
    <col min="2047" max="2047" width="121.140625" style="75" customWidth="1"/>
    <col min="2048" max="2048" width="32.7109375" style="75" customWidth="1"/>
    <col min="2049" max="2051" width="32.85546875" style="75" customWidth="1"/>
    <col min="2052" max="2052" width="25.5703125" style="75" customWidth="1"/>
    <col min="2053" max="2053" width="30.28515625" style="75" customWidth="1"/>
    <col min="2054" max="2054" width="25.140625" style="75" customWidth="1"/>
    <col min="2055" max="2302" width="9.140625" style="75"/>
    <col min="2303" max="2303" width="121.140625" style="75" customWidth="1"/>
    <col min="2304" max="2304" width="32.7109375" style="75" customWidth="1"/>
    <col min="2305" max="2307" width="32.85546875" style="75" customWidth="1"/>
    <col min="2308" max="2308" width="25.5703125" style="75" customWidth="1"/>
    <col min="2309" max="2309" width="30.28515625" style="75" customWidth="1"/>
    <col min="2310" max="2310" width="25.140625" style="75" customWidth="1"/>
    <col min="2311" max="2558" width="9.140625" style="75"/>
    <col min="2559" max="2559" width="121.140625" style="75" customWidth="1"/>
    <col min="2560" max="2560" width="32.7109375" style="75" customWidth="1"/>
    <col min="2561" max="2563" width="32.85546875" style="75" customWidth="1"/>
    <col min="2564" max="2564" width="25.5703125" style="75" customWidth="1"/>
    <col min="2565" max="2565" width="30.28515625" style="75" customWidth="1"/>
    <col min="2566" max="2566" width="25.140625" style="75" customWidth="1"/>
    <col min="2567" max="2814" width="9.140625" style="75"/>
    <col min="2815" max="2815" width="121.140625" style="75" customWidth="1"/>
    <col min="2816" max="2816" width="32.7109375" style="75" customWidth="1"/>
    <col min="2817" max="2819" width="32.85546875" style="75" customWidth="1"/>
    <col min="2820" max="2820" width="25.5703125" style="75" customWidth="1"/>
    <col min="2821" max="2821" width="30.28515625" style="75" customWidth="1"/>
    <col min="2822" max="2822" width="25.140625" style="75" customWidth="1"/>
    <col min="2823" max="3070" width="9.140625" style="75"/>
    <col min="3071" max="3071" width="121.140625" style="75" customWidth="1"/>
    <col min="3072" max="3072" width="32.7109375" style="75" customWidth="1"/>
    <col min="3073" max="3075" width="32.85546875" style="75" customWidth="1"/>
    <col min="3076" max="3076" width="25.5703125" style="75" customWidth="1"/>
    <col min="3077" max="3077" width="30.28515625" style="75" customWidth="1"/>
    <col min="3078" max="3078" width="25.140625" style="75" customWidth="1"/>
    <col min="3079" max="3326" width="9.140625" style="75"/>
    <col min="3327" max="3327" width="121.140625" style="75" customWidth="1"/>
    <col min="3328" max="3328" width="32.7109375" style="75" customWidth="1"/>
    <col min="3329" max="3331" width="32.85546875" style="75" customWidth="1"/>
    <col min="3332" max="3332" width="25.5703125" style="75" customWidth="1"/>
    <col min="3333" max="3333" width="30.28515625" style="75" customWidth="1"/>
    <col min="3334" max="3334" width="25.140625" style="75" customWidth="1"/>
    <col min="3335" max="3582" width="9.140625" style="75"/>
    <col min="3583" max="3583" width="121.140625" style="75" customWidth="1"/>
    <col min="3584" max="3584" width="32.7109375" style="75" customWidth="1"/>
    <col min="3585" max="3587" width="32.85546875" style="75" customWidth="1"/>
    <col min="3588" max="3588" width="25.5703125" style="75" customWidth="1"/>
    <col min="3589" max="3589" width="30.28515625" style="75" customWidth="1"/>
    <col min="3590" max="3590" width="25.140625" style="75" customWidth="1"/>
    <col min="3591" max="3838" width="9.140625" style="75"/>
    <col min="3839" max="3839" width="121.140625" style="75" customWidth="1"/>
    <col min="3840" max="3840" width="32.7109375" style="75" customWidth="1"/>
    <col min="3841" max="3843" width="32.85546875" style="75" customWidth="1"/>
    <col min="3844" max="3844" width="25.5703125" style="75" customWidth="1"/>
    <col min="3845" max="3845" width="30.28515625" style="75" customWidth="1"/>
    <col min="3846" max="3846" width="25.140625" style="75" customWidth="1"/>
    <col min="3847" max="4094" width="9.140625" style="75"/>
    <col min="4095" max="4095" width="121.140625" style="75" customWidth="1"/>
    <col min="4096" max="4096" width="32.7109375" style="75" customWidth="1"/>
    <col min="4097" max="4099" width="32.85546875" style="75" customWidth="1"/>
    <col min="4100" max="4100" width="25.5703125" style="75" customWidth="1"/>
    <col min="4101" max="4101" width="30.28515625" style="75" customWidth="1"/>
    <col min="4102" max="4102" width="25.140625" style="75" customWidth="1"/>
    <col min="4103" max="4350" width="9.140625" style="75"/>
    <col min="4351" max="4351" width="121.140625" style="75" customWidth="1"/>
    <col min="4352" max="4352" width="32.7109375" style="75" customWidth="1"/>
    <col min="4353" max="4355" width="32.85546875" style="75" customWidth="1"/>
    <col min="4356" max="4356" width="25.5703125" style="75" customWidth="1"/>
    <col min="4357" max="4357" width="30.28515625" style="75" customWidth="1"/>
    <col min="4358" max="4358" width="25.140625" style="75" customWidth="1"/>
    <col min="4359" max="4606" width="9.140625" style="75"/>
    <col min="4607" max="4607" width="121.140625" style="75" customWidth="1"/>
    <col min="4608" max="4608" width="32.7109375" style="75" customWidth="1"/>
    <col min="4609" max="4611" width="32.85546875" style="75" customWidth="1"/>
    <col min="4612" max="4612" width="25.5703125" style="75" customWidth="1"/>
    <col min="4613" max="4613" width="30.28515625" style="75" customWidth="1"/>
    <col min="4614" max="4614" width="25.140625" style="75" customWidth="1"/>
    <col min="4615" max="4862" width="9.140625" style="75"/>
    <col min="4863" max="4863" width="121.140625" style="75" customWidth="1"/>
    <col min="4864" max="4864" width="32.7109375" style="75" customWidth="1"/>
    <col min="4865" max="4867" width="32.85546875" style="75" customWidth="1"/>
    <col min="4868" max="4868" width="25.5703125" style="75" customWidth="1"/>
    <col min="4869" max="4869" width="30.28515625" style="75" customWidth="1"/>
    <col min="4870" max="4870" width="25.140625" style="75" customWidth="1"/>
    <col min="4871" max="5118" width="9.140625" style="75"/>
    <col min="5119" max="5119" width="121.140625" style="75" customWidth="1"/>
    <col min="5120" max="5120" width="32.7109375" style="75" customWidth="1"/>
    <col min="5121" max="5123" width="32.85546875" style="75" customWidth="1"/>
    <col min="5124" max="5124" width="25.5703125" style="75" customWidth="1"/>
    <col min="5125" max="5125" width="30.28515625" style="75" customWidth="1"/>
    <col min="5126" max="5126" width="25.140625" style="75" customWidth="1"/>
    <col min="5127" max="5374" width="9.140625" style="75"/>
    <col min="5375" max="5375" width="121.140625" style="75" customWidth="1"/>
    <col min="5376" max="5376" width="32.7109375" style="75" customWidth="1"/>
    <col min="5377" max="5379" width="32.85546875" style="75" customWidth="1"/>
    <col min="5380" max="5380" width="25.5703125" style="75" customWidth="1"/>
    <col min="5381" max="5381" width="30.28515625" style="75" customWidth="1"/>
    <col min="5382" max="5382" width="25.140625" style="75" customWidth="1"/>
    <col min="5383" max="5630" width="9.140625" style="75"/>
    <col min="5631" max="5631" width="121.140625" style="75" customWidth="1"/>
    <col min="5632" max="5632" width="32.7109375" style="75" customWidth="1"/>
    <col min="5633" max="5635" width="32.85546875" style="75" customWidth="1"/>
    <col min="5636" max="5636" width="25.5703125" style="75" customWidth="1"/>
    <col min="5637" max="5637" width="30.28515625" style="75" customWidth="1"/>
    <col min="5638" max="5638" width="25.140625" style="75" customWidth="1"/>
    <col min="5639" max="5886" width="9.140625" style="75"/>
    <col min="5887" max="5887" width="121.140625" style="75" customWidth="1"/>
    <col min="5888" max="5888" width="32.7109375" style="75" customWidth="1"/>
    <col min="5889" max="5891" width="32.85546875" style="75" customWidth="1"/>
    <col min="5892" max="5892" width="25.5703125" style="75" customWidth="1"/>
    <col min="5893" max="5893" width="30.28515625" style="75" customWidth="1"/>
    <col min="5894" max="5894" width="25.140625" style="75" customWidth="1"/>
    <col min="5895" max="6142" width="9.140625" style="75"/>
    <col min="6143" max="6143" width="121.140625" style="75" customWidth="1"/>
    <col min="6144" max="6144" width="32.7109375" style="75" customWidth="1"/>
    <col min="6145" max="6147" width="32.85546875" style="75" customWidth="1"/>
    <col min="6148" max="6148" width="25.5703125" style="75" customWidth="1"/>
    <col min="6149" max="6149" width="30.28515625" style="75" customWidth="1"/>
    <col min="6150" max="6150" width="25.140625" style="75" customWidth="1"/>
    <col min="6151" max="6398" width="9.140625" style="75"/>
    <col min="6399" max="6399" width="121.140625" style="75" customWidth="1"/>
    <col min="6400" max="6400" width="32.7109375" style="75" customWidth="1"/>
    <col min="6401" max="6403" width="32.85546875" style="75" customWidth="1"/>
    <col min="6404" max="6404" width="25.5703125" style="75" customWidth="1"/>
    <col min="6405" max="6405" width="30.28515625" style="75" customWidth="1"/>
    <col min="6406" max="6406" width="25.140625" style="75" customWidth="1"/>
    <col min="6407" max="6654" width="9.140625" style="75"/>
    <col min="6655" max="6655" width="121.140625" style="75" customWidth="1"/>
    <col min="6656" max="6656" width="32.7109375" style="75" customWidth="1"/>
    <col min="6657" max="6659" width="32.85546875" style="75" customWidth="1"/>
    <col min="6660" max="6660" width="25.5703125" style="75" customWidth="1"/>
    <col min="6661" max="6661" width="30.28515625" style="75" customWidth="1"/>
    <col min="6662" max="6662" width="25.140625" style="75" customWidth="1"/>
    <col min="6663" max="6910" width="9.140625" style="75"/>
    <col min="6911" max="6911" width="121.140625" style="75" customWidth="1"/>
    <col min="6912" max="6912" width="32.7109375" style="75" customWidth="1"/>
    <col min="6913" max="6915" width="32.85546875" style="75" customWidth="1"/>
    <col min="6916" max="6916" width="25.5703125" style="75" customWidth="1"/>
    <col min="6917" max="6917" width="30.28515625" style="75" customWidth="1"/>
    <col min="6918" max="6918" width="25.140625" style="75" customWidth="1"/>
    <col min="6919" max="7166" width="9.140625" style="75"/>
    <col min="7167" max="7167" width="121.140625" style="75" customWidth="1"/>
    <col min="7168" max="7168" width="32.7109375" style="75" customWidth="1"/>
    <col min="7169" max="7171" width="32.85546875" style="75" customWidth="1"/>
    <col min="7172" max="7172" width="25.5703125" style="75" customWidth="1"/>
    <col min="7173" max="7173" width="30.28515625" style="75" customWidth="1"/>
    <col min="7174" max="7174" width="25.140625" style="75" customWidth="1"/>
    <col min="7175" max="7422" width="9.140625" style="75"/>
    <col min="7423" max="7423" width="121.140625" style="75" customWidth="1"/>
    <col min="7424" max="7424" width="32.7109375" style="75" customWidth="1"/>
    <col min="7425" max="7427" width="32.85546875" style="75" customWidth="1"/>
    <col min="7428" max="7428" width="25.5703125" style="75" customWidth="1"/>
    <col min="7429" max="7429" width="30.28515625" style="75" customWidth="1"/>
    <col min="7430" max="7430" width="25.140625" style="75" customWidth="1"/>
    <col min="7431" max="7678" width="9.140625" style="75"/>
    <col min="7679" max="7679" width="121.140625" style="75" customWidth="1"/>
    <col min="7680" max="7680" width="32.7109375" style="75" customWidth="1"/>
    <col min="7681" max="7683" width="32.85546875" style="75" customWidth="1"/>
    <col min="7684" max="7684" width="25.5703125" style="75" customWidth="1"/>
    <col min="7685" max="7685" width="30.28515625" style="75" customWidth="1"/>
    <col min="7686" max="7686" width="25.140625" style="75" customWidth="1"/>
    <col min="7687" max="7934" width="9.140625" style="75"/>
    <col min="7935" max="7935" width="121.140625" style="75" customWidth="1"/>
    <col min="7936" max="7936" width="32.7109375" style="75" customWidth="1"/>
    <col min="7937" max="7939" width="32.85546875" style="75" customWidth="1"/>
    <col min="7940" max="7940" width="25.5703125" style="75" customWidth="1"/>
    <col min="7941" max="7941" width="30.28515625" style="75" customWidth="1"/>
    <col min="7942" max="7942" width="25.140625" style="75" customWidth="1"/>
    <col min="7943" max="8190" width="9.140625" style="75"/>
    <col min="8191" max="8191" width="121.140625" style="75" customWidth="1"/>
    <col min="8192" max="8192" width="32.7109375" style="75" customWidth="1"/>
    <col min="8193" max="8195" width="32.85546875" style="75" customWidth="1"/>
    <col min="8196" max="8196" width="25.5703125" style="75" customWidth="1"/>
    <col min="8197" max="8197" width="30.28515625" style="75" customWidth="1"/>
    <col min="8198" max="8198" width="25.140625" style="75" customWidth="1"/>
    <col min="8199" max="8446" width="9.140625" style="75"/>
    <col min="8447" max="8447" width="121.140625" style="75" customWidth="1"/>
    <col min="8448" max="8448" width="32.7109375" style="75" customWidth="1"/>
    <col min="8449" max="8451" width="32.85546875" style="75" customWidth="1"/>
    <col min="8452" max="8452" width="25.5703125" style="75" customWidth="1"/>
    <col min="8453" max="8453" width="30.28515625" style="75" customWidth="1"/>
    <col min="8454" max="8454" width="25.140625" style="75" customWidth="1"/>
    <col min="8455" max="8702" width="9.140625" style="75"/>
    <col min="8703" max="8703" width="121.140625" style="75" customWidth="1"/>
    <col min="8704" max="8704" width="32.7109375" style="75" customWidth="1"/>
    <col min="8705" max="8707" width="32.85546875" style="75" customWidth="1"/>
    <col min="8708" max="8708" width="25.5703125" style="75" customWidth="1"/>
    <col min="8709" max="8709" width="30.28515625" style="75" customWidth="1"/>
    <col min="8710" max="8710" width="25.140625" style="75" customWidth="1"/>
    <col min="8711" max="8958" width="9.140625" style="75"/>
    <col min="8959" max="8959" width="121.140625" style="75" customWidth="1"/>
    <col min="8960" max="8960" width="32.7109375" style="75" customWidth="1"/>
    <col min="8961" max="8963" width="32.85546875" style="75" customWidth="1"/>
    <col min="8964" max="8964" width="25.5703125" style="75" customWidth="1"/>
    <col min="8965" max="8965" width="30.28515625" style="75" customWidth="1"/>
    <col min="8966" max="8966" width="25.140625" style="75" customWidth="1"/>
    <col min="8967" max="9214" width="9.140625" style="75"/>
    <col min="9215" max="9215" width="121.140625" style="75" customWidth="1"/>
    <col min="9216" max="9216" width="32.7109375" style="75" customWidth="1"/>
    <col min="9217" max="9219" width="32.85546875" style="75" customWidth="1"/>
    <col min="9220" max="9220" width="25.5703125" style="75" customWidth="1"/>
    <col min="9221" max="9221" width="30.28515625" style="75" customWidth="1"/>
    <col min="9222" max="9222" width="25.140625" style="75" customWidth="1"/>
    <col min="9223" max="9470" width="9.140625" style="75"/>
    <col min="9471" max="9471" width="121.140625" style="75" customWidth="1"/>
    <col min="9472" max="9472" width="32.7109375" style="75" customWidth="1"/>
    <col min="9473" max="9475" width="32.85546875" style="75" customWidth="1"/>
    <col min="9476" max="9476" width="25.5703125" style="75" customWidth="1"/>
    <col min="9477" max="9477" width="30.28515625" style="75" customWidth="1"/>
    <col min="9478" max="9478" width="25.140625" style="75" customWidth="1"/>
    <col min="9479" max="9726" width="9.140625" style="75"/>
    <col min="9727" max="9727" width="121.140625" style="75" customWidth="1"/>
    <col min="9728" max="9728" width="32.7109375" style="75" customWidth="1"/>
    <col min="9729" max="9731" width="32.85546875" style="75" customWidth="1"/>
    <col min="9732" max="9732" width="25.5703125" style="75" customWidth="1"/>
    <col min="9733" max="9733" width="30.28515625" style="75" customWidth="1"/>
    <col min="9734" max="9734" width="25.140625" style="75" customWidth="1"/>
    <col min="9735" max="9982" width="9.140625" style="75"/>
    <col min="9983" max="9983" width="121.140625" style="75" customWidth="1"/>
    <col min="9984" max="9984" width="32.7109375" style="75" customWidth="1"/>
    <col min="9985" max="9987" width="32.85546875" style="75" customWidth="1"/>
    <col min="9988" max="9988" width="25.5703125" style="75" customWidth="1"/>
    <col min="9989" max="9989" width="30.28515625" style="75" customWidth="1"/>
    <col min="9990" max="9990" width="25.140625" style="75" customWidth="1"/>
    <col min="9991" max="10238" width="9.140625" style="75"/>
    <col min="10239" max="10239" width="121.140625" style="75" customWidth="1"/>
    <col min="10240" max="10240" width="32.7109375" style="75" customWidth="1"/>
    <col min="10241" max="10243" width="32.85546875" style="75" customWidth="1"/>
    <col min="10244" max="10244" width="25.5703125" style="75" customWidth="1"/>
    <col min="10245" max="10245" width="30.28515625" style="75" customWidth="1"/>
    <col min="10246" max="10246" width="25.140625" style="75" customWidth="1"/>
    <col min="10247" max="10494" width="9.140625" style="75"/>
    <col min="10495" max="10495" width="121.140625" style="75" customWidth="1"/>
    <col min="10496" max="10496" width="32.7109375" style="75" customWidth="1"/>
    <col min="10497" max="10499" width="32.85546875" style="75" customWidth="1"/>
    <col min="10500" max="10500" width="25.5703125" style="75" customWidth="1"/>
    <col min="10501" max="10501" width="30.28515625" style="75" customWidth="1"/>
    <col min="10502" max="10502" width="25.140625" style="75" customWidth="1"/>
    <col min="10503" max="10750" width="9.140625" style="75"/>
    <col min="10751" max="10751" width="121.140625" style="75" customWidth="1"/>
    <col min="10752" max="10752" width="32.7109375" style="75" customWidth="1"/>
    <col min="10753" max="10755" width="32.85546875" style="75" customWidth="1"/>
    <col min="10756" max="10756" width="25.5703125" style="75" customWidth="1"/>
    <col min="10757" max="10757" width="30.28515625" style="75" customWidth="1"/>
    <col min="10758" max="10758" width="25.140625" style="75" customWidth="1"/>
    <col min="10759" max="11006" width="9.140625" style="75"/>
    <col min="11007" max="11007" width="121.140625" style="75" customWidth="1"/>
    <col min="11008" max="11008" width="32.7109375" style="75" customWidth="1"/>
    <col min="11009" max="11011" width="32.85546875" style="75" customWidth="1"/>
    <col min="11012" max="11012" width="25.5703125" style="75" customWidth="1"/>
    <col min="11013" max="11013" width="30.28515625" style="75" customWidth="1"/>
    <col min="11014" max="11014" width="25.140625" style="75" customWidth="1"/>
    <col min="11015" max="11262" width="9.140625" style="75"/>
    <col min="11263" max="11263" width="121.140625" style="75" customWidth="1"/>
    <col min="11264" max="11264" width="32.7109375" style="75" customWidth="1"/>
    <col min="11265" max="11267" width="32.85546875" style="75" customWidth="1"/>
    <col min="11268" max="11268" width="25.5703125" style="75" customWidth="1"/>
    <col min="11269" max="11269" width="30.28515625" style="75" customWidth="1"/>
    <col min="11270" max="11270" width="25.140625" style="75" customWidth="1"/>
    <col min="11271" max="11518" width="9.140625" style="75"/>
    <col min="11519" max="11519" width="121.140625" style="75" customWidth="1"/>
    <col min="11520" max="11520" width="32.7109375" style="75" customWidth="1"/>
    <col min="11521" max="11523" width="32.85546875" style="75" customWidth="1"/>
    <col min="11524" max="11524" width="25.5703125" style="75" customWidth="1"/>
    <col min="11525" max="11525" width="30.28515625" style="75" customWidth="1"/>
    <col min="11526" max="11526" width="25.140625" style="75" customWidth="1"/>
    <col min="11527" max="11774" width="9.140625" style="75"/>
    <col min="11775" max="11775" width="121.140625" style="75" customWidth="1"/>
    <col min="11776" max="11776" width="32.7109375" style="75" customWidth="1"/>
    <col min="11777" max="11779" width="32.85546875" style="75" customWidth="1"/>
    <col min="11780" max="11780" width="25.5703125" style="75" customWidth="1"/>
    <col min="11781" max="11781" width="30.28515625" style="75" customWidth="1"/>
    <col min="11782" max="11782" width="25.140625" style="75" customWidth="1"/>
    <col min="11783" max="12030" width="9.140625" style="75"/>
    <col min="12031" max="12031" width="121.140625" style="75" customWidth="1"/>
    <col min="12032" max="12032" width="32.7109375" style="75" customWidth="1"/>
    <col min="12033" max="12035" width="32.85546875" style="75" customWidth="1"/>
    <col min="12036" max="12036" width="25.5703125" style="75" customWidth="1"/>
    <col min="12037" max="12037" width="30.28515625" style="75" customWidth="1"/>
    <col min="12038" max="12038" width="25.140625" style="75" customWidth="1"/>
    <col min="12039" max="12286" width="9.140625" style="75"/>
    <col min="12287" max="12287" width="121.140625" style="75" customWidth="1"/>
    <col min="12288" max="12288" width="32.7109375" style="75" customWidth="1"/>
    <col min="12289" max="12291" width="32.85546875" style="75" customWidth="1"/>
    <col min="12292" max="12292" width="25.5703125" style="75" customWidth="1"/>
    <col min="12293" max="12293" width="30.28515625" style="75" customWidth="1"/>
    <col min="12294" max="12294" width="25.140625" style="75" customWidth="1"/>
    <col min="12295" max="12542" width="9.140625" style="75"/>
    <col min="12543" max="12543" width="121.140625" style="75" customWidth="1"/>
    <col min="12544" max="12544" width="32.7109375" style="75" customWidth="1"/>
    <col min="12545" max="12547" width="32.85546875" style="75" customWidth="1"/>
    <col min="12548" max="12548" width="25.5703125" style="75" customWidth="1"/>
    <col min="12549" max="12549" width="30.28515625" style="75" customWidth="1"/>
    <col min="12550" max="12550" width="25.140625" style="75" customWidth="1"/>
    <col min="12551" max="12798" width="9.140625" style="75"/>
    <col min="12799" max="12799" width="121.140625" style="75" customWidth="1"/>
    <col min="12800" max="12800" width="32.7109375" style="75" customWidth="1"/>
    <col min="12801" max="12803" width="32.85546875" style="75" customWidth="1"/>
    <col min="12804" max="12804" width="25.5703125" style="75" customWidth="1"/>
    <col min="12805" max="12805" width="30.28515625" style="75" customWidth="1"/>
    <col min="12806" max="12806" width="25.140625" style="75" customWidth="1"/>
    <col min="12807" max="13054" width="9.140625" style="75"/>
    <col min="13055" max="13055" width="121.140625" style="75" customWidth="1"/>
    <col min="13056" max="13056" width="32.7109375" style="75" customWidth="1"/>
    <col min="13057" max="13059" width="32.85546875" style="75" customWidth="1"/>
    <col min="13060" max="13060" width="25.5703125" style="75" customWidth="1"/>
    <col min="13061" max="13061" width="30.28515625" style="75" customWidth="1"/>
    <col min="13062" max="13062" width="25.140625" style="75" customWidth="1"/>
    <col min="13063" max="13310" width="9.140625" style="75"/>
    <col min="13311" max="13311" width="121.140625" style="75" customWidth="1"/>
    <col min="13312" max="13312" width="32.7109375" style="75" customWidth="1"/>
    <col min="13313" max="13315" width="32.85546875" style="75" customWidth="1"/>
    <col min="13316" max="13316" width="25.5703125" style="75" customWidth="1"/>
    <col min="13317" max="13317" width="30.28515625" style="75" customWidth="1"/>
    <col min="13318" max="13318" width="25.140625" style="75" customWidth="1"/>
    <col min="13319" max="13566" width="9.140625" style="75"/>
    <col min="13567" max="13567" width="121.140625" style="75" customWidth="1"/>
    <col min="13568" max="13568" width="32.7109375" style="75" customWidth="1"/>
    <col min="13569" max="13571" width="32.85546875" style="75" customWidth="1"/>
    <col min="13572" max="13572" width="25.5703125" style="75" customWidth="1"/>
    <col min="13573" max="13573" width="30.28515625" style="75" customWidth="1"/>
    <col min="13574" max="13574" width="25.140625" style="75" customWidth="1"/>
    <col min="13575" max="13822" width="9.140625" style="75"/>
    <col min="13823" max="13823" width="121.140625" style="75" customWidth="1"/>
    <col min="13824" max="13824" width="32.7109375" style="75" customWidth="1"/>
    <col min="13825" max="13827" width="32.85546875" style="75" customWidth="1"/>
    <col min="13828" max="13828" width="25.5703125" style="75" customWidth="1"/>
    <col min="13829" max="13829" width="30.28515625" style="75" customWidth="1"/>
    <col min="13830" max="13830" width="25.140625" style="75" customWidth="1"/>
    <col min="13831" max="14078" width="9.140625" style="75"/>
    <col min="14079" max="14079" width="121.140625" style="75" customWidth="1"/>
    <col min="14080" max="14080" width="32.7109375" style="75" customWidth="1"/>
    <col min="14081" max="14083" width="32.85546875" style="75" customWidth="1"/>
    <col min="14084" max="14084" width="25.5703125" style="75" customWidth="1"/>
    <col min="14085" max="14085" width="30.28515625" style="75" customWidth="1"/>
    <col min="14086" max="14086" width="25.140625" style="75" customWidth="1"/>
    <col min="14087" max="14334" width="9.140625" style="75"/>
    <col min="14335" max="14335" width="121.140625" style="75" customWidth="1"/>
    <col min="14336" max="14336" width="32.7109375" style="75" customWidth="1"/>
    <col min="14337" max="14339" width="32.85546875" style="75" customWidth="1"/>
    <col min="14340" max="14340" width="25.5703125" style="75" customWidth="1"/>
    <col min="14341" max="14341" width="30.28515625" style="75" customWidth="1"/>
    <col min="14342" max="14342" width="25.140625" style="75" customWidth="1"/>
    <col min="14343" max="14590" width="9.140625" style="75"/>
    <col min="14591" max="14591" width="121.140625" style="75" customWidth="1"/>
    <col min="14592" max="14592" width="32.7109375" style="75" customWidth="1"/>
    <col min="14593" max="14595" width="32.85546875" style="75" customWidth="1"/>
    <col min="14596" max="14596" width="25.5703125" style="75" customWidth="1"/>
    <col min="14597" max="14597" width="30.28515625" style="75" customWidth="1"/>
    <col min="14598" max="14598" width="25.140625" style="75" customWidth="1"/>
    <col min="14599" max="14846" width="9.140625" style="75"/>
    <col min="14847" max="14847" width="121.140625" style="75" customWidth="1"/>
    <col min="14848" max="14848" width="32.7109375" style="75" customWidth="1"/>
    <col min="14849" max="14851" width="32.85546875" style="75" customWidth="1"/>
    <col min="14852" max="14852" width="25.5703125" style="75" customWidth="1"/>
    <col min="14853" max="14853" width="30.28515625" style="75" customWidth="1"/>
    <col min="14854" max="14854" width="25.140625" style="75" customWidth="1"/>
    <col min="14855" max="15102" width="9.140625" style="75"/>
    <col min="15103" max="15103" width="121.140625" style="75" customWidth="1"/>
    <col min="15104" max="15104" width="32.7109375" style="75" customWidth="1"/>
    <col min="15105" max="15107" width="32.85546875" style="75" customWidth="1"/>
    <col min="15108" max="15108" width="25.5703125" style="75" customWidth="1"/>
    <col min="15109" max="15109" width="30.28515625" style="75" customWidth="1"/>
    <col min="15110" max="15110" width="25.140625" style="75" customWidth="1"/>
    <col min="15111" max="15358" width="9.140625" style="75"/>
    <col min="15359" max="15359" width="121.140625" style="75" customWidth="1"/>
    <col min="15360" max="15360" width="32.7109375" style="75" customWidth="1"/>
    <col min="15361" max="15363" width="32.85546875" style="75" customWidth="1"/>
    <col min="15364" max="15364" width="25.5703125" style="75" customWidth="1"/>
    <col min="15365" max="15365" width="30.28515625" style="75" customWidth="1"/>
    <col min="15366" max="15366" width="25.140625" style="75" customWidth="1"/>
    <col min="15367" max="15614" width="9.140625" style="75"/>
    <col min="15615" max="15615" width="121.140625" style="75" customWidth="1"/>
    <col min="15616" max="15616" width="32.7109375" style="75" customWidth="1"/>
    <col min="15617" max="15619" width="32.85546875" style="75" customWidth="1"/>
    <col min="15620" max="15620" width="25.5703125" style="75" customWidth="1"/>
    <col min="15621" max="15621" width="30.28515625" style="75" customWidth="1"/>
    <col min="15622" max="15622" width="25.140625" style="75" customWidth="1"/>
    <col min="15623" max="15870" width="9.140625" style="75"/>
    <col min="15871" max="15871" width="121.140625" style="75" customWidth="1"/>
    <col min="15872" max="15872" width="32.7109375" style="75" customWidth="1"/>
    <col min="15873" max="15875" width="32.85546875" style="75" customWidth="1"/>
    <col min="15876" max="15876" width="25.5703125" style="75" customWidth="1"/>
    <col min="15877" max="15877" width="30.28515625" style="75" customWidth="1"/>
    <col min="15878" max="15878" width="25.140625" style="75" customWidth="1"/>
    <col min="15879" max="16126" width="9.140625" style="75"/>
    <col min="16127" max="16127" width="121.140625" style="75" customWidth="1"/>
    <col min="16128" max="16128" width="32.7109375" style="75" customWidth="1"/>
    <col min="16129" max="16131" width="32.85546875" style="75" customWidth="1"/>
    <col min="16132" max="16132" width="25.5703125" style="75" customWidth="1"/>
    <col min="16133" max="16133" width="30.28515625" style="75" customWidth="1"/>
    <col min="16134" max="16134" width="25.140625" style="75" customWidth="1"/>
    <col min="16135" max="16384" width="9.140625" style="75"/>
  </cols>
  <sheetData>
    <row r="1" spans="1:6" s="69" customFormat="1" ht="46.5">
      <c r="A1" s="1" t="s">
        <v>0</v>
      </c>
      <c r="D1" s="277" t="s">
        <v>1</v>
      </c>
      <c r="E1" s="4" t="s">
        <v>120</v>
      </c>
      <c r="F1" s="281"/>
    </row>
    <row r="2" spans="1:6" s="69" customFormat="1" ht="46.5">
      <c r="A2" s="1" t="s">
        <v>2</v>
      </c>
      <c r="B2" s="2"/>
      <c r="C2" s="2"/>
      <c r="D2" s="2"/>
      <c r="E2" s="67"/>
      <c r="F2" s="67"/>
    </row>
    <row r="3" spans="1:6" s="69" customFormat="1" ht="47.25" thickBot="1">
      <c r="A3" s="7" t="s">
        <v>3</v>
      </c>
      <c r="B3" s="8"/>
      <c r="C3" s="8"/>
      <c r="D3" s="8"/>
      <c r="E3" s="67"/>
      <c r="F3" s="67"/>
    </row>
    <row r="4" spans="1:6" s="70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71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70" customFormat="1" ht="26.25">
      <c r="A6" s="18" t="s">
        <v>14</v>
      </c>
      <c r="B6" s="19"/>
      <c r="C6" s="19"/>
      <c r="D6" s="19"/>
      <c r="E6" s="19"/>
      <c r="F6" s="20"/>
    </row>
    <row r="7" spans="1:6" s="70" customFormat="1" ht="26.25">
      <c r="A7" s="18" t="s">
        <v>15</v>
      </c>
      <c r="B7" s="19"/>
      <c r="C7" s="19"/>
      <c r="D7" s="19"/>
      <c r="E7" s="19"/>
      <c r="F7" s="21"/>
    </row>
    <row r="8" spans="1:6" s="70" customFormat="1" ht="26.25">
      <c r="A8" s="22" t="s">
        <v>16</v>
      </c>
      <c r="B8" s="23">
        <v>45788715</v>
      </c>
      <c r="C8" s="23">
        <v>45788715</v>
      </c>
      <c r="D8" s="23">
        <v>46818879</v>
      </c>
      <c r="E8" s="23">
        <v>1030164</v>
      </c>
      <c r="F8" s="24">
        <v>2.2498207254778826E-2</v>
      </c>
    </row>
    <row r="9" spans="1:6" s="70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70" customFormat="1" ht="26.25">
      <c r="A10" s="25" t="s">
        <v>18</v>
      </c>
      <c r="B10" s="255">
        <v>1907531</v>
      </c>
      <c r="C10" s="26">
        <v>1915570</v>
      </c>
      <c r="D10" s="26">
        <v>1766478</v>
      </c>
      <c r="E10" s="26">
        <v>-149092</v>
      </c>
      <c r="F10" s="24">
        <v>-7.7831663682350422E-2</v>
      </c>
    </row>
    <row r="11" spans="1:6" s="70" customFormat="1" ht="26.25">
      <c r="A11" s="27" t="s">
        <v>19</v>
      </c>
      <c r="B11" s="28">
        <v>36848</v>
      </c>
      <c r="C11" s="28">
        <v>36848</v>
      </c>
      <c r="D11" s="28">
        <v>0</v>
      </c>
      <c r="E11" s="26">
        <v>-36848</v>
      </c>
      <c r="F11" s="24">
        <v>-1</v>
      </c>
    </row>
    <row r="12" spans="1:6" s="70" customFormat="1" ht="26.25">
      <c r="A12" s="29" t="s">
        <v>20</v>
      </c>
      <c r="B12" s="28">
        <v>1720683</v>
      </c>
      <c r="C12" s="28">
        <v>1728722</v>
      </c>
      <c r="D12" s="28">
        <v>1766478</v>
      </c>
      <c r="E12" s="26">
        <v>37756</v>
      </c>
      <c r="F12" s="24">
        <v>2.184041158728818E-2</v>
      </c>
    </row>
    <row r="13" spans="1:6" s="70" customFormat="1" ht="26.25">
      <c r="A13" s="29" t="s">
        <v>21</v>
      </c>
      <c r="B13" s="28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70" customFormat="1" ht="26.25">
      <c r="A14" s="29" t="s">
        <v>22</v>
      </c>
      <c r="B14" s="28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70" customFormat="1" ht="26.25">
      <c r="A15" s="29" t="s">
        <v>23</v>
      </c>
      <c r="B15" s="28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70" customFormat="1" ht="26.25">
      <c r="A16" s="29" t="s">
        <v>24</v>
      </c>
      <c r="B16" s="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70" customFormat="1" ht="26.25">
      <c r="A17" s="29" t="s">
        <v>25</v>
      </c>
      <c r="B17" s="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70" customFormat="1" ht="26.25">
      <c r="A18" s="29" t="s">
        <v>26</v>
      </c>
      <c r="B18" s="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70" customFormat="1" ht="26.25">
      <c r="A19" s="29" t="s">
        <v>27</v>
      </c>
      <c r="B19" s="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70" customFormat="1" ht="26.25">
      <c r="A20" s="29" t="s">
        <v>28</v>
      </c>
      <c r="B20" s="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70" customFormat="1" ht="26.25">
      <c r="A21" s="29" t="s">
        <v>29</v>
      </c>
      <c r="B21" s="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70" customFormat="1" ht="26.25">
      <c r="A22" s="29" t="s">
        <v>30</v>
      </c>
      <c r="B22" s="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70" customFormat="1" ht="26.25">
      <c r="A23" s="30" t="s">
        <v>31</v>
      </c>
      <c r="B23" s="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70" customFormat="1" ht="26.25">
      <c r="A24" s="30" t="s">
        <v>32</v>
      </c>
      <c r="B24" s="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70" customFormat="1" ht="26.25">
      <c r="A25" s="30" t="s">
        <v>33</v>
      </c>
      <c r="B25" s="28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70" customFormat="1" ht="26.25">
      <c r="A26" s="30" t="s">
        <v>34</v>
      </c>
      <c r="B26" s="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70" customFormat="1" ht="26.25">
      <c r="A27" s="30" t="s">
        <v>35</v>
      </c>
      <c r="B27" s="28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70" customFormat="1" ht="26.25">
      <c r="A28" s="30" t="s">
        <v>36</v>
      </c>
      <c r="B28" s="28">
        <v>150000</v>
      </c>
      <c r="C28" s="28">
        <v>150000</v>
      </c>
      <c r="D28" s="28">
        <v>0</v>
      </c>
      <c r="E28" s="26">
        <v>-150000</v>
      </c>
      <c r="F28" s="24">
        <v>-1</v>
      </c>
    </row>
    <row r="29" spans="1:6" s="70" customFormat="1" ht="26.25">
      <c r="A29" s="31" t="s">
        <v>37</v>
      </c>
      <c r="B29" s="28"/>
      <c r="C29" s="28"/>
      <c r="D29" s="28"/>
      <c r="E29" s="28"/>
      <c r="F29" s="20"/>
    </row>
    <row r="30" spans="1:6" s="70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70" customFormat="1" ht="26.25">
      <c r="A31" s="32" t="s">
        <v>39</v>
      </c>
      <c r="B31" s="28"/>
      <c r="C31" s="28"/>
      <c r="D31" s="28"/>
      <c r="E31" s="28"/>
      <c r="F31" s="20"/>
    </row>
    <row r="32" spans="1:6" s="70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70" customFormat="1" ht="26.25">
      <c r="A33" s="29" t="s">
        <v>40</v>
      </c>
      <c r="B33" s="28"/>
      <c r="C33" s="28"/>
      <c r="D33" s="28"/>
      <c r="E33" s="26"/>
      <c r="F33" s="24" t="s">
        <v>41</v>
      </c>
    </row>
    <row r="34" spans="1:10" s="72" customFormat="1" ht="26.25">
      <c r="A34" s="33" t="s">
        <v>42</v>
      </c>
      <c r="B34" s="34">
        <v>47696246</v>
      </c>
      <c r="C34" s="34">
        <v>47704285</v>
      </c>
      <c r="D34" s="34">
        <v>48585357</v>
      </c>
      <c r="E34" s="34">
        <v>881072</v>
      </c>
      <c r="F34" s="35">
        <v>1.8469451958036894E-2</v>
      </c>
    </row>
    <row r="35" spans="1:10" s="70" customFormat="1" ht="26.25">
      <c r="A35" s="31" t="s">
        <v>43</v>
      </c>
      <c r="B35" s="28"/>
      <c r="C35" s="28"/>
      <c r="D35" s="28"/>
      <c r="E35" s="28"/>
      <c r="F35" s="20"/>
    </row>
    <row r="36" spans="1:10" s="70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70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70" customFormat="1" ht="26.25">
      <c r="A38" s="38" t="s">
        <v>46</v>
      </c>
      <c r="B38" s="23">
        <v>6935939</v>
      </c>
      <c r="C38" s="23">
        <v>0</v>
      </c>
      <c r="D38" s="23">
        <v>0</v>
      </c>
      <c r="E38" s="26">
        <v>0</v>
      </c>
      <c r="F38" s="24">
        <v>0</v>
      </c>
    </row>
    <row r="39" spans="1:10" s="70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70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72" customFormat="1" ht="26.25">
      <c r="A41" s="31" t="s">
        <v>49</v>
      </c>
      <c r="B41" s="40">
        <v>6935939</v>
      </c>
      <c r="C41" s="40">
        <v>0</v>
      </c>
      <c r="D41" s="40">
        <v>0</v>
      </c>
      <c r="E41" s="40">
        <v>0</v>
      </c>
      <c r="F41" s="35">
        <v>0</v>
      </c>
      <c r="J41" s="72" t="s">
        <v>50</v>
      </c>
    </row>
    <row r="42" spans="1:10" s="70" customFormat="1" ht="26.25">
      <c r="A42" s="29" t="s">
        <v>50</v>
      </c>
      <c r="B42" s="28"/>
      <c r="C42" s="28"/>
      <c r="D42" s="28"/>
      <c r="E42" s="28"/>
      <c r="F42" s="20"/>
    </row>
    <row r="43" spans="1:10" s="72" customFormat="1" ht="26.25">
      <c r="A43" s="41" t="s">
        <v>51</v>
      </c>
      <c r="B43" s="42">
        <v>0</v>
      </c>
      <c r="C43" s="42">
        <v>0</v>
      </c>
      <c r="D43" s="42">
        <v>0</v>
      </c>
      <c r="E43" s="42">
        <v>0</v>
      </c>
      <c r="F43" s="35">
        <v>0</v>
      </c>
    </row>
    <row r="44" spans="1:10" s="70" customFormat="1" ht="26.25">
      <c r="A44" s="29" t="s">
        <v>50</v>
      </c>
      <c r="B44" s="28"/>
      <c r="C44" s="28"/>
      <c r="D44" s="28"/>
      <c r="E44" s="28"/>
      <c r="F44" s="20"/>
    </row>
    <row r="45" spans="1:10" s="72" customFormat="1" ht="26.25">
      <c r="A45" s="41" t="s">
        <v>52</v>
      </c>
      <c r="B45" s="42">
        <v>14261518</v>
      </c>
      <c r="C45" s="42">
        <v>14261518</v>
      </c>
      <c r="D45" s="42">
        <v>0</v>
      </c>
      <c r="E45" s="42">
        <v>-14261518</v>
      </c>
      <c r="F45" s="35">
        <v>-1</v>
      </c>
    </row>
    <row r="46" spans="1:10" s="70" customFormat="1" ht="26.25">
      <c r="A46" s="29" t="s">
        <v>50</v>
      </c>
      <c r="B46" s="28"/>
      <c r="C46" s="28"/>
      <c r="D46" s="28"/>
      <c r="E46" s="28"/>
      <c r="F46" s="20"/>
    </row>
    <row r="47" spans="1:10" s="72" customFormat="1" ht="26.25">
      <c r="A47" s="31" t="s">
        <v>53</v>
      </c>
      <c r="B47" s="40">
        <v>11148782</v>
      </c>
      <c r="C47" s="40">
        <v>8586242</v>
      </c>
      <c r="D47" s="40">
        <v>20039635</v>
      </c>
      <c r="E47" s="40">
        <v>11453393</v>
      </c>
      <c r="F47" s="35">
        <v>1.333923851668751</v>
      </c>
    </row>
    <row r="48" spans="1:10" s="70" customFormat="1" ht="26.25">
      <c r="A48" s="29" t="s">
        <v>50</v>
      </c>
      <c r="B48" s="28"/>
      <c r="C48" s="28"/>
      <c r="D48" s="28"/>
      <c r="E48" s="28"/>
      <c r="F48" s="20"/>
    </row>
    <row r="49" spans="1:6" s="72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70" customFormat="1" ht="26.25">
      <c r="A50" s="31"/>
      <c r="B50" s="19"/>
      <c r="C50" s="19"/>
      <c r="D50" s="19"/>
      <c r="E50" s="19"/>
      <c r="F50" s="45"/>
    </row>
    <row r="51" spans="1:6" s="72" customFormat="1" ht="26.25">
      <c r="A51" s="31" t="s">
        <v>55</v>
      </c>
      <c r="B51" s="40">
        <v>10000</v>
      </c>
      <c r="C51" s="40">
        <v>10000</v>
      </c>
      <c r="D51" s="40">
        <v>0</v>
      </c>
      <c r="E51" s="44">
        <v>-10000</v>
      </c>
      <c r="F51" s="35">
        <v>-1</v>
      </c>
    </row>
    <row r="52" spans="1:6" s="70" customFormat="1" ht="26.25">
      <c r="A52" s="29"/>
      <c r="B52" s="28"/>
      <c r="C52" s="28"/>
      <c r="D52" s="28"/>
      <c r="E52" s="28"/>
      <c r="F52" s="20"/>
    </row>
    <row r="53" spans="1:6" s="72" customFormat="1" ht="26.25">
      <c r="A53" s="46" t="s">
        <v>56</v>
      </c>
      <c r="B53" s="40">
        <v>66180607</v>
      </c>
      <c r="C53" s="40">
        <v>70562045</v>
      </c>
      <c r="D53" s="40">
        <v>68624992</v>
      </c>
      <c r="E53" s="40">
        <v>-1937053</v>
      </c>
      <c r="F53" s="35">
        <v>-2.745176957385518E-2</v>
      </c>
    </row>
    <row r="54" spans="1:6" s="70" customFormat="1" ht="26.25">
      <c r="A54" s="47"/>
      <c r="B54" s="28"/>
      <c r="C54" s="28"/>
      <c r="D54" s="28"/>
      <c r="E54" s="28"/>
      <c r="F54" s="20" t="s">
        <v>50</v>
      </c>
    </row>
    <row r="55" spans="1:6" s="70" customFormat="1" ht="26.25">
      <c r="A55" s="48"/>
      <c r="B55" s="19"/>
      <c r="C55" s="19"/>
      <c r="D55" s="19"/>
      <c r="E55" s="19"/>
      <c r="F55" s="21" t="s">
        <v>50</v>
      </c>
    </row>
    <row r="56" spans="1:6" s="70" customFormat="1" ht="26.25">
      <c r="A56" s="46" t="s">
        <v>57</v>
      </c>
      <c r="B56" s="19"/>
      <c r="C56" s="19"/>
      <c r="D56" s="19"/>
      <c r="E56" s="19"/>
      <c r="F56" s="21"/>
    </row>
    <row r="57" spans="1:6" s="70" customFormat="1" ht="26.25">
      <c r="A57" s="27" t="s">
        <v>58</v>
      </c>
      <c r="B57" s="19">
        <v>35754635</v>
      </c>
      <c r="C57" s="19">
        <v>38325487</v>
      </c>
      <c r="D57" s="19">
        <v>36859564.549999997</v>
      </c>
      <c r="E57" s="19">
        <v>-1465922.450000003</v>
      </c>
      <c r="F57" s="24">
        <v>-3.8249284346993505E-2</v>
      </c>
    </row>
    <row r="58" spans="1:6" s="70" customFormat="1" ht="26.25">
      <c r="A58" s="29" t="s">
        <v>59</v>
      </c>
      <c r="B58" s="28">
        <v>0</v>
      </c>
      <c r="C58" s="28">
        <v>0</v>
      </c>
      <c r="D58" s="28">
        <v>0</v>
      </c>
      <c r="E58" s="28">
        <v>0</v>
      </c>
      <c r="F58" s="24">
        <v>0</v>
      </c>
    </row>
    <row r="59" spans="1:6" s="70" customFormat="1" ht="26.25">
      <c r="A59" s="29" t="s">
        <v>60</v>
      </c>
      <c r="B59" s="28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70" customFormat="1" ht="26.25">
      <c r="A60" s="29" t="s">
        <v>61</v>
      </c>
      <c r="B60" s="28">
        <v>1030205</v>
      </c>
      <c r="C60" s="28">
        <v>1036694</v>
      </c>
      <c r="D60" s="28">
        <v>965588</v>
      </c>
      <c r="E60" s="28">
        <v>-71106</v>
      </c>
      <c r="F60" s="24">
        <v>-6.858918832365192E-2</v>
      </c>
    </row>
    <row r="61" spans="1:6" s="70" customFormat="1" ht="26.25">
      <c r="A61" s="29" t="s">
        <v>62</v>
      </c>
      <c r="B61" s="28">
        <v>5307267</v>
      </c>
      <c r="C61" s="28">
        <v>5558119</v>
      </c>
      <c r="D61" s="28">
        <v>5549157</v>
      </c>
      <c r="E61" s="28">
        <v>-8962</v>
      </c>
      <c r="F61" s="24">
        <v>-1.612415999009737E-3</v>
      </c>
    </row>
    <row r="62" spans="1:6" s="70" customFormat="1" ht="26.25">
      <c r="A62" s="29" t="s">
        <v>63</v>
      </c>
      <c r="B62" s="28">
        <v>14321199.5</v>
      </c>
      <c r="C62" s="28">
        <v>15025674.5</v>
      </c>
      <c r="D62" s="28">
        <v>14808874.949999999</v>
      </c>
      <c r="E62" s="28">
        <v>-216799.55000000075</v>
      </c>
      <c r="F62" s="24">
        <v>-1.4428606848897249E-2</v>
      </c>
    </row>
    <row r="63" spans="1:6" s="70" customFormat="1" ht="26.25">
      <c r="A63" s="29" t="s">
        <v>64</v>
      </c>
      <c r="B63" s="28">
        <v>15027</v>
      </c>
      <c r="C63" s="28">
        <v>15027</v>
      </c>
      <c r="D63" s="28">
        <v>5241</v>
      </c>
      <c r="E63" s="28">
        <v>-9786</v>
      </c>
      <c r="F63" s="24">
        <v>-0.65122778997803954</v>
      </c>
    </row>
    <row r="64" spans="1:6" s="70" customFormat="1" ht="26.25">
      <c r="A64" s="29" t="s">
        <v>65</v>
      </c>
      <c r="B64" s="28">
        <v>7340073.5</v>
      </c>
      <c r="C64" s="28">
        <v>8113482</v>
      </c>
      <c r="D64" s="28">
        <v>7934072.4500000002</v>
      </c>
      <c r="E64" s="28">
        <v>-179409.54999999981</v>
      </c>
      <c r="F64" s="24">
        <v>-2.2112522095938565E-2</v>
      </c>
    </row>
    <row r="65" spans="1:6" s="72" customFormat="1" ht="26.25">
      <c r="A65" s="49" t="s">
        <v>66</v>
      </c>
      <c r="B65" s="34">
        <v>63768407</v>
      </c>
      <c r="C65" s="34">
        <v>68074483.5</v>
      </c>
      <c r="D65" s="34">
        <v>66122497.950000003</v>
      </c>
      <c r="E65" s="34">
        <v>-1951985.549999997</v>
      </c>
      <c r="F65" s="35">
        <v>-2.8674261626972123E-2</v>
      </c>
    </row>
    <row r="66" spans="1:6" s="70" customFormat="1" ht="26.25">
      <c r="A66" s="29" t="s">
        <v>67</v>
      </c>
      <c r="B66" s="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70" customFormat="1" ht="26.25">
      <c r="A67" s="29" t="s">
        <v>68</v>
      </c>
      <c r="B67" s="28">
        <v>2412200</v>
      </c>
      <c r="C67" s="28">
        <v>2487561</v>
      </c>
      <c r="D67" s="28">
        <v>2502494</v>
      </c>
      <c r="E67" s="28">
        <v>14933</v>
      </c>
      <c r="F67" s="24">
        <v>6.0030688694669198E-3</v>
      </c>
    </row>
    <row r="68" spans="1:6" s="70" customFormat="1" ht="26.25">
      <c r="A68" s="29" t="s">
        <v>69</v>
      </c>
      <c r="B68" s="28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70" customFormat="1" ht="26.25">
      <c r="A69" s="29" t="s">
        <v>70</v>
      </c>
      <c r="B69" s="28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72" customFormat="1" ht="26.25">
      <c r="A70" s="50" t="s">
        <v>71</v>
      </c>
      <c r="B70" s="260">
        <v>66180607</v>
      </c>
      <c r="C70" s="51">
        <v>70562044.5</v>
      </c>
      <c r="D70" s="51">
        <v>68624991.950000003</v>
      </c>
      <c r="E70" s="51">
        <v>-1937052.549999997</v>
      </c>
      <c r="F70" s="35">
        <v>-2.7451763391011113E-2</v>
      </c>
    </row>
    <row r="71" spans="1:6" s="70" customFormat="1" ht="26.25">
      <c r="A71" s="48"/>
      <c r="B71" s="19"/>
      <c r="C71" s="19"/>
      <c r="D71" s="19"/>
      <c r="E71" s="19"/>
      <c r="F71" s="21"/>
    </row>
    <row r="72" spans="1:6" s="70" customFormat="1" ht="26.25">
      <c r="A72" s="46" t="s">
        <v>72</v>
      </c>
      <c r="B72" s="19"/>
      <c r="C72" s="19"/>
      <c r="D72" s="19"/>
      <c r="E72" s="19"/>
      <c r="F72" s="21"/>
    </row>
    <row r="73" spans="1:6" s="70" customFormat="1" ht="26.25">
      <c r="A73" s="27" t="s">
        <v>73</v>
      </c>
      <c r="B73" s="23">
        <v>36413417</v>
      </c>
      <c r="C73" s="23">
        <v>37284037</v>
      </c>
      <c r="D73" s="23">
        <v>35684929</v>
      </c>
      <c r="E73" s="19">
        <v>-1599108</v>
      </c>
      <c r="F73" s="24">
        <v>-4.2889883410425753E-2</v>
      </c>
    </row>
    <row r="74" spans="1:6" s="70" customFormat="1" ht="26.25">
      <c r="A74" s="29" t="s">
        <v>74</v>
      </c>
      <c r="B74" s="255">
        <v>813851</v>
      </c>
      <c r="C74" s="23">
        <v>907441</v>
      </c>
      <c r="D74" s="23">
        <v>863373</v>
      </c>
      <c r="E74" s="28">
        <v>-44068</v>
      </c>
      <c r="F74" s="24">
        <v>-4.8562936874132864E-2</v>
      </c>
    </row>
    <row r="75" spans="1:6" s="70" customFormat="1" ht="26.25">
      <c r="A75" s="29" t="s">
        <v>75</v>
      </c>
      <c r="B75" s="19">
        <v>15494669</v>
      </c>
      <c r="C75" s="23">
        <v>15827423</v>
      </c>
      <c r="D75" s="23">
        <v>17162876</v>
      </c>
      <c r="E75" s="28">
        <v>1335453</v>
      </c>
      <c r="F75" s="24">
        <v>8.4375896189796656E-2</v>
      </c>
    </row>
    <row r="76" spans="1:6" s="72" customFormat="1" ht="26.25">
      <c r="A76" s="49" t="s">
        <v>76</v>
      </c>
      <c r="B76" s="260">
        <v>52721937</v>
      </c>
      <c r="C76" s="51">
        <v>54018901</v>
      </c>
      <c r="D76" s="51">
        <v>53711178</v>
      </c>
      <c r="E76" s="34">
        <v>-307723</v>
      </c>
      <c r="F76" s="35">
        <v>-5.6965801655239155E-3</v>
      </c>
    </row>
    <row r="77" spans="1:6" s="70" customFormat="1" ht="26.25">
      <c r="A77" s="29" t="s">
        <v>77</v>
      </c>
      <c r="B77" s="255">
        <v>116745</v>
      </c>
      <c r="C77" s="26">
        <v>202314</v>
      </c>
      <c r="D77" s="26">
        <v>167360</v>
      </c>
      <c r="E77" s="28">
        <v>-34954</v>
      </c>
      <c r="F77" s="24">
        <v>-0.17277103907786906</v>
      </c>
    </row>
    <row r="78" spans="1:6" s="70" customFormat="1" ht="26.25">
      <c r="A78" s="29" t="s">
        <v>78</v>
      </c>
      <c r="B78" s="23">
        <v>5901167.5</v>
      </c>
      <c r="C78" s="23">
        <v>6629612.5</v>
      </c>
      <c r="D78" s="23">
        <v>6467129.9500000002</v>
      </c>
      <c r="E78" s="28">
        <v>-162482.54999999981</v>
      </c>
      <c r="F78" s="24">
        <v>-2.4508604386757116E-2</v>
      </c>
    </row>
    <row r="79" spans="1:6" s="70" customFormat="1" ht="26.25">
      <c r="A79" s="29" t="s">
        <v>79</v>
      </c>
      <c r="B79" s="19">
        <v>2077604</v>
      </c>
      <c r="C79" s="19">
        <v>2756133</v>
      </c>
      <c r="D79" s="19">
        <v>2592547.5499999998</v>
      </c>
      <c r="E79" s="28">
        <v>-163585.45000000019</v>
      </c>
      <c r="F79" s="24">
        <v>-5.9353249643613055E-2</v>
      </c>
    </row>
    <row r="80" spans="1:6" s="72" customFormat="1" ht="26.25">
      <c r="A80" s="32" t="s">
        <v>80</v>
      </c>
      <c r="B80" s="260">
        <v>8095516.5</v>
      </c>
      <c r="C80" s="51">
        <v>9588059.5</v>
      </c>
      <c r="D80" s="51">
        <v>9227037.5</v>
      </c>
      <c r="E80" s="34">
        <v>-361022</v>
      </c>
      <c r="F80" s="35">
        <v>-3.7653291575839722E-2</v>
      </c>
    </row>
    <row r="81" spans="1:6" s="70" customFormat="1" ht="26.25">
      <c r="A81" s="29" t="s">
        <v>81</v>
      </c>
      <c r="B81" s="19">
        <v>219629</v>
      </c>
      <c r="C81" s="19">
        <v>239182</v>
      </c>
      <c r="D81" s="19">
        <v>194462</v>
      </c>
      <c r="E81" s="28">
        <v>-44720</v>
      </c>
      <c r="F81" s="24">
        <v>-0.18697059143246567</v>
      </c>
    </row>
    <row r="82" spans="1:6" s="70" customFormat="1" ht="26.25">
      <c r="A82" s="29" t="s">
        <v>82</v>
      </c>
      <c r="B82" s="28">
        <v>2023801</v>
      </c>
      <c r="C82" s="28">
        <v>2605113</v>
      </c>
      <c r="D82" s="28">
        <v>2400876.4500000002</v>
      </c>
      <c r="E82" s="28">
        <v>-204236.54999999981</v>
      </c>
      <c r="F82" s="24">
        <v>-7.839834586829815E-2</v>
      </c>
    </row>
    <row r="83" spans="1:6" s="70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70" customFormat="1" ht="26.25">
      <c r="A84" s="29" t="s">
        <v>84</v>
      </c>
      <c r="B84" s="28">
        <v>2412200</v>
      </c>
      <c r="C84" s="28">
        <v>2487561</v>
      </c>
      <c r="D84" s="28">
        <v>2502494</v>
      </c>
      <c r="E84" s="28">
        <v>14933</v>
      </c>
      <c r="F84" s="24">
        <v>6.0030688694669198E-3</v>
      </c>
    </row>
    <row r="85" spans="1:6" s="72" customFormat="1" ht="26.25">
      <c r="A85" s="32" t="s">
        <v>85</v>
      </c>
      <c r="B85" s="34">
        <v>4655630</v>
      </c>
      <c r="C85" s="34">
        <v>5331856</v>
      </c>
      <c r="D85" s="34">
        <v>5097832.45</v>
      </c>
      <c r="E85" s="34">
        <v>-234023.54999999981</v>
      </c>
      <c r="F85" s="35">
        <v>-4.3891573590884643E-2</v>
      </c>
    </row>
    <row r="86" spans="1:6" s="70" customFormat="1" ht="26.25">
      <c r="A86" s="29" t="s">
        <v>86</v>
      </c>
      <c r="B86" s="28">
        <v>683412.5</v>
      </c>
      <c r="C86" s="28">
        <v>1589117</v>
      </c>
      <c r="D86" s="28">
        <v>588944</v>
      </c>
      <c r="E86" s="28">
        <v>-1000173</v>
      </c>
      <c r="F86" s="24">
        <v>-0.62938915133372808</v>
      </c>
    </row>
    <row r="87" spans="1:6" s="70" customFormat="1" ht="26.25">
      <c r="A87" s="29" t="s">
        <v>87</v>
      </c>
      <c r="B87" s="28">
        <v>0</v>
      </c>
      <c r="C87" s="28">
        <v>0</v>
      </c>
      <c r="D87" s="28">
        <v>0</v>
      </c>
      <c r="E87" s="28">
        <v>0</v>
      </c>
      <c r="F87" s="24">
        <v>0</v>
      </c>
    </row>
    <row r="88" spans="1:6" s="70" customFormat="1" ht="26.25">
      <c r="A88" s="38" t="s">
        <v>88</v>
      </c>
      <c r="B88" s="28">
        <v>24111</v>
      </c>
      <c r="C88" s="28">
        <v>34111</v>
      </c>
      <c r="D88" s="28">
        <v>0</v>
      </c>
      <c r="E88" s="28">
        <v>-34111</v>
      </c>
      <c r="F88" s="24">
        <v>-1</v>
      </c>
    </row>
    <row r="89" spans="1:6" s="72" customFormat="1" ht="26.25">
      <c r="A89" s="52" t="s">
        <v>89</v>
      </c>
      <c r="B89" s="260">
        <v>707523.5</v>
      </c>
      <c r="C89" s="51">
        <v>1623228</v>
      </c>
      <c r="D89" s="51">
        <v>588944</v>
      </c>
      <c r="E89" s="51">
        <v>-1034284</v>
      </c>
      <c r="F89" s="35">
        <v>-0.6371772788542337</v>
      </c>
    </row>
    <row r="90" spans="1:6" s="70" customFormat="1" ht="26.25">
      <c r="A90" s="38" t="s">
        <v>90</v>
      </c>
      <c r="B90" s="28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72" customFormat="1" ht="27" thickBot="1">
      <c r="A91" s="53" t="s">
        <v>71</v>
      </c>
      <c r="B91" s="263">
        <v>66180607</v>
      </c>
      <c r="C91" s="54">
        <v>70562044.5</v>
      </c>
      <c r="D91" s="55">
        <v>68624991.950000003</v>
      </c>
      <c r="E91" s="54">
        <v>-1937052.549999997</v>
      </c>
      <c r="F91" s="56">
        <v>-2.7451763391011113E-2</v>
      </c>
    </row>
    <row r="92" spans="1:6" s="74" customFormat="1" ht="31.5">
      <c r="A92" s="57"/>
      <c r="B92" s="58"/>
      <c r="C92" s="58"/>
      <c r="D92" s="58"/>
      <c r="E92" s="73"/>
      <c r="F92" s="73"/>
    </row>
    <row r="93" spans="1:6" s="74" customFormat="1" ht="31.5">
      <c r="A93" s="61" t="s">
        <v>91</v>
      </c>
      <c r="B93" s="62"/>
      <c r="C93" s="62"/>
      <c r="D93" s="62"/>
      <c r="E93" s="73"/>
      <c r="F93" s="73"/>
    </row>
    <row r="94" spans="1:6" s="74" customFormat="1" ht="31.5">
      <c r="A94" s="61" t="s">
        <v>92</v>
      </c>
      <c r="B94" s="62"/>
      <c r="C94" s="62"/>
      <c r="D94" s="62"/>
      <c r="E94" s="73"/>
      <c r="F94" s="73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topLeftCell="A67" zoomScale="50" zoomScaleNormal="50" workbookViewId="0">
      <selection activeCell="K13" sqref="K13"/>
    </sheetView>
  </sheetViews>
  <sheetFormatPr defaultRowHeight="15.75"/>
  <cols>
    <col min="1" max="1" width="121.140625" style="75" customWidth="1"/>
    <col min="2" max="2" width="32.7109375" style="76" customWidth="1"/>
    <col min="3" max="4" width="32.85546875" style="76" customWidth="1"/>
    <col min="5" max="5" width="30.28515625" style="75" customWidth="1"/>
    <col min="6" max="6" width="25.140625" style="75" customWidth="1"/>
    <col min="7" max="16384" width="9.140625" style="75"/>
  </cols>
  <sheetData>
    <row r="1" spans="1:6" s="69" customFormat="1" ht="46.5">
      <c r="A1" s="1" t="s">
        <v>0</v>
      </c>
      <c r="D1" s="277" t="s">
        <v>1</v>
      </c>
      <c r="E1" s="289" t="s">
        <v>156</v>
      </c>
      <c r="F1" s="68"/>
    </row>
    <row r="2" spans="1:6" s="69" customFormat="1" ht="46.5">
      <c r="A2" s="1" t="s">
        <v>2</v>
      </c>
      <c r="B2" s="2"/>
      <c r="C2" s="2"/>
      <c r="D2" s="2"/>
      <c r="E2" s="67"/>
      <c r="F2" s="67"/>
    </row>
    <row r="3" spans="1:6" s="69" customFormat="1" ht="47.25" thickBot="1">
      <c r="A3" s="7" t="s">
        <v>3</v>
      </c>
      <c r="B3" s="8"/>
      <c r="C3" s="8"/>
      <c r="D3" s="8"/>
      <c r="E3" s="67"/>
      <c r="F3" s="67"/>
    </row>
    <row r="4" spans="1:6" s="70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71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70" customFormat="1" ht="26.25">
      <c r="A6" s="18" t="s">
        <v>14</v>
      </c>
      <c r="B6" s="19"/>
      <c r="C6" s="19"/>
      <c r="D6" s="19"/>
      <c r="E6" s="19"/>
      <c r="F6" s="20"/>
    </row>
    <row r="7" spans="1:6" s="70" customFormat="1" ht="26.25">
      <c r="A7" s="18" t="s">
        <v>15</v>
      </c>
      <c r="B7" s="19"/>
      <c r="C7" s="19"/>
      <c r="D7" s="19"/>
      <c r="E7" s="19"/>
      <c r="F7" s="21"/>
    </row>
    <row r="8" spans="1:6" s="70" customFormat="1" ht="26.25">
      <c r="A8" s="22" t="s">
        <v>16</v>
      </c>
      <c r="B8" s="23">
        <v>2455660</v>
      </c>
      <c r="C8" s="23">
        <v>2455660</v>
      </c>
      <c r="D8" s="23">
        <v>2612402</v>
      </c>
      <c r="E8" s="23">
        <v>156742</v>
      </c>
      <c r="F8" s="24">
        <v>6.3828868817344425E-2</v>
      </c>
    </row>
    <row r="9" spans="1:6" s="70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70" customFormat="1" ht="26.25">
      <c r="A10" s="25" t="s">
        <v>18</v>
      </c>
      <c r="B10" s="298">
        <v>38597</v>
      </c>
      <c r="C10" s="298">
        <v>38753</v>
      </c>
      <c r="D10" s="298">
        <v>39051</v>
      </c>
      <c r="E10" s="298">
        <v>298</v>
      </c>
      <c r="F10" s="24">
        <v>7.6897272469228185E-3</v>
      </c>
    </row>
    <row r="11" spans="1:6" s="70" customFormat="1" ht="26.25">
      <c r="A11" s="27" t="s">
        <v>19</v>
      </c>
      <c r="B11" s="299">
        <v>0</v>
      </c>
      <c r="C11" s="299">
        <v>0</v>
      </c>
      <c r="D11" s="299">
        <v>0</v>
      </c>
      <c r="E11" s="298">
        <v>0</v>
      </c>
      <c r="F11" s="24">
        <v>0</v>
      </c>
    </row>
    <row r="12" spans="1:6" s="70" customFormat="1" ht="26.25">
      <c r="A12" s="29" t="s">
        <v>20</v>
      </c>
      <c r="B12" s="299">
        <v>38597</v>
      </c>
      <c r="C12" s="299">
        <v>38753</v>
      </c>
      <c r="D12" s="299">
        <v>39051</v>
      </c>
      <c r="E12" s="298">
        <v>298</v>
      </c>
      <c r="F12" s="24">
        <v>7.6897272469228185E-3</v>
      </c>
    </row>
    <row r="13" spans="1:6" s="70" customFormat="1" ht="26.25">
      <c r="A13" s="29" t="s">
        <v>21</v>
      </c>
      <c r="B13" s="299">
        <v>0</v>
      </c>
      <c r="C13" s="299">
        <v>0</v>
      </c>
      <c r="D13" s="299">
        <v>0</v>
      </c>
      <c r="E13" s="298">
        <v>0</v>
      </c>
      <c r="F13" s="24">
        <v>0</v>
      </c>
    </row>
    <row r="14" spans="1:6" s="70" customFormat="1" ht="26.25">
      <c r="A14" s="29" t="s">
        <v>22</v>
      </c>
      <c r="B14" s="299">
        <v>0</v>
      </c>
      <c r="C14" s="299">
        <v>0</v>
      </c>
      <c r="D14" s="299">
        <v>0</v>
      </c>
      <c r="E14" s="298">
        <v>0</v>
      </c>
      <c r="F14" s="24">
        <v>0</v>
      </c>
    </row>
    <row r="15" spans="1:6" s="70" customFormat="1" ht="26.25">
      <c r="A15" s="29" t="s">
        <v>23</v>
      </c>
      <c r="B15" s="299">
        <v>0</v>
      </c>
      <c r="C15" s="299">
        <v>0</v>
      </c>
      <c r="D15" s="299">
        <v>0</v>
      </c>
      <c r="E15" s="298">
        <v>0</v>
      </c>
      <c r="F15" s="24">
        <v>0</v>
      </c>
    </row>
    <row r="16" spans="1:6" s="70" customFormat="1" ht="26.25">
      <c r="A16" s="29" t="s">
        <v>24</v>
      </c>
      <c r="B16" s="299">
        <v>0</v>
      </c>
      <c r="C16" s="299">
        <v>0</v>
      </c>
      <c r="D16" s="299">
        <v>0</v>
      </c>
      <c r="E16" s="298">
        <v>0</v>
      </c>
      <c r="F16" s="24">
        <v>0</v>
      </c>
    </row>
    <row r="17" spans="1:6" s="70" customFormat="1" ht="26.25">
      <c r="A17" s="29" t="s">
        <v>25</v>
      </c>
      <c r="B17" s="299">
        <v>0</v>
      </c>
      <c r="C17" s="299">
        <v>0</v>
      </c>
      <c r="D17" s="299">
        <v>0</v>
      </c>
      <c r="E17" s="298">
        <v>0</v>
      </c>
      <c r="F17" s="24">
        <v>0</v>
      </c>
    </row>
    <row r="18" spans="1:6" s="70" customFormat="1" ht="26.25">
      <c r="A18" s="29" t="s">
        <v>26</v>
      </c>
      <c r="B18" s="299">
        <v>0</v>
      </c>
      <c r="C18" s="299">
        <v>0</v>
      </c>
      <c r="D18" s="299">
        <v>0</v>
      </c>
      <c r="E18" s="298">
        <v>0</v>
      </c>
      <c r="F18" s="24">
        <v>0</v>
      </c>
    </row>
    <row r="19" spans="1:6" s="70" customFormat="1" ht="26.25">
      <c r="A19" s="29" t="s">
        <v>27</v>
      </c>
      <c r="B19" s="299">
        <v>0</v>
      </c>
      <c r="C19" s="299">
        <v>0</v>
      </c>
      <c r="D19" s="299">
        <v>0</v>
      </c>
      <c r="E19" s="298">
        <v>0</v>
      </c>
      <c r="F19" s="24">
        <v>0</v>
      </c>
    </row>
    <row r="20" spans="1:6" s="70" customFormat="1" ht="26.25">
      <c r="A20" s="29" t="s">
        <v>28</v>
      </c>
      <c r="B20" s="299">
        <v>0</v>
      </c>
      <c r="C20" s="299">
        <v>0</v>
      </c>
      <c r="D20" s="299">
        <v>0</v>
      </c>
      <c r="E20" s="298">
        <v>0</v>
      </c>
      <c r="F20" s="24">
        <v>0</v>
      </c>
    </row>
    <row r="21" spans="1:6" s="70" customFormat="1" ht="26.25">
      <c r="A21" s="29" t="s">
        <v>29</v>
      </c>
      <c r="B21" s="299">
        <v>0</v>
      </c>
      <c r="C21" s="299">
        <v>0</v>
      </c>
      <c r="D21" s="299">
        <v>0</v>
      </c>
      <c r="E21" s="298">
        <v>0</v>
      </c>
      <c r="F21" s="24">
        <v>0</v>
      </c>
    </row>
    <row r="22" spans="1:6" s="70" customFormat="1" ht="26.25">
      <c r="A22" s="29" t="s">
        <v>30</v>
      </c>
      <c r="B22" s="299">
        <v>0</v>
      </c>
      <c r="C22" s="299">
        <v>0</v>
      </c>
      <c r="D22" s="299">
        <v>0</v>
      </c>
      <c r="E22" s="298">
        <v>0</v>
      </c>
      <c r="F22" s="24">
        <v>0</v>
      </c>
    </row>
    <row r="23" spans="1:6" s="70" customFormat="1" ht="26.25">
      <c r="A23" s="256" t="s">
        <v>31</v>
      </c>
      <c r="B23" s="299">
        <v>0</v>
      </c>
      <c r="C23" s="299">
        <v>0</v>
      </c>
      <c r="D23" s="299">
        <v>0</v>
      </c>
      <c r="E23" s="298">
        <v>0</v>
      </c>
      <c r="F23" s="24">
        <v>0</v>
      </c>
    </row>
    <row r="24" spans="1:6" s="70" customFormat="1" ht="26.25">
      <c r="A24" s="256" t="s">
        <v>32</v>
      </c>
      <c r="B24" s="299">
        <v>0</v>
      </c>
      <c r="C24" s="299">
        <v>0</v>
      </c>
      <c r="D24" s="299">
        <v>0</v>
      </c>
      <c r="E24" s="298">
        <v>0</v>
      </c>
      <c r="F24" s="24">
        <v>0</v>
      </c>
    </row>
    <row r="25" spans="1:6" s="70" customFormat="1" ht="26.25">
      <c r="A25" s="256" t="s">
        <v>33</v>
      </c>
      <c r="B25" s="299">
        <v>0</v>
      </c>
      <c r="C25" s="299">
        <v>0</v>
      </c>
      <c r="D25" s="299">
        <v>0</v>
      </c>
      <c r="E25" s="298">
        <v>0</v>
      </c>
      <c r="F25" s="24">
        <v>0</v>
      </c>
    </row>
    <row r="26" spans="1:6" s="70" customFormat="1" ht="26.25">
      <c r="A26" s="256" t="s">
        <v>34</v>
      </c>
      <c r="B26" s="299">
        <v>0</v>
      </c>
      <c r="C26" s="299">
        <v>0</v>
      </c>
      <c r="D26" s="299">
        <v>0</v>
      </c>
      <c r="E26" s="298">
        <v>0</v>
      </c>
      <c r="F26" s="24">
        <v>0</v>
      </c>
    </row>
    <row r="27" spans="1:6" s="70" customFormat="1" ht="26.25">
      <c r="A27" s="256" t="s">
        <v>35</v>
      </c>
      <c r="B27" s="299">
        <v>0</v>
      </c>
      <c r="C27" s="299">
        <v>0</v>
      </c>
      <c r="D27" s="299">
        <v>0</v>
      </c>
      <c r="E27" s="298">
        <v>0</v>
      </c>
      <c r="F27" s="24">
        <v>0</v>
      </c>
    </row>
    <row r="28" spans="1:6" s="70" customFormat="1" ht="26.25">
      <c r="A28" s="256" t="s">
        <v>36</v>
      </c>
      <c r="B28" s="299">
        <v>0</v>
      </c>
      <c r="C28" s="299">
        <v>0</v>
      </c>
      <c r="D28" s="299">
        <v>0</v>
      </c>
      <c r="E28" s="298">
        <v>0</v>
      </c>
      <c r="F28" s="24">
        <v>0</v>
      </c>
    </row>
    <row r="29" spans="1:6" s="70" customFormat="1" ht="26.25">
      <c r="A29" s="31" t="s">
        <v>37</v>
      </c>
      <c r="B29" s="299"/>
      <c r="C29" s="299"/>
      <c r="D29" s="299"/>
      <c r="E29" s="299"/>
      <c r="F29" s="305"/>
    </row>
    <row r="30" spans="1:6" s="70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70" customFormat="1" ht="26.25">
      <c r="A31" s="32" t="s">
        <v>39</v>
      </c>
      <c r="B31" s="299"/>
      <c r="C31" s="299"/>
      <c r="D31" s="299"/>
      <c r="E31" s="299"/>
      <c r="F31" s="305"/>
    </row>
    <row r="32" spans="1:6" s="70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70" customFormat="1" ht="26.25">
      <c r="A33" s="29" t="s">
        <v>40</v>
      </c>
      <c r="B33" s="299"/>
      <c r="C33" s="299"/>
      <c r="D33" s="299"/>
      <c r="E33" s="298"/>
      <c r="F33" s="24" t="s">
        <v>41</v>
      </c>
    </row>
    <row r="34" spans="1:10" s="72" customFormat="1" ht="26.25">
      <c r="A34" s="257" t="s">
        <v>42</v>
      </c>
      <c r="B34" s="300">
        <v>2494257</v>
      </c>
      <c r="C34" s="300">
        <v>2494413</v>
      </c>
      <c r="D34" s="300">
        <v>2651453</v>
      </c>
      <c r="E34" s="300">
        <v>157040</v>
      </c>
      <c r="F34" s="35">
        <v>6.2956695623379133E-2</v>
      </c>
    </row>
    <row r="35" spans="1:10" s="70" customFormat="1" ht="26.25">
      <c r="A35" s="31" t="s">
        <v>43</v>
      </c>
      <c r="B35" s="299"/>
      <c r="C35" s="299"/>
      <c r="D35" s="299"/>
      <c r="E35" s="299"/>
      <c r="F35" s="305"/>
    </row>
    <row r="36" spans="1:10" s="70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70" customFormat="1" ht="26.25">
      <c r="A37" s="258" t="s">
        <v>45</v>
      </c>
      <c r="B37" s="23">
        <v>0</v>
      </c>
      <c r="C37" s="23">
        <v>0</v>
      </c>
      <c r="D37" s="23">
        <v>0</v>
      </c>
      <c r="E37" s="298">
        <v>0</v>
      </c>
      <c r="F37" s="24">
        <v>0</v>
      </c>
    </row>
    <row r="38" spans="1:10" s="70" customFormat="1" ht="26.25">
      <c r="A38" s="258" t="s">
        <v>46</v>
      </c>
      <c r="B38" s="23">
        <v>0</v>
      </c>
      <c r="C38" s="23">
        <v>0</v>
      </c>
      <c r="D38" s="23">
        <v>0</v>
      </c>
      <c r="E38" s="298">
        <v>0</v>
      </c>
      <c r="F38" s="24">
        <v>0</v>
      </c>
    </row>
    <row r="39" spans="1:10" s="70" customFormat="1" ht="26.25">
      <c r="A39" s="258" t="s">
        <v>47</v>
      </c>
      <c r="B39" s="23">
        <v>0</v>
      </c>
      <c r="C39" s="23">
        <v>0</v>
      </c>
      <c r="D39" s="23">
        <v>0</v>
      </c>
      <c r="E39" s="298">
        <v>0</v>
      </c>
      <c r="F39" s="24">
        <v>0</v>
      </c>
    </row>
    <row r="40" spans="1:10" s="70" customFormat="1" ht="26.25">
      <c r="A40" s="39" t="s">
        <v>48</v>
      </c>
      <c r="B40" s="23">
        <v>0</v>
      </c>
      <c r="C40" s="23">
        <v>0</v>
      </c>
      <c r="D40" s="23">
        <v>0</v>
      </c>
      <c r="E40" s="298">
        <v>0</v>
      </c>
      <c r="F40" s="24">
        <v>0</v>
      </c>
    </row>
    <row r="41" spans="1:10" s="72" customFormat="1" ht="26.25">
      <c r="A41" s="31" t="s">
        <v>49</v>
      </c>
      <c r="B41" s="40">
        <v>0</v>
      </c>
      <c r="C41" s="40">
        <v>0</v>
      </c>
      <c r="D41" s="40">
        <v>0</v>
      </c>
      <c r="E41" s="40">
        <v>0</v>
      </c>
      <c r="F41" s="35">
        <v>0</v>
      </c>
      <c r="J41" s="72" t="s">
        <v>50</v>
      </c>
    </row>
    <row r="42" spans="1:10" s="70" customFormat="1" ht="26.25">
      <c r="A42" s="29" t="s">
        <v>50</v>
      </c>
      <c r="B42" s="299"/>
      <c r="C42" s="299"/>
      <c r="D42" s="299"/>
      <c r="E42" s="299"/>
      <c r="F42" s="305"/>
    </row>
    <row r="43" spans="1:10" s="72" customFormat="1" ht="26.25">
      <c r="A43" s="41" t="s">
        <v>51</v>
      </c>
      <c r="B43" s="42">
        <v>488807</v>
      </c>
      <c r="C43" s="42">
        <v>675000</v>
      </c>
      <c r="D43" s="42">
        <v>375000</v>
      </c>
      <c r="E43" s="42">
        <v>-300000</v>
      </c>
      <c r="F43" s="35">
        <v>-0.44444444444444442</v>
      </c>
    </row>
    <row r="44" spans="1:10" s="70" customFormat="1" ht="26.25">
      <c r="A44" s="29" t="s">
        <v>50</v>
      </c>
      <c r="B44" s="299"/>
      <c r="C44" s="299"/>
      <c r="D44" s="299"/>
      <c r="E44" s="299"/>
      <c r="F44" s="305"/>
    </row>
    <row r="45" spans="1:10" s="72" customFormat="1" ht="26.25">
      <c r="A45" s="41" t="s">
        <v>52</v>
      </c>
      <c r="B45" s="42">
        <v>0</v>
      </c>
      <c r="C45" s="42">
        <v>0</v>
      </c>
      <c r="D45" s="42">
        <v>0</v>
      </c>
      <c r="E45" s="42">
        <v>0</v>
      </c>
      <c r="F45" s="35">
        <v>0</v>
      </c>
    </row>
    <row r="46" spans="1:10" s="70" customFormat="1" ht="26.25">
      <c r="A46" s="29" t="s">
        <v>50</v>
      </c>
      <c r="B46" s="299"/>
      <c r="C46" s="299"/>
      <c r="D46" s="299"/>
      <c r="E46" s="299"/>
      <c r="F46" s="305"/>
    </row>
    <row r="47" spans="1:10" s="72" customFormat="1" ht="26.25">
      <c r="A47" s="31" t="s">
        <v>53</v>
      </c>
      <c r="B47" s="40">
        <v>1425000</v>
      </c>
      <c r="C47" s="40">
        <v>1425000</v>
      </c>
      <c r="D47" s="40">
        <v>1100000</v>
      </c>
      <c r="E47" s="40">
        <v>-325000</v>
      </c>
      <c r="F47" s="35">
        <v>-0.22807017543859648</v>
      </c>
    </row>
    <row r="48" spans="1:10" s="70" customFormat="1" ht="26.25">
      <c r="A48" s="29" t="s">
        <v>50</v>
      </c>
      <c r="B48" s="299"/>
      <c r="C48" s="299"/>
      <c r="D48" s="299"/>
      <c r="E48" s="299"/>
      <c r="F48" s="305"/>
    </row>
    <row r="49" spans="1:6" s="72" customFormat="1" ht="26.25">
      <c r="A49" s="43" t="s">
        <v>54</v>
      </c>
      <c r="B49" s="44">
        <v>4025769</v>
      </c>
      <c r="C49" s="44">
        <v>4034667</v>
      </c>
      <c r="D49" s="44">
        <v>4034667</v>
      </c>
      <c r="E49" s="44">
        <v>0</v>
      </c>
      <c r="F49" s="35">
        <v>0</v>
      </c>
    </row>
    <row r="50" spans="1:6" s="70" customFormat="1" ht="26.25">
      <c r="A50" s="31"/>
      <c r="B50" s="19"/>
      <c r="C50" s="19"/>
      <c r="D50" s="19"/>
      <c r="E50" s="19"/>
      <c r="F50" s="45"/>
    </row>
    <row r="51" spans="1:6" s="72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70" customFormat="1" ht="26.25">
      <c r="A52" s="29"/>
      <c r="B52" s="299"/>
      <c r="C52" s="299"/>
      <c r="D52" s="299"/>
      <c r="E52" s="299"/>
      <c r="F52" s="305"/>
    </row>
    <row r="53" spans="1:6" s="72" customFormat="1" ht="26.25">
      <c r="A53" s="46" t="s">
        <v>56</v>
      </c>
      <c r="B53" s="40">
        <v>8433833</v>
      </c>
      <c r="C53" s="40">
        <v>8629080</v>
      </c>
      <c r="D53" s="40">
        <v>8161120</v>
      </c>
      <c r="E53" s="40">
        <v>-467960</v>
      </c>
      <c r="F53" s="35">
        <v>-5.423057846259393E-2</v>
      </c>
    </row>
    <row r="54" spans="1:6" s="70" customFormat="1" ht="26.25">
      <c r="A54" s="47"/>
      <c r="B54" s="299"/>
      <c r="C54" s="299"/>
      <c r="D54" s="299"/>
      <c r="E54" s="299"/>
      <c r="F54" s="305" t="s">
        <v>50</v>
      </c>
    </row>
    <row r="55" spans="1:6" s="70" customFormat="1" ht="26.25">
      <c r="A55" s="48"/>
      <c r="B55" s="19"/>
      <c r="C55" s="19"/>
      <c r="D55" s="19"/>
      <c r="E55" s="19"/>
      <c r="F55" s="21" t="s">
        <v>50</v>
      </c>
    </row>
    <row r="56" spans="1:6" s="70" customFormat="1" ht="26.25">
      <c r="A56" s="46" t="s">
        <v>57</v>
      </c>
      <c r="B56" s="19"/>
      <c r="C56" s="19"/>
      <c r="D56" s="19"/>
      <c r="E56" s="19"/>
      <c r="F56" s="21"/>
    </row>
    <row r="57" spans="1:6" s="70" customFormat="1" ht="26.25">
      <c r="A57" s="27" t="s">
        <v>58</v>
      </c>
      <c r="B57" s="19">
        <v>115882</v>
      </c>
      <c r="C57" s="19">
        <v>128413</v>
      </c>
      <c r="D57" s="19">
        <v>145568</v>
      </c>
      <c r="E57" s="19">
        <v>17155</v>
      </c>
      <c r="F57" s="24">
        <v>0.13359239329351388</v>
      </c>
    </row>
    <row r="58" spans="1:6" s="70" customFormat="1" ht="26.25">
      <c r="A58" s="29" t="s">
        <v>59</v>
      </c>
      <c r="B58" s="299">
        <v>2581095</v>
      </c>
      <c r="C58" s="299">
        <v>3531869</v>
      </c>
      <c r="D58" s="299">
        <v>3124233</v>
      </c>
      <c r="E58" s="299">
        <v>-407636</v>
      </c>
      <c r="F58" s="24">
        <v>-0.11541651176756555</v>
      </c>
    </row>
    <row r="59" spans="1:6" s="70" customFormat="1" ht="26.25">
      <c r="A59" s="29" t="s">
        <v>60</v>
      </c>
      <c r="B59" s="299">
        <v>1104699</v>
      </c>
      <c r="C59" s="299">
        <v>907390</v>
      </c>
      <c r="D59" s="299">
        <v>1013577</v>
      </c>
      <c r="E59" s="299">
        <v>106187</v>
      </c>
      <c r="F59" s="24">
        <v>0.11702465312599875</v>
      </c>
    </row>
    <row r="60" spans="1:6" s="70" customFormat="1" ht="26.25">
      <c r="A60" s="29" t="s">
        <v>61</v>
      </c>
      <c r="B60" s="299">
        <v>159017</v>
      </c>
      <c r="C60" s="299">
        <v>166205</v>
      </c>
      <c r="D60" s="299">
        <v>208387</v>
      </c>
      <c r="E60" s="299">
        <v>42182</v>
      </c>
      <c r="F60" s="24">
        <v>0.253795012183749</v>
      </c>
    </row>
    <row r="61" spans="1:6" s="70" customFormat="1" ht="26.25">
      <c r="A61" s="29" t="s">
        <v>62</v>
      </c>
      <c r="B61" s="299">
        <v>0</v>
      </c>
      <c r="C61" s="299">
        <v>0</v>
      </c>
      <c r="D61" s="299">
        <v>0</v>
      </c>
      <c r="E61" s="299">
        <v>0</v>
      </c>
      <c r="F61" s="24">
        <v>0</v>
      </c>
    </row>
    <row r="62" spans="1:6" s="70" customFormat="1" ht="26.25">
      <c r="A62" s="29" t="s">
        <v>63</v>
      </c>
      <c r="B62" s="299">
        <v>436535</v>
      </c>
      <c r="C62" s="299">
        <v>533841</v>
      </c>
      <c r="D62" s="299">
        <v>551736</v>
      </c>
      <c r="E62" s="299">
        <v>17895</v>
      </c>
      <c r="F62" s="24">
        <v>3.352121699157614E-2</v>
      </c>
    </row>
    <row r="63" spans="1:6" s="70" customFormat="1" ht="26.25">
      <c r="A63" s="29" t="s">
        <v>64</v>
      </c>
      <c r="B63" s="299">
        <v>0</v>
      </c>
      <c r="C63" s="299">
        <v>0</v>
      </c>
      <c r="D63" s="299">
        <v>0</v>
      </c>
      <c r="E63" s="299">
        <v>0</v>
      </c>
      <c r="F63" s="24">
        <v>0</v>
      </c>
    </row>
    <row r="64" spans="1:6" s="70" customFormat="1" ht="26.25">
      <c r="A64" s="29" t="s">
        <v>65</v>
      </c>
      <c r="B64" s="299">
        <v>1502736</v>
      </c>
      <c r="C64" s="299">
        <v>981362</v>
      </c>
      <c r="D64" s="299">
        <v>987619</v>
      </c>
      <c r="E64" s="299">
        <v>6257</v>
      </c>
      <c r="F64" s="24">
        <v>6.3758327711894288E-3</v>
      </c>
    </row>
    <row r="65" spans="1:6" s="72" customFormat="1" ht="26.25">
      <c r="A65" s="49" t="s">
        <v>66</v>
      </c>
      <c r="B65" s="300">
        <v>5899964</v>
      </c>
      <c r="C65" s="300">
        <v>6249080</v>
      </c>
      <c r="D65" s="300">
        <v>6031120</v>
      </c>
      <c r="E65" s="300">
        <v>-217960</v>
      </c>
      <c r="F65" s="35">
        <v>-3.4878734149666829E-2</v>
      </c>
    </row>
    <row r="66" spans="1:6" s="70" customFormat="1" ht="26.25">
      <c r="A66" s="29" t="s">
        <v>67</v>
      </c>
      <c r="B66" s="299">
        <v>0</v>
      </c>
      <c r="C66" s="299">
        <v>0</v>
      </c>
      <c r="D66" s="299">
        <v>0</v>
      </c>
      <c r="E66" s="299">
        <v>0</v>
      </c>
      <c r="F66" s="24">
        <v>0</v>
      </c>
    </row>
    <row r="67" spans="1:6" s="70" customFormat="1" ht="26.25">
      <c r="A67" s="29" t="s">
        <v>68</v>
      </c>
      <c r="B67" s="299">
        <v>187064</v>
      </c>
      <c r="C67" s="299">
        <v>0</v>
      </c>
      <c r="D67" s="299">
        <v>0</v>
      </c>
      <c r="E67" s="299">
        <v>0</v>
      </c>
      <c r="F67" s="24">
        <v>0</v>
      </c>
    </row>
    <row r="68" spans="1:6" s="70" customFormat="1" ht="26.25">
      <c r="A68" s="29" t="s">
        <v>69</v>
      </c>
      <c r="B68" s="299">
        <v>0</v>
      </c>
      <c r="C68" s="299">
        <v>0</v>
      </c>
      <c r="D68" s="299">
        <v>0</v>
      </c>
      <c r="E68" s="299">
        <v>0</v>
      </c>
      <c r="F68" s="24">
        <v>0</v>
      </c>
    </row>
    <row r="69" spans="1:6" s="70" customFormat="1" ht="26.25">
      <c r="A69" s="29" t="s">
        <v>70</v>
      </c>
      <c r="B69" s="299">
        <v>2346805</v>
      </c>
      <c r="C69" s="299">
        <v>2380000</v>
      </c>
      <c r="D69" s="299">
        <v>2130000</v>
      </c>
      <c r="E69" s="299">
        <v>-250000</v>
      </c>
      <c r="F69" s="24">
        <v>-0.10504201680672269</v>
      </c>
    </row>
    <row r="70" spans="1:6" s="72" customFormat="1" ht="26.25">
      <c r="A70" s="259" t="s">
        <v>71</v>
      </c>
      <c r="B70" s="301">
        <v>8433833</v>
      </c>
      <c r="C70" s="301">
        <v>8629080</v>
      </c>
      <c r="D70" s="301">
        <v>8161120</v>
      </c>
      <c r="E70" s="301">
        <v>-467960</v>
      </c>
      <c r="F70" s="35">
        <v>-5.423057846259393E-2</v>
      </c>
    </row>
    <row r="71" spans="1:6" s="70" customFormat="1" ht="26.25">
      <c r="A71" s="48"/>
      <c r="B71" s="19"/>
      <c r="C71" s="19"/>
      <c r="D71" s="19"/>
      <c r="E71" s="19"/>
      <c r="F71" s="21"/>
    </row>
    <row r="72" spans="1:6" s="70" customFormat="1" ht="26.25">
      <c r="A72" s="46" t="s">
        <v>72</v>
      </c>
      <c r="B72" s="19"/>
      <c r="C72" s="19"/>
      <c r="D72" s="19"/>
      <c r="E72" s="19"/>
      <c r="F72" s="21"/>
    </row>
    <row r="73" spans="1:6" s="70" customFormat="1" ht="26.25">
      <c r="A73" s="27" t="s">
        <v>73</v>
      </c>
      <c r="B73" s="23">
        <v>3089125</v>
      </c>
      <c r="C73" s="23">
        <v>3092700</v>
      </c>
      <c r="D73" s="23">
        <v>3290866</v>
      </c>
      <c r="E73" s="19">
        <v>198166</v>
      </c>
      <c r="F73" s="24">
        <v>6.4075403369224307E-2</v>
      </c>
    </row>
    <row r="74" spans="1:6" s="70" customFormat="1" ht="26.25">
      <c r="A74" s="29" t="s">
        <v>74</v>
      </c>
      <c r="B74" s="298">
        <v>0</v>
      </c>
      <c r="C74" s="23">
        <v>0</v>
      </c>
      <c r="D74" s="23">
        <v>0</v>
      </c>
      <c r="E74" s="299">
        <v>0</v>
      </c>
      <c r="F74" s="24">
        <v>0</v>
      </c>
    </row>
    <row r="75" spans="1:6" s="70" customFormat="1" ht="26.25">
      <c r="A75" s="29" t="s">
        <v>75</v>
      </c>
      <c r="B75" s="19">
        <v>869272</v>
      </c>
      <c r="C75" s="23">
        <v>870812</v>
      </c>
      <c r="D75" s="23">
        <v>956844</v>
      </c>
      <c r="E75" s="299">
        <v>86032</v>
      </c>
      <c r="F75" s="24">
        <v>9.8795147517489426E-2</v>
      </c>
    </row>
    <row r="76" spans="1:6" s="72" customFormat="1" ht="26.25">
      <c r="A76" s="49" t="s">
        <v>76</v>
      </c>
      <c r="B76" s="301">
        <v>3958397</v>
      </c>
      <c r="C76" s="301">
        <v>3963512</v>
      </c>
      <c r="D76" s="301">
        <v>4247710</v>
      </c>
      <c r="E76" s="300">
        <v>284198</v>
      </c>
      <c r="F76" s="35">
        <v>7.1703580057282529E-2</v>
      </c>
    </row>
    <row r="77" spans="1:6" s="70" customFormat="1" ht="26.25">
      <c r="A77" s="29" t="s">
        <v>77</v>
      </c>
      <c r="B77" s="298">
        <v>0</v>
      </c>
      <c r="C77" s="298">
        <v>0</v>
      </c>
      <c r="D77" s="298">
        <v>0</v>
      </c>
      <c r="E77" s="299">
        <v>0</v>
      </c>
      <c r="F77" s="24">
        <v>0</v>
      </c>
    </row>
    <row r="78" spans="1:6" s="70" customFormat="1" ht="26.25">
      <c r="A78" s="29" t="s">
        <v>78</v>
      </c>
      <c r="B78" s="23">
        <v>205442</v>
      </c>
      <c r="C78" s="23">
        <v>205442</v>
      </c>
      <c r="D78" s="23">
        <v>134497</v>
      </c>
      <c r="E78" s="299">
        <v>-70945</v>
      </c>
      <c r="F78" s="24">
        <v>-0.34532860856105374</v>
      </c>
    </row>
    <row r="79" spans="1:6" s="70" customFormat="1" ht="26.25">
      <c r="A79" s="29" t="s">
        <v>79</v>
      </c>
      <c r="B79" s="19">
        <v>79844</v>
      </c>
      <c r="C79" s="19">
        <v>79844</v>
      </c>
      <c r="D79" s="19">
        <v>88716</v>
      </c>
      <c r="E79" s="299">
        <v>8872</v>
      </c>
      <c r="F79" s="24">
        <v>0.11111667752116627</v>
      </c>
    </row>
    <row r="80" spans="1:6" s="72" customFormat="1" ht="26.25">
      <c r="A80" s="32" t="s">
        <v>80</v>
      </c>
      <c r="B80" s="301">
        <v>285286</v>
      </c>
      <c r="C80" s="301">
        <v>285286</v>
      </c>
      <c r="D80" s="301">
        <v>223213</v>
      </c>
      <c r="E80" s="300">
        <v>-62073</v>
      </c>
      <c r="F80" s="35">
        <v>-0.21758165490069614</v>
      </c>
    </row>
    <row r="81" spans="1:6" s="70" customFormat="1" ht="26.25">
      <c r="A81" s="29" t="s">
        <v>81</v>
      </c>
      <c r="B81" s="19">
        <v>0</v>
      </c>
      <c r="C81" s="19">
        <v>0</v>
      </c>
      <c r="D81" s="19">
        <v>0</v>
      </c>
      <c r="E81" s="299">
        <v>0</v>
      </c>
      <c r="F81" s="24">
        <v>0</v>
      </c>
    </row>
    <row r="82" spans="1:6" s="70" customFormat="1" ht="26.25">
      <c r="A82" s="29" t="s">
        <v>82</v>
      </c>
      <c r="B82" s="299">
        <v>3554571</v>
      </c>
      <c r="C82" s="299">
        <v>3912604</v>
      </c>
      <c r="D82" s="299">
        <v>3257404</v>
      </c>
      <c r="E82" s="299">
        <v>-655200</v>
      </c>
      <c r="F82" s="24">
        <v>-0.16745880748473396</v>
      </c>
    </row>
    <row r="83" spans="1:6" s="70" customFormat="1" ht="26.25">
      <c r="A83" s="29" t="s">
        <v>83</v>
      </c>
      <c r="B83" s="299">
        <v>0</v>
      </c>
      <c r="C83" s="299">
        <v>0</v>
      </c>
      <c r="D83" s="299">
        <v>0</v>
      </c>
      <c r="E83" s="299">
        <v>0</v>
      </c>
      <c r="F83" s="24">
        <v>0</v>
      </c>
    </row>
    <row r="84" spans="1:6" s="70" customFormat="1" ht="26.25">
      <c r="A84" s="29" t="s">
        <v>84</v>
      </c>
      <c r="B84" s="299">
        <v>592440</v>
      </c>
      <c r="C84" s="299">
        <v>424538</v>
      </c>
      <c r="D84" s="299">
        <v>400101</v>
      </c>
      <c r="E84" s="299">
        <v>-24437</v>
      </c>
      <c r="F84" s="24">
        <v>-5.7561396152994548E-2</v>
      </c>
    </row>
    <row r="85" spans="1:6" s="72" customFormat="1" ht="26.25">
      <c r="A85" s="32" t="s">
        <v>85</v>
      </c>
      <c r="B85" s="300">
        <v>4147011</v>
      </c>
      <c r="C85" s="300">
        <v>4337142</v>
      </c>
      <c r="D85" s="300">
        <v>3657505</v>
      </c>
      <c r="E85" s="300">
        <v>-679637</v>
      </c>
      <c r="F85" s="35">
        <v>-0.15670157905828308</v>
      </c>
    </row>
    <row r="86" spans="1:6" s="70" customFormat="1" ht="26.25">
      <c r="A86" s="29" t="s">
        <v>86</v>
      </c>
      <c r="B86" s="299">
        <v>18196</v>
      </c>
      <c r="C86" s="299">
        <v>17933</v>
      </c>
      <c r="D86" s="299">
        <v>17933</v>
      </c>
      <c r="E86" s="299">
        <v>0</v>
      </c>
      <c r="F86" s="24">
        <v>0</v>
      </c>
    </row>
    <row r="87" spans="1:6" s="70" customFormat="1" ht="26.25">
      <c r="A87" s="29" t="s">
        <v>87</v>
      </c>
      <c r="B87" s="299">
        <v>24943</v>
      </c>
      <c r="C87" s="299">
        <v>25207</v>
      </c>
      <c r="D87" s="299">
        <v>14759</v>
      </c>
      <c r="E87" s="299">
        <v>-10448</v>
      </c>
      <c r="F87" s="24">
        <v>-0.4144880390367755</v>
      </c>
    </row>
    <row r="88" spans="1:6" s="70" customFormat="1" ht="26.25">
      <c r="A88" s="258" t="s">
        <v>88</v>
      </c>
      <c r="B88" s="299">
        <v>0</v>
      </c>
      <c r="C88" s="299">
        <v>0</v>
      </c>
      <c r="D88" s="299">
        <v>0</v>
      </c>
      <c r="E88" s="299">
        <v>0</v>
      </c>
      <c r="F88" s="24">
        <v>0</v>
      </c>
    </row>
    <row r="89" spans="1:6" s="72" customFormat="1" ht="26.25">
      <c r="A89" s="261" t="s">
        <v>89</v>
      </c>
      <c r="B89" s="301">
        <v>43139</v>
      </c>
      <c r="C89" s="301">
        <v>43140</v>
      </c>
      <c r="D89" s="301">
        <v>32692</v>
      </c>
      <c r="E89" s="301">
        <v>-10448</v>
      </c>
      <c r="F89" s="35">
        <v>-0.24218822438572091</v>
      </c>
    </row>
    <row r="90" spans="1:6" s="70" customFormat="1" ht="26.25">
      <c r="A90" s="258" t="s">
        <v>90</v>
      </c>
      <c r="B90" s="299">
        <v>0</v>
      </c>
      <c r="C90" s="299">
        <v>0</v>
      </c>
      <c r="D90" s="298">
        <v>0</v>
      </c>
      <c r="E90" s="299">
        <v>0</v>
      </c>
      <c r="F90" s="24">
        <v>0</v>
      </c>
    </row>
    <row r="91" spans="1:6" s="72" customFormat="1" ht="27" thickBot="1">
      <c r="A91" s="262" t="s">
        <v>71</v>
      </c>
      <c r="B91" s="302">
        <v>8433833</v>
      </c>
      <c r="C91" s="302">
        <v>8629080</v>
      </c>
      <c r="D91" s="55">
        <v>8161120</v>
      </c>
      <c r="E91" s="302">
        <v>-467960</v>
      </c>
      <c r="F91" s="56">
        <v>-5.423057846259393E-2</v>
      </c>
    </row>
    <row r="92" spans="1:6" s="74" customFormat="1" ht="31.5">
      <c r="A92" s="57"/>
      <c r="B92" s="58"/>
      <c r="C92" s="58"/>
      <c r="D92" s="58"/>
      <c r="E92" s="73"/>
      <c r="F92" s="73"/>
    </row>
    <row r="93" spans="1:6" s="74" customFormat="1" ht="31.5">
      <c r="A93" s="61" t="s">
        <v>91</v>
      </c>
      <c r="B93" s="62"/>
      <c r="C93" s="62"/>
      <c r="D93" s="62"/>
      <c r="E93" s="73"/>
      <c r="F93" s="73"/>
    </row>
    <row r="94" spans="1:6" s="74" customFormat="1" ht="31.5">
      <c r="A94" s="61" t="s">
        <v>92</v>
      </c>
      <c r="B94" s="62"/>
      <c r="C94" s="62"/>
      <c r="D94" s="62"/>
      <c r="E94" s="73"/>
      <c r="F94" s="73"/>
    </row>
    <row r="95" spans="1:6">
      <c r="A95" s="63" t="s">
        <v>50</v>
      </c>
      <c r="B95" s="64"/>
      <c r="C95" s="64"/>
      <c r="D95" s="64"/>
    </row>
  </sheetData>
  <pageMargins left="0.7" right="0.7" top="0.32" bottom="0.32" header="0.3" footer="0.3"/>
  <pageSetup scale="3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topLeftCell="A22" zoomScale="50" zoomScaleNormal="50" workbookViewId="0">
      <selection activeCell="B54" sqref="B54"/>
    </sheetView>
  </sheetViews>
  <sheetFormatPr defaultRowHeight="15.75"/>
  <cols>
    <col min="1" max="1" width="120.7109375" style="65" customWidth="1"/>
    <col min="2" max="2" width="32.7109375" style="66" customWidth="1"/>
    <col min="3" max="3" width="32.42578125" style="66" customWidth="1"/>
    <col min="4" max="4" width="32.85546875" style="66" customWidth="1"/>
    <col min="5" max="5" width="30.285156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289" t="s">
        <v>95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164938298</v>
      </c>
      <c r="C8" s="23">
        <v>165351609</v>
      </c>
      <c r="D8" s="23">
        <v>84337798</v>
      </c>
      <c r="E8" s="23">
        <v>-81013811</v>
      </c>
      <c r="F8" s="24">
        <v>-0.48994873100992925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55">
        <v>16098929</v>
      </c>
      <c r="C10" s="26">
        <v>16098929</v>
      </c>
      <c r="D10" s="26">
        <v>108270143</v>
      </c>
      <c r="E10" s="26">
        <v>92171214</v>
      </c>
      <c r="F10" s="24">
        <v>5.7253009812019169</v>
      </c>
    </row>
    <row r="11" spans="1:6" s="13" customFormat="1" ht="26.25">
      <c r="A11" s="27" t="s">
        <v>19</v>
      </c>
      <c r="B11" s="28">
        <v>0</v>
      </c>
      <c r="C11" s="28">
        <v>0</v>
      </c>
      <c r="D11" s="28">
        <v>0</v>
      </c>
      <c r="E11" s="26">
        <v>0</v>
      </c>
      <c r="F11" s="24">
        <v>0</v>
      </c>
    </row>
    <row r="12" spans="1:6" s="13" customFormat="1" ht="26.25">
      <c r="A12" s="29" t="s">
        <v>20</v>
      </c>
      <c r="B12" s="28">
        <v>0</v>
      </c>
      <c r="C12" s="28">
        <v>0</v>
      </c>
      <c r="D12" s="28">
        <v>0</v>
      </c>
      <c r="E12" s="26">
        <v>0</v>
      </c>
      <c r="F12" s="24">
        <v>0</v>
      </c>
    </row>
    <row r="13" spans="1:6" s="13" customFormat="1" ht="26.25">
      <c r="A13" s="29" t="s">
        <v>21</v>
      </c>
      <c r="B13" s="28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8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13" customFormat="1" ht="26.25">
      <c r="A15" s="29" t="s">
        <v>23</v>
      </c>
      <c r="B15" s="28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8">
        <v>60000</v>
      </c>
      <c r="C25" s="28">
        <v>60000</v>
      </c>
      <c r="D25" s="28">
        <v>60000</v>
      </c>
      <c r="E25" s="26">
        <v>0</v>
      </c>
      <c r="F25" s="24">
        <v>0</v>
      </c>
    </row>
    <row r="26" spans="1:6" s="13" customFormat="1" ht="26.25">
      <c r="A26" s="30" t="s">
        <v>34</v>
      </c>
      <c r="B26" s="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8">
        <v>16038929</v>
      </c>
      <c r="C27" s="28">
        <v>16038929</v>
      </c>
      <c r="D27" s="28">
        <v>15924186</v>
      </c>
      <c r="E27" s="26">
        <v>-114743</v>
      </c>
      <c r="F27" s="24">
        <v>-7.1540312947329585E-3</v>
      </c>
    </row>
    <row r="28" spans="1:6" s="13" customFormat="1" ht="26.25">
      <c r="A28" s="30" t="s">
        <v>36</v>
      </c>
      <c r="B28" s="28">
        <v>0</v>
      </c>
      <c r="C28" s="28">
        <v>0</v>
      </c>
      <c r="D28" s="28">
        <v>92285957</v>
      </c>
      <c r="E28" s="26">
        <v>92285957</v>
      </c>
      <c r="F28" s="24">
        <v>1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4">
        <v>181037227</v>
      </c>
      <c r="C34" s="34">
        <v>181450538</v>
      </c>
      <c r="D34" s="34">
        <v>192607941</v>
      </c>
      <c r="E34" s="34">
        <v>11157403</v>
      </c>
      <c r="F34" s="35">
        <v>6.1490051906046152E-2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13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13" customFormat="1" ht="26.25">
      <c r="A38" s="38" t="s">
        <v>46</v>
      </c>
      <c r="B38" s="23">
        <v>0</v>
      </c>
      <c r="C38" s="23">
        <v>0</v>
      </c>
      <c r="D38" s="23">
        <v>0</v>
      </c>
      <c r="E38" s="26">
        <v>0</v>
      </c>
      <c r="F38" s="24">
        <v>0</v>
      </c>
    </row>
    <row r="39" spans="1:10" s="13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13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0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42">
        <v>213843</v>
      </c>
      <c r="C43" s="42">
        <v>848013</v>
      </c>
      <c r="D43" s="42">
        <v>403956</v>
      </c>
      <c r="E43" s="42">
        <v>-444057</v>
      </c>
      <c r="F43" s="35">
        <v>-0.52364409507873111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0</v>
      </c>
      <c r="C45" s="42">
        <v>0</v>
      </c>
      <c r="D45" s="42">
        <v>0</v>
      </c>
      <c r="E45" s="42">
        <v>0</v>
      </c>
      <c r="F45" s="35">
        <v>0</v>
      </c>
    </row>
    <row r="46" spans="1:10" s="13" customFormat="1" ht="26.25">
      <c r="A46" s="29" t="s">
        <v>50</v>
      </c>
      <c r="B46" s="28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85066</v>
      </c>
      <c r="C47" s="40">
        <v>120864</v>
      </c>
      <c r="D47" s="40">
        <v>120864</v>
      </c>
      <c r="E47" s="40">
        <v>0</v>
      </c>
      <c r="F47" s="35">
        <v>0</v>
      </c>
    </row>
    <row r="48" spans="1:10" s="13" customFormat="1" ht="26.25">
      <c r="A48" s="29" t="s">
        <v>50</v>
      </c>
      <c r="B48" s="28"/>
      <c r="C48" s="28"/>
      <c r="D48" s="28"/>
      <c r="E48" s="28"/>
      <c r="F48" s="20"/>
    </row>
    <row r="49" spans="1:6" s="36" customFormat="1" ht="26.25">
      <c r="A49" s="43" t="s">
        <v>54</v>
      </c>
      <c r="B49" s="44">
        <v>38793437</v>
      </c>
      <c r="C49" s="44">
        <v>52173742</v>
      </c>
      <c r="D49" s="44">
        <v>52221573</v>
      </c>
      <c r="E49" s="44">
        <v>47831</v>
      </c>
      <c r="F49" s="35">
        <v>9.1676383879078479E-4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8">
        <v>0</v>
      </c>
      <c r="C52" s="28"/>
      <c r="D52" s="28"/>
      <c r="E52" s="28"/>
      <c r="F52" s="20"/>
    </row>
    <row r="53" spans="1:6" s="36" customFormat="1" ht="26.25">
      <c r="A53" s="46" t="s">
        <v>56</v>
      </c>
      <c r="B53" s="40">
        <v>220129573</v>
      </c>
      <c r="C53" s="40">
        <v>234593157</v>
      </c>
      <c r="D53" s="40">
        <v>245354334</v>
      </c>
      <c r="E53" s="40">
        <v>10761177</v>
      </c>
      <c r="F53" s="35">
        <v>4.5871657714210305E-2</v>
      </c>
    </row>
    <row r="54" spans="1:6" s="13" customFormat="1" ht="26.25">
      <c r="A54" s="47"/>
      <c r="B54" s="28"/>
      <c r="C54" s="28"/>
      <c r="D54" s="28"/>
      <c r="E54" s="28"/>
      <c r="F54" s="20" t="s">
        <v>50</v>
      </c>
    </row>
    <row r="55" spans="1:6" s="13" customFormat="1" ht="26.25">
      <c r="A55" s="48"/>
      <c r="B55" s="19">
        <v>0</v>
      </c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0</v>
      </c>
      <c r="C57" s="19">
        <v>0</v>
      </c>
      <c r="D57" s="19">
        <v>0</v>
      </c>
      <c r="E57" s="19">
        <v>0</v>
      </c>
      <c r="F57" s="24">
        <v>0</v>
      </c>
    </row>
    <row r="58" spans="1:6" s="13" customFormat="1" ht="26.25">
      <c r="A58" s="29" t="s">
        <v>59</v>
      </c>
      <c r="B58" s="28">
        <v>0</v>
      </c>
      <c r="C58" s="28">
        <v>0</v>
      </c>
      <c r="D58" s="28">
        <v>0</v>
      </c>
      <c r="E58" s="28">
        <v>0</v>
      </c>
      <c r="F58" s="24">
        <v>0</v>
      </c>
    </row>
    <row r="59" spans="1:6" s="13" customFormat="1" ht="26.25">
      <c r="A59" s="29" t="s">
        <v>60</v>
      </c>
      <c r="B59" s="28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13" customFormat="1" ht="26.25">
      <c r="A60" s="29" t="s">
        <v>61</v>
      </c>
      <c r="B60" s="28">
        <v>0</v>
      </c>
      <c r="C60" s="28">
        <v>0</v>
      </c>
      <c r="D60" s="28">
        <v>0</v>
      </c>
      <c r="E60" s="28">
        <v>0</v>
      </c>
      <c r="F60" s="24">
        <v>0</v>
      </c>
    </row>
    <row r="61" spans="1:6" s="13" customFormat="1" ht="26.25">
      <c r="A61" s="29" t="s">
        <v>62</v>
      </c>
      <c r="B61" s="28">
        <v>8201177</v>
      </c>
      <c r="C61" s="28">
        <v>11374132</v>
      </c>
      <c r="D61" s="28">
        <v>11179683</v>
      </c>
      <c r="E61" s="28">
        <v>-194449</v>
      </c>
      <c r="F61" s="24">
        <v>-1.7095722117520706E-2</v>
      </c>
    </row>
    <row r="62" spans="1:6" s="13" customFormat="1" ht="26.25">
      <c r="A62" s="29" t="s">
        <v>63</v>
      </c>
      <c r="B62" s="28">
        <v>0</v>
      </c>
      <c r="C62" s="28">
        <v>0</v>
      </c>
      <c r="D62" s="28">
        <v>0</v>
      </c>
      <c r="E62" s="28">
        <v>0</v>
      </c>
      <c r="F62" s="24">
        <v>0</v>
      </c>
    </row>
    <row r="63" spans="1:6" s="13" customFormat="1" ht="26.25">
      <c r="A63" s="29" t="s">
        <v>64</v>
      </c>
      <c r="B63" s="28">
        <v>178722014</v>
      </c>
      <c r="C63" s="28">
        <v>179719487</v>
      </c>
      <c r="D63" s="28">
        <v>190806507</v>
      </c>
      <c r="E63" s="28">
        <v>11087020</v>
      </c>
      <c r="F63" s="24">
        <v>6.1690694676866067E-2</v>
      </c>
    </row>
    <row r="64" spans="1:6" s="13" customFormat="1" ht="26.25">
      <c r="A64" s="29" t="s">
        <v>65</v>
      </c>
      <c r="B64" s="28">
        <v>0</v>
      </c>
      <c r="C64" s="28">
        <v>0</v>
      </c>
      <c r="D64" s="28">
        <v>0</v>
      </c>
      <c r="E64" s="28">
        <v>0</v>
      </c>
      <c r="F64" s="24">
        <v>0</v>
      </c>
    </row>
    <row r="65" spans="1:6" s="36" customFormat="1" ht="26.25">
      <c r="A65" s="49" t="s">
        <v>66</v>
      </c>
      <c r="B65" s="34">
        <v>186923191</v>
      </c>
      <c r="C65" s="34">
        <v>191093619</v>
      </c>
      <c r="D65" s="34">
        <v>201986190</v>
      </c>
      <c r="E65" s="34">
        <v>10892571</v>
      </c>
      <c r="F65" s="35">
        <v>5.7001228282771703E-2</v>
      </c>
    </row>
    <row r="66" spans="1:6" s="13" customFormat="1" ht="26.25">
      <c r="A66" s="29" t="s">
        <v>67</v>
      </c>
      <c r="B66" s="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8">
        <v>0</v>
      </c>
      <c r="C67" s="28">
        <v>0</v>
      </c>
      <c r="D67" s="28">
        <v>0</v>
      </c>
      <c r="E67" s="28">
        <v>0</v>
      </c>
      <c r="F67" s="24">
        <v>0</v>
      </c>
    </row>
    <row r="68" spans="1:6" s="13" customFormat="1" ht="26.25">
      <c r="A68" s="29" t="s">
        <v>69</v>
      </c>
      <c r="B68" s="28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13" customFormat="1" ht="26.25">
      <c r="A69" s="29" t="s">
        <v>70</v>
      </c>
      <c r="B69" s="28">
        <v>33206382</v>
      </c>
      <c r="C69" s="28">
        <v>43499538</v>
      </c>
      <c r="D69" s="28">
        <v>43368144</v>
      </c>
      <c r="E69" s="28">
        <v>-131394</v>
      </c>
      <c r="F69" s="24">
        <v>-3.0205838048210994E-3</v>
      </c>
    </row>
    <row r="70" spans="1:6" s="36" customFormat="1" ht="26.25">
      <c r="A70" s="50" t="s">
        <v>71</v>
      </c>
      <c r="B70" s="260">
        <v>220129573</v>
      </c>
      <c r="C70" s="51">
        <v>234593157</v>
      </c>
      <c r="D70" s="51">
        <v>245354334</v>
      </c>
      <c r="E70" s="51">
        <v>10761177</v>
      </c>
      <c r="F70" s="35">
        <v>4.5871657714210305E-2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6463324</v>
      </c>
      <c r="C73" s="23">
        <v>6494280</v>
      </c>
      <c r="D73" s="23">
        <v>6738877</v>
      </c>
      <c r="E73" s="19">
        <v>244597</v>
      </c>
      <c r="F73" s="24">
        <v>3.7663451529653787E-2</v>
      </c>
    </row>
    <row r="74" spans="1:6" s="13" customFormat="1" ht="26.25">
      <c r="A74" s="29" t="s">
        <v>74</v>
      </c>
      <c r="B74" s="255">
        <v>176703</v>
      </c>
      <c r="C74" s="23">
        <v>188008</v>
      </c>
      <c r="D74" s="23">
        <v>236717</v>
      </c>
      <c r="E74" s="28">
        <v>48709</v>
      </c>
      <c r="F74" s="24">
        <v>0.25907940087655845</v>
      </c>
    </row>
    <row r="75" spans="1:6" s="13" customFormat="1" ht="26.25">
      <c r="A75" s="29" t="s">
        <v>75</v>
      </c>
      <c r="B75" s="19">
        <v>2241781</v>
      </c>
      <c r="C75" s="23">
        <v>2260951</v>
      </c>
      <c r="D75" s="23">
        <v>2597667</v>
      </c>
      <c r="E75" s="28">
        <v>336716</v>
      </c>
      <c r="F75" s="24">
        <v>0.14892671269744456</v>
      </c>
    </row>
    <row r="76" spans="1:6" s="36" customFormat="1" ht="26.25">
      <c r="A76" s="49" t="s">
        <v>76</v>
      </c>
      <c r="B76" s="260">
        <v>8881808</v>
      </c>
      <c r="C76" s="51">
        <v>8943239</v>
      </c>
      <c r="D76" s="51">
        <v>9573261</v>
      </c>
      <c r="E76" s="34">
        <v>630022</v>
      </c>
      <c r="F76" s="35">
        <v>7.0446736355810238E-2</v>
      </c>
    </row>
    <row r="77" spans="1:6" s="13" customFormat="1" ht="26.25">
      <c r="A77" s="29" t="s">
        <v>77</v>
      </c>
      <c r="B77" s="255">
        <v>89458</v>
      </c>
      <c r="C77" s="26">
        <v>122408</v>
      </c>
      <c r="D77" s="26">
        <v>150538</v>
      </c>
      <c r="E77" s="28">
        <v>28130</v>
      </c>
      <c r="F77" s="24">
        <v>0.22980524148748449</v>
      </c>
    </row>
    <row r="78" spans="1:6" s="13" customFormat="1" ht="26.25">
      <c r="A78" s="29" t="s">
        <v>78</v>
      </c>
      <c r="B78" s="23">
        <v>1007655</v>
      </c>
      <c r="C78" s="23">
        <v>1250298</v>
      </c>
      <c r="D78" s="23">
        <v>1703695</v>
      </c>
      <c r="E78" s="28">
        <v>453397</v>
      </c>
      <c r="F78" s="24">
        <v>0.36263114873414176</v>
      </c>
    </row>
    <row r="79" spans="1:6" s="13" customFormat="1" ht="26.25">
      <c r="A79" s="29" t="s">
        <v>79</v>
      </c>
      <c r="B79" s="19">
        <v>70273</v>
      </c>
      <c r="C79" s="19">
        <v>136925</v>
      </c>
      <c r="D79" s="19">
        <v>141423</v>
      </c>
      <c r="E79" s="28">
        <v>4498</v>
      </c>
      <c r="F79" s="24">
        <v>3.2850100419937925E-2</v>
      </c>
    </row>
    <row r="80" spans="1:6" s="36" customFormat="1" ht="26.25">
      <c r="A80" s="32" t="s">
        <v>80</v>
      </c>
      <c r="B80" s="260">
        <v>1167386</v>
      </c>
      <c r="C80" s="51">
        <v>1509631</v>
      </c>
      <c r="D80" s="51">
        <v>1995656</v>
      </c>
      <c r="E80" s="34">
        <v>486025</v>
      </c>
      <c r="F80" s="35">
        <v>0.32194953601244275</v>
      </c>
    </row>
    <row r="81" spans="1:6" s="13" customFormat="1" ht="26.25">
      <c r="A81" s="29" t="s">
        <v>81</v>
      </c>
      <c r="B81" s="19">
        <v>710835</v>
      </c>
      <c r="C81" s="19">
        <v>2468227</v>
      </c>
      <c r="D81" s="19">
        <v>740204</v>
      </c>
      <c r="E81" s="28">
        <v>-1728023</v>
      </c>
      <c r="F81" s="24">
        <v>-0.70010699988291192</v>
      </c>
    </row>
    <row r="82" spans="1:6" s="13" customFormat="1" ht="26.25">
      <c r="A82" s="29" t="s">
        <v>82</v>
      </c>
      <c r="B82" s="28">
        <v>208013486</v>
      </c>
      <c r="C82" s="28">
        <v>219765115</v>
      </c>
      <c r="D82" s="28">
        <v>230609418</v>
      </c>
      <c r="E82" s="28">
        <v>10844303</v>
      </c>
      <c r="F82" s="24">
        <v>4.9344969969414842E-2</v>
      </c>
    </row>
    <row r="83" spans="1:6" s="13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28">
        <v>1314902</v>
      </c>
      <c r="C84" s="28">
        <v>1613127</v>
      </c>
      <c r="D84" s="28">
        <v>2315795</v>
      </c>
      <c r="E84" s="28">
        <v>702668</v>
      </c>
      <c r="F84" s="24">
        <v>0.43559372572649269</v>
      </c>
    </row>
    <row r="85" spans="1:6" s="36" customFormat="1" ht="26.25">
      <c r="A85" s="32" t="s">
        <v>85</v>
      </c>
      <c r="B85" s="34">
        <v>210039223</v>
      </c>
      <c r="C85" s="34">
        <v>223846469</v>
      </c>
      <c r="D85" s="34">
        <v>233665417</v>
      </c>
      <c r="E85" s="34">
        <v>9818948</v>
      </c>
      <c r="F85" s="35">
        <v>4.3864654393990017E-2</v>
      </c>
    </row>
    <row r="86" spans="1:6" s="13" customFormat="1" ht="26.25">
      <c r="A86" s="29" t="s">
        <v>86</v>
      </c>
      <c r="B86" s="28">
        <v>41156</v>
      </c>
      <c r="C86" s="28">
        <v>59372</v>
      </c>
      <c r="D86" s="28">
        <v>120000</v>
      </c>
      <c r="E86" s="28">
        <v>60628</v>
      </c>
      <c r="F86" s="24">
        <v>1.0211547530822609</v>
      </c>
    </row>
    <row r="87" spans="1:6" s="13" customFormat="1" ht="26.25">
      <c r="A87" s="29" t="s">
        <v>87</v>
      </c>
      <c r="B87" s="28">
        <v>0</v>
      </c>
      <c r="C87" s="28">
        <v>0</v>
      </c>
      <c r="D87" s="28">
        <v>0</v>
      </c>
      <c r="E87" s="28">
        <v>0</v>
      </c>
      <c r="F87" s="24">
        <v>0</v>
      </c>
    </row>
    <row r="88" spans="1:6" s="13" customFormat="1" ht="26.25">
      <c r="A88" s="38" t="s">
        <v>88</v>
      </c>
      <c r="B88" s="28">
        <v>0</v>
      </c>
      <c r="C88" s="28">
        <v>0</v>
      </c>
      <c r="D88" s="28">
        <v>0</v>
      </c>
      <c r="E88" s="28">
        <v>0</v>
      </c>
      <c r="F88" s="24">
        <v>0</v>
      </c>
    </row>
    <row r="89" spans="1:6" s="36" customFormat="1" ht="26.25">
      <c r="A89" s="52" t="s">
        <v>89</v>
      </c>
      <c r="B89" s="260">
        <v>41156</v>
      </c>
      <c r="C89" s="51">
        <v>59372</v>
      </c>
      <c r="D89" s="51">
        <v>120000</v>
      </c>
      <c r="E89" s="51">
        <v>60628</v>
      </c>
      <c r="F89" s="35">
        <v>1.0211547530822609</v>
      </c>
    </row>
    <row r="90" spans="1:6" s="13" customFormat="1" ht="26.25">
      <c r="A90" s="38" t="s">
        <v>90</v>
      </c>
      <c r="B90" s="28">
        <v>0</v>
      </c>
      <c r="C90" s="28">
        <v>234446</v>
      </c>
      <c r="D90" s="26">
        <v>0</v>
      </c>
      <c r="E90" s="28">
        <v>-234446</v>
      </c>
      <c r="F90" s="24">
        <v>-1</v>
      </c>
    </row>
    <row r="91" spans="1:6" s="36" customFormat="1" ht="27" thickBot="1">
      <c r="A91" s="53" t="s">
        <v>71</v>
      </c>
      <c r="B91" s="263">
        <v>220129573</v>
      </c>
      <c r="C91" s="54">
        <v>234593157</v>
      </c>
      <c r="D91" s="55">
        <v>245354334</v>
      </c>
      <c r="E91" s="54">
        <v>10761177</v>
      </c>
      <c r="F91" s="56">
        <v>4.5871657714210305E-2</v>
      </c>
    </row>
    <row r="92" spans="1:6" s="60" customFormat="1" ht="31.5">
      <c r="A92" s="57"/>
      <c r="B92" s="58"/>
      <c r="C92" s="82">
        <v>0</v>
      </c>
      <c r="D92" s="82">
        <v>0</v>
      </c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28999999999999998" bottom="0.3" header="0.3" footer="0.3"/>
  <pageSetup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5"/>
  <sheetViews>
    <sheetView topLeftCell="A49" zoomScale="50" zoomScaleNormal="50" workbookViewId="0">
      <selection activeCell="B85" sqref="B85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2.85546875" style="65" customWidth="1"/>
    <col min="6" max="6" width="25.140625" style="65" customWidth="1"/>
    <col min="7" max="16384" width="9.140625" style="65"/>
  </cols>
  <sheetData>
    <row r="1" spans="1:10" s="6" customFormat="1" ht="46.5">
      <c r="A1" s="1" t="s">
        <v>0</v>
      </c>
      <c r="D1" s="277" t="s">
        <v>1</v>
      </c>
      <c r="E1" s="4" t="s">
        <v>145</v>
      </c>
      <c r="F1" s="279"/>
      <c r="H1" s="156"/>
      <c r="I1" s="156"/>
      <c r="J1" s="156"/>
    </row>
    <row r="2" spans="1:10" s="6" customFormat="1" ht="46.5">
      <c r="A2" s="1" t="s">
        <v>2</v>
      </c>
      <c r="B2" s="2"/>
      <c r="C2" s="2"/>
      <c r="D2" s="2"/>
      <c r="E2" s="3"/>
      <c r="F2" s="3"/>
    </row>
    <row r="3" spans="1:10" s="6" customFormat="1" ht="47.25" thickBot="1">
      <c r="A3" s="7" t="s">
        <v>3</v>
      </c>
      <c r="B3" s="8"/>
      <c r="C3" s="8"/>
      <c r="D3" s="8"/>
      <c r="E3" s="3"/>
      <c r="F3" s="3"/>
    </row>
    <row r="4" spans="1:10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10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10" s="13" customFormat="1" ht="26.25">
      <c r="A6" s="18" t="s">
        <v>14</v>
      </c>
      <c r="B6" s="19"/>
      <c r="C6" s="19"/>
      <c r="D6" s="19"/>
      <c r="E6" s="19"/>
      <c r="F6" s="20"/>
    </row>
    <row r="7" spans="1:10" s="13" customFormat="1" ht="26.25">
      <c r="A7" s="18" t="s">
        <v>15</v>
      </c>
      <c r="B7" s="19"/>
      <c r="C7" s="19"/>
      <c r="D7" s="19"/>
      <c r="E7" s="19"/>
      <c r="F7" s="21"/>
    </row>
    <row r="8" spans="1:10" s="13" customFormat="1" ht="26.25">
      <c r="A8" s="22" t="s">
        <v>16</v>
      </c>
      <c r="B8" s="23">
        <f>'UL BOS'!B8+McNeese!B8+LATech!B8+ULM!B8+ULL!B8+GSU!B8+SLU!B8+NSU!B8+Nicholls!B8</f>
        <v>308752511</v>
      </c>
      <c r="C8" s="23">
        <f>'UL BOS'!C8+McNeese!C8+LATech!C8+ULM!C8+ULL!C8+GSU!C8+SLU!C8+NSU!C8+Nicholls!C8</f>
        <v>308752512</v>
      </c>
      <c r="D8" s="23">
        <f>'UL BOS'!D8+McNeese!D8+LATech!D8+ULM!D8+ULL!D8+GSU!D8+SLU!D8+NSU!D8+Nicholls!D8</f>
        <v>291130377</v>
      </c>
      <c r="E8" s="23">
        <f t="shared" ref="E8:E28" si="0">D8-C8</f>
        <v>-17622135</v>
      </c>
      <c r="F8" s="24">
        <f t="shared" ref="F8:F28" si="1">IF(ISBLANK(E8),"  ",IF(C8&gt;0,E8/C8,IF(E8&gt;0,1,0)))</f>
        <v>-5.7075276524389866E-2</v>
      </c>
    </row>
    <row r="9" spans="1:10" s="13" customFormat="1" ht="26.25">
      <c r="A9" s="22" t="s">
        <v>17</v>
      </c>
      <c r="B9" s="23">
        <f>'UL BOS'!B9+McNeese!B9+LATech!B9+ULM!B9+ULL!B9+GSU!B9+SLU!B9+NSU!B9+Nicholls!B9</f>
        <v>0</v>
      </c>
      <c r="C9" s="23">
        <f>'UL BOS'!C9+McNeese!C9+LATech!C9+ULM!C9+ULL!C9+GSU!C9+SLU!C9+NSU!C9+Nicholls!C9</f>
        <v>0</v>
      </c>
      <c r="D9" s="23">
        <f>'UL BOS'!D9+McNeese!D9+LATech!D9+ULM!D9+ULL!D9+GSU!D9+SLU!D9+NSU!D9+Nicholls!D9</f>
        <v>0</v>
      </c>
      <c r="E9" s="23">
        <f t="shared" si="0"/>
        <v>0</v>
      </c>
      <c r="F9" s="24">
        <f t="shared" si="1"/>
        <v>0</v>
      </c>
    </row>
    <row r="10" spans="1:10" s="13" customFormat="1" ht="26.25">
      <c r="A10" s="25" t="s">
        <v>18</v>
      </c>
      <c r="B10" s="26">
        <f>SUM(B11:B28)</f>
        <v>14662095.6</v>
      </c>
      <c r="C10" s="26">
        <f>SUM(C11:C28)</f>
        <v>14708348</v>
      </c>
      <c r="D10" s="26">
        <f>SUM(D11:D28)</f>
        <v>13959597</v>
      </c>
      <c r="E10" s="26">
        <f t="shared" si="0"/>
        <v>-748751</v>
      </c>
      <c r="F10" s="24">
        <f t="shared" si="1"/>
        <v>-5.0906532807083432E-2</v>
      </c>
    </row>
    <row r="11" spans="1:10" s="13" customFormat="1" ht="26.25">
      <c r="A11" s="27" t="s">
        <v>19</v>
      </c>
      <c r="B11" s="23">
        <f>'UL BOS'!B11+McNeese!B11+LATech!B11+ULM!B11+ULL!B11+GSU!B11+SLU!B11+NSU!B11+Nicholls!B11</f>
        <v>251367</v>
      </c>
      <c r="C11" s="23">
        <f>'UL BOS'!C11+McNeese!C11+LATech!C11+ULM!C11+ULL!C11+GSU!C11+SLU!C11+NSU!C11+Nicholls!C11</f>
        <v>251367</v>
      </c>
      <c r="D11" s="23">
        <f>'UL BOS'!D11+McNeese!D11+LATech!D11+ULM!D11+ULL!D11+GSU!D11+SLU!D11+NSU!D11+Nicholls!D11</f>
        <v>0</v>
      </c>
      <c r="E11" s="26">
        <f t="shared" si="0"/>
        <v>-251367</v>
      </c>
      <c r="F11" s="24">
        <f t="shared" si="1"/>
        <v>-1</v>
      </c>
    </row>
    <row r="12" spans="1:10" s="13" customFormat="1" ht="26.25">
      <c r="A12" s="29" t="s">
        <v>20</v>
      </c>
      <c r="B12" s="23">
        <f>'UL BOS'!B12+McNeese!B12+LATech!B12+ULM!B12+ULL!B12+GSU!B12+SLU!B12+NSU!B12+Nicholls!B12</f>
        <v>13285124.6</v>
      </c>
      <c r="C12" s="23">
        <f>'UL BOS'!C12+McNeese!C12+LATech!C12+ULM!C12+ULL!C12+GSU!C12+SLU!C12+NSU!C12+Nicholls!C12</f>
        <v>13331377</v>
      </c>
      <c r="D12" s="23">
        <f>'UL BOS'!D12+McNeese!D12+LATech!D12+ULM!D12+ULL!D12+GSU!D12+SLU!D12+NSU!D12+Nicholls!D12</f>
        <v>13433993</v>
      </c>
      <c r="E12" s="26">
        <f t="shared" si="0"/>
        <v>102616</v>
      </c>
      <c r="F12" s="24">
        <f t="shared" si="1"/>
        <v>7.6973293906548437E-3</v>
      </c>
    </row>
    <row r="13" spans="1:10" s="13" customFormat="1" ht="26.25">
      <c r="A13" s="29" t="s">
        <v>21</v>
      </c>
      <c r="B13" s="23">
        <f>'UL BOS'!B13+McNeese!B13+LATech!B13+ULM!B13+ULL!B13+GSU!B13+SLU!B13+NSU!B13+Nicholls!B13</f>
        <v>0</v>
      </c>
      <c r="C13" s="23">
        <f>'UL BOS'!C13+McNeese!C13+LATech!C13+ULM!C13+ULL!C13+GSU!C13+SLU!C13+NSU!C13+Nicholls!C13</f>
        <v>0</v>
      </c>
      <c r="D13" s="23">
        <f>'UL BOS'!D13+McNeese!D13+LATech!D13+ULM!D13+ULL!D13+GSU!D13+SLU!D13+NSU!D13+Nicholls!D13</f>
        <v>0</v>
      </c>
      <c r="E13" s="26">
        <f t="shared" si="0"/>
        <v>0</v>
      </c>
      <c r="F13" s="24">
        <f t="shared" si="1"/>
        <v>0</v>
      </c>
    </row>
    <row r="14" spans="1:10" s="13" customFormat="1" ht="26.25">
      <c r="A14" s="29" t="s">
        <v>22</v>
      </c>
      <c r="B14" s="23">
        <f>'UL BOS'!B14+McNeese!B14+LATech!B14+ULM!B14+ULL!B14+GSU!B14+SLU!B14+NSU!B14+Nicholls!B14</f>
        <v>525604</v>
      </c>
      <c r="C14" s="23">
        <f>'UL BOS'!C14+McNeese!C14+LATech!C14+ULM!C14+ULL!C14+GSU!C14+SLU!C14+NSU!C14+Nicholls!C14</f>
        <v>525604</v>
      </c>
      <c r="D14" s="23">
        <f>'UL BOS'!D14+McNeese!D14+LATech!D14+ULM!D14+ULL!D14+GSU!D14+SLU!D14+NSU!D14+Nicholls!D14</f>
        <v>525604</v>
      </c>
      <c r="E14" s="26">
        <f t="shared" si="0"/>
        <v>0</v>
      </c>
      <c r="F14" s="24">
        <f t="shared" si="1"/>
        <v>0</v>
      </c>
    </row>
    <row r="15" spans="1:10" s="13" customFormat="1" ht="26.25">
      <c r="A15" s="29" t="s">
        <v>23</v>
      </c>
      <c r="B15" s="23">
        <f>'UL BOS'!B15+McNeese!B15+LATech!B15+ULM!B15+ULL!B15+GSU!B15+SLU!B15+NSU!B15+Nicholls!B15</f>
        <v>0</v>
      </c>
      <c r="C15" s="23">
        <f>'UL BOS'!C15+McNeese!C15+LATech!C15+ULM!C15+ULL!C15+GSU!C15+SLU!C15+NSU!C15+Nicholls!C15</f>
        <v>0</v>
      </c>
      <c r="D15" s="23">
        <f>'UL BOS'!D15+McNeese!D15+LATech!D15+ULM!D15+ULL!D15+GSU!D15+SLU!D15+NSU!D15+Nicholls!D15</f>
        <v>0</v>
      </c>
      <c r="E15" s="26">
        <f t="shared" si="0"/>
        <v>0</v>
      </c>
      <c r="F15" s="24">
        <f t="shared" si="1"/>
        <v>0</v>
      </c>
    </row>
    <row r="16" spans="1:10" s="13" customFormat="1" ht="26.25">
      <c r="A16" s="29" t="s">
        <v>24</v>
      </c>
      <c r="B16" s="23">
        <f>'UL BOS'!B16+McNeese!B16+LATech!B16+ULM!B16+ULL!B16+GSU!B16+SLU!B16+NSU!B16+Nicholls!B16</f>
        <v>0</v>
      </c>
      <c r="C16" s="23">
        <f>'UL BOS'!C16+McNeese!C16+LATech!C16+ULM!C16+ULL!C16+GSU!C16+SLU!C16+NSU!C16+Nicholls!C16</f>
        <v>0</v>
      </c>
      <c r="D16" s="23">
        <f>'UL BOS'!D16+McNeese!D16+LATech!D16+ULM!D16+ULL!D16+GSU!D16+SLU!D16+NSU!D16+Nicholls!D16</f>
        <v>0</v>
      </c>
      <c r="E16" s="26">
        <f t="shared" si="0"/>
        <v>0</v>
      </c>
      <c r="F16" s="24">
        <f t="shared" si="1"/>
        <v>0</v>
      </c>
    </row>
    <row r="17" spans="1:6" s="13" customFormat="1" ht="26.25">
      <c r="A17" s="29" t="s">
        <v>25</v>
      </c>
      <c r="B17" s="23">
        <f>'UL BOS'!B17+McNeese!B17+LATech!B17+ULM!B17+ULL!B17+GSU!B17+SLU!B17+NSU!B17+Nicholls!B17</f>
        <v>0</v>
      </c>
      <c r="C17" s="23">
        <f>'UL BOS'!C17+McNeese!C17+LATech!C17+ULM!C17+ULL!C17+GSU!C17+SLU!C17+NSU!C17+Nicholls!C17</f>
        <v>0</v>
      </c>
      <c r="D17" s="23">
        <f>'UL BOS'!D17+McNeese!D17+LATech!D17+ULM!D17+ULL!D17+GSU!D17+SLU!D17+NSU!D17+Nicholls!D17</f>
        <v>0</v>
      </c>
      <c r="E17" s="26">
        <f t="shared" si="0"/>
        <v>0</v>
      </c>
      <c r="F17" s="24">
        <f t="shared" si="1"/>
        <v>0</v>
      </c>
    </row>
    <row r="18" spans="1:6" s="13" customFormat="1" ht="26.25">
      <c r="A18" s="29" t="s">
        <v>26</v>
      </c>
      <c r="B18" s="23">
        <f>'UL BOS'!B18+McNeese!B18+LATech!B18+ULM!B18+ULL!B18+GSU!B18+SLU!B18+NSU!B18+Nicholls!B18</f>
        <v>0</v>
      </c>
      <c r="C18" s="23">
        <f>'UL BOS'!C18+McNeese!C18+LATech!C18+ULM!C18+ULL!C18+GSU!C18+SLU!C18+NSU!C18+Nicholls!C18</f>
        <v>0</v>
      </c>
      <c r="D18" s="23">
        <f>'UL BOS'!D18+McNeese!D18+LATech!D18+ULM!D18+ULL!D18+GSU!D18+SLU!D18+NSU!D18+Nicholls!D18</f>
        <v>0</v>
      </c>
      <c r="E18" s="26">
        <f t="shared" si="0"/>
        <v>0</v>
      </c>
      <c r="F18" s="24">
        <f t="shared" si="1"/>
        <v>0</v>
      </c>
    </row>
    <row r="19" spans="1:6" s="13" customFormat="1" ht="26.25">
      <c r="A19" s="29" t="s">
        <v>27</v>
      </c>
      <c r="B19" s="23">
        <f>'UL BOS'!B19+McNeese!B19+LATech!B19+ULM!B19+ULL!B19+GSU!B19+SLU!B19+NSU!B19+Nicholls!B19</f>
        <v>0</v>
      </c>
      <c r="C19" s="23">
        <f>'UL BOS'!C19+McNeese!C19+LATech!C19+ULM!C19+ULL!C19+GSU!C19+SLU!C19+NSU!C19+Nicholls!C19</f>
        <v>0</v>
      </c>
      <c r="D19" s="23">
        <f>'UL BOS'!D19+McNeese!D19+LATech!D19+ULM!D19+ULL!D19+GSU!D19+SLU!D19+NSU!D19+Nicholls!D19</f>
        <v>0</v>
      </c>
      <c r="E19" s="26">
        <f t="shared" si="0"/>
        <v>0</v>
      </c>
      <c r="F19" s="24">
        <f t="shared" si="1"/>
        <v>0</v>
      </c>
    </row>
    <row r="20" spans="1:6" s="13" customFormat="1" ht="26.25">
      <c r="A20" s="29" t="s">
        <v>28</v>
      </c>
      <c r="B20" s="23">
        <f>'UL BOS'!B20+McNeese!B20+LATech!B20+ULM!B20+ULL!B20+GSU!B20+SLU!B20+NSU!B20+Nicholls!B20</f>
        <v>0</v>
      </c>
      <c r="C20" s="23">
        <f>'UL BOS'!C20+McNeese!C20+LATech!C20+ULM!C20+ULL!C20+GSU!C20+SLU!C20+NSU!C20+Nicholls!C20</f>
        <v>0</v>
      </c>
      <c r="D20" s="23">
        <f>'UL BOS'!D20+McNeese!D20+LATech!D20+ULM!D20+ULL!D20+GSU!D20+SLU!D20+NSU!D20+Nicholls!D20</f>
        <v>0</v>
      </c>
      <c r="E20" s="26">
        <f t="shared" si="0"/>
        <v>0</v>
      </c>
      <c r="F20" s="24">
        <f t="shared" si="1"/>
        <v>0</v>
      </c>
    </row>
    <row r="21" spans="1:6" s="13" customFormat="1" ht="26.25">
      <c r="A21" s="29" t="s">
        <v>29</v>
      </c>
      <c r="B21" s="23">
        <f>'UL BOS'!B21+McNeese!B21+LATech!B21+ULM!B21+ULL!B21+GSU!B21+SLU!B21+NSU!B21+Nicholls!B21</f>
        <v>0</v>
      </c>
      <c r="C21" s="23">
        <f>'UL BOS'!C21+McNeese!C21+LATech!C21+ULM!C21+ULL!C21+GSU!C21+SLU!C21+NSU!C21+Nicholls!C21</f>
        <v>0</v>
      </c>
      <c r="D21" s="23">
        <f>'UL BOS'!D21+McNeese!D21+LATech!D21+ULM!D21+ULL!D21+GSU!D21+SLU!D21+NSU!D21+Nicholls!D21</f>
        <v>0</v>
      </c>
      <c r="E21" s="26">
        <f t="shared" si="0"/>
        <v>0</v>
      </c>
      <c r="F21" s="24">
        <f t="shared" si="1"/>
        <v>0</v>
      </c>
    </row>
    <row r="22" spans="1:6" s="13" customFormat="1" ht="26.25">
      <c r="A22" s="29" t="s">
        <v>30</v>
      </c>
      <c r="B22" s="23">
        <f>'UL BOS'!B22+McNeese!B22+LATech!B22+ULM!B22+ULL!B22+GSU!B22+SLU!B22+NSU!B22+Nicholls!B22</f>
        <v>0</v>
      </c>
      <c r="C22" s="23">
        <f>'UL BOS'!C22+McNeese!C22+LATech!C22+ULM!C22+ULL!C22+GSU!C22+SLU!C22+NSU!C22+Nicholls!C22</f>
        <v>0</v>
      </c>
      <c r="D22" s="23">
        <f>'UL BOS'!D22+McNeese!D22+LATech!D22+ULM!D22+ULL!D22+GSU!D22+SLU!D22+NSU!D22+Nicholls!D22</f>
        <v>0</v>
      </c>
      <c r="E22" s="26">
        <f t="shared" si="0"/>
        <v>0</v>
      </c>
      <c r="F22" s="24">
        <f t="shared" si="1"/>
        <v>0</v>
      </c>
    </row>
    <row r="23" spans="1:6" s="13" customFormat="1" ht="26.25">
      <c r="A23" s="30" t="s">
        <v>31</v>
      </c>
      <c r="B23" s="23">
        <f>'UL BOS'!B23+McNeese!B23+LATech!B23+ULM!B23+ULL!B23+GSU!B23+SLU!B23+NSU!B23+Nicholls!B23</f>
        <v>0</v>
      </c>
      <c r="C23" s="23">
        <f>'UL BOS'!C23+McNeese!C23+LATech!C23+ULM!C23+ULL!C23+GSU!C23+SLU!C23+NSU!C23+Nicholls!C23</f>
        <v>0</v>
      </c>
      <c r="D23" s="23">
        <f>'UL BOS'!D23+McNeese!D23+LATech!D23+ULM!D23+ULL!D23+GSU!D23+SLU!D23+NSU!D23+Nicholls!D23</f>
        <v>0</v>
      </c>
      <c r="E23" s="26">
        <f t="shared" si="0"/>
        <v>0</v>
      </c>
      <c r="F23" s="24">
        <f t="shared" si="1"/>
        <v>0</v>
      </c>
    </row>
    <row r="24" spans="1:6" s="13" customFormat="1" ht="26.25">
      <c r="A24" s="30" t="s">
        <v>32</v>
      </c>
      <c r="B24" s="23">
        <f>'UL BOS'!B24+McNeese!B24+LATech!B24+ULM!B24+ULL!B24+GSU!B24+SLU!B24+NSU!B24+Nicholls!B24</f>
        <v>0</v>
      </c>
      <c r="C24" s="23">
        <f>'UL BOS'!C24+McNeese!C24+LATech!C24+ULM!C24+ULL!C24+GSU!C24+SLU!C24+NSU!C24+Nicholls!C24</f>
        <v>0</v>
      </c>
      <c r="D24" s="23">
        <f>'UL BOS'!D24+McNeese!D24+LATech!D24+ULM!D24+ULL!D24+GSU!D24+SLU!D24+NSU!D24+Nicholls!D24</f>
        <v>0</v>
      </c>
      <c r="E24" s="26">
        <f t="shared" si="0"/>
        <v>0</v>
      </c>
      <c r="F24" s="24">
        <f t="shared" si="1"/>
        <v>0</v>
      </c>
    </row>
    <row r="25" spans="1:6" s="13" customFormat="1" ht="26.25">
      <c r="A25" s="30" t="s">
        <v>33</v>
      </c>
      <c r="B25" s="23">
        <f>'UL BOS'!B25+McNeese!B25+LATech!B25+ULM!B25+ULL!B25+GSU!B25+SLU!B25+NSU!B25+Nicholls!B25</f>
        <v>0</v>
      </c>
      <c r="C25" s="23">
        <f>'UL BOS'!C25+McNeese!C25+LATech!C25+ULM!C25+ULL!C25+GSU!C25+SLU!C25+NSU!C25+Nicholls!C25</f>
        <v>0</v>
      </c>
      <c r="D25" s="23">
        <f>'UL BOS'!D25+McNeese!D25+LATech!D25+ULM!D25+ULL!D25+GSU!D25+SLU!D25+NSU!D25+Nicholls!D25</f>
        <v>0</v>
      </c>
      <c r="E25" s="26">
        <f t="shared" si="0"/>
        <v>0</v>
      </c>
      <c r="F25" s="24">
        <f t="shared" si="1"/>
        <v>0</v>
      </c>
    </row>
    <row r="26" spans="1:6" s="13" customFormat="1" ht="26.25">
      <c r="A26" s="30" t="s">
        <v>34</v>
      </c>
      <c r="B26" s="23">
        <f>'UL BOS'!B26+McNeese!B26+LATech!B26+ULM!B26+ULL!B26+GSU!B26+SLU!B26+NSU!B26+Nicholls!B26</f>
        <v>0</v>
      </c>
      <c r="C26" s="23">
        <f>'UL BOS'!C26+McNeese!C26+LATech!C26+ULM!C26+ULL!C26+GSU!C26+SLU!C26+NSU!C26+Nicholls!C26</f>
        <v>0</v>
      </c>
      <c r="D26" s="23">
        <f>'UL BOS'!D26+McNeese!D26+LATech!D26+ULM!D26+ULL!D26+GSU!D26+SLU!D26+NSU!D26+Nicholls!D26</f>
        <v>0</v>
      </c>
      <c r="E26" s="26">
        <f t="shared" si="0"/>
        <v>0</v>
      </c>
      <c r="F26" s="24">
        <f t="shared" si="1"/>
        <v>0</v>
      </c>
    </row>
    <row r="27" spans="1:6" s="13" customFormat="1" ht="26.25">
      <c r="A27" s="30" t="s">
        <v>35</v>
      </c>
      <c r="B27" s="23">
        <f>'UL BOS'!B27+McNeese!B27+LATech!B27+ULM!B27+ULL!B27+GSU!B27+SLU!B27+NSU!B27+Nicholls!B27</f>
        <v>0</v>
      </c>
      <c r="C27" s="23">
        <f>'UL BOS'!C27+McNeese!C27+LATech!C27+ULM!C27+ULL!C27+GSU!C27+SLU!C27+NSU!C27+Nicholls!C27</f>
        <v>0</v>
      </c>
      <c r="D27" s="23">
        <f>'UL BOS'!D27+McNeese!D27+LATech!D27+ULM!D27+ULL!D27+GSU!D27+SLU!D27+NSU!D27+Nicholls!D27</f>
        <v>0</v>
      </c>
      <c r="E27" s="26">
        <f t="shared" si="0"/>
        <v>0</v>
      </c>
      <c r="F27" s="24">
        <f t="shared" si="1"/>
        <v>0</v>
      </c>
    </row>
    <row r="28" spans="1:6" s="13" customFormat="1" ht="26.25">
      <c r="A28" s="30" t="s">
        <v>36</v>
      </c>
      <c r="B28" s="23">
        <f>'UL BOS'!B28+McNeese!B28+LATech!B28+ULM!B28+ULL!B28+GSU!B28+SLU!B28+NSU!B28+Nicholls!B28</f>
        <v>600000</v>
      </c>
      <c r="C28" s="23">
        <f>'UL BOS'!C28+McNeese!C28+LATech!C28+ULM!C28+ULL!C28+GSU!C28+SLU!C28+NSU!C28+Nicholls!C28</f>
        <v>600000</v>
      </c>
      <c r="D28" s="23">
        <f>'UL BOS'!D28+McNeese!D28+LATech!D28+ULM!D28+ULL!D28+GSU!D28+SLU!D28+NSU!D28+Nicholls!D28</f>
        <v>0</v>
      </c>
      <c r="E28" s="26">
        <f t="shared" si="0"/>
        <v>-600000</v>
      </c>
      <c r="F28" s="24">
        <f t="shared" si="1"/>
        <v>-1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f>'UL BOS'!B30+McNeese!B30+LATech!B30+ULM!B30+ULL!B30+GSU!B30+SLU!B30+NSU!B30+Nicholls!B30</f>
        <v>0</v>
      </c>
      <c r="C30" s="23">
        <f>'UL BOS'!C30+McNeese!C30+LATech!C30+ULM!C30+ULL!C30+GSU!C30+SLU!C30+NSU!C30+Nicholls!C30</f>
        <v>0</v>
      </c>
      <c r="D30" s="23">
        <f>'UL BOS'!D30+McNeese!D30+LATech!D30+ULM!D30+ULL!D30+GSU!D30+SLU!D30+NSU!D30+Nicholls!D30</f>
        <v>0</v>
      </c>
      <c r="E30" s="23">
        <f>D30-C30</f>
        <v>0</v>
      </c>
      <c r="F30" s="24">
        <f>IF(ISBLANK(E30),"  ",IF(C30&gt;0,E30/C30,IF(E30&gt;0,1,0)))</f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23">
        <f>'UL BOS'!B32+McNeese!B32+LATech!B32+ULM!B32+ULL!B32+GSU!B32+SLU!B32+NSU!B32+Nicholls!B32</f>
        <v>0</v>
      </c>
      <c r="C32" s="23">
        <f>'UL BOS'!C32+McNeese!C32+LATech!C32+ULM!C32+ULL!C32+GSU!C32+SLU!C32+NSU!C32+Nicholls!C32</f>
        <v>0</v>
      </c>
      <c r="D32" s="23">
        <f>'UL BOS'!D32+McNeese!D32+LATech!D32+ULM!D32+ULL!D32+GSU!D32+SLU!D32+NSU!D32+Nicholls!D32</f>
        <v>0</v>
      </c>
      <c r="E32" s="23">
        <f>D32-C32</f>
        <v>0</v>
      </c>
      <c r="F32" s="24">
        <f>IF(ISBLANK(E32),"  ",IF(C32&gt;0,E32/C32,IF(E32&gt;0,1,0)))</f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tr">
        <f>IF(ISBLANK(E33),"  ",IF(C33&gt;0,E33/C33,IF(E33&gt;0,1,0)))</f>
        <v xml:space="preserve">  </v>
      </c>
    </row>
    <row r="34" spans="1:10" s="36" customFormat="1" ht="26.25">
      <c r="A34" s="33" t="s">
        <v>42</v>
      </c>
      <c r="B34" s="34">
        <f>B33+B32+B30+B10+B9+B8</f>
        <v>323414606.60000002</v>
      </c>
      <c r="C34" s="34">
        <f>C33+C32+C30+C10+C9+C8</f>
        <v>323460860</v>
      </c>
      <c r="D34" s="34">
        <f>D33+D32+D30+D10+D9+D8</f>
        <v>305089974</v>
      </c>
      <c r="E34" s="34">
        <f>D34-C34</f>
        <v>-18370886</v>
      </c>
      <c r="F34" s="35">
        <f>IF(ISBLANK(E34),"  ",IF(C34&gt;0,E34/C34,IF(E34&gt;0,1,0)))</f>
        <v>-5.6794772634933328E-2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f>'UL BOS'!B36+McNeese!B36+LATech!B36+ULM!B36+ULL!B36+GSU!B36+SLU!B36+NSU!B36+Nicholls!B36</f>
        <v>0</v>
      </c>
      <c r="C36" s="23">
        <f>'UL BOS'!C36+McNeese!C36+LATech!C36+ULM!C36+ULL!C36+GSU!C36+SLU!C36+NSU!C36+Nicholls!C36</f>
        <v>0</v>
      </c>
      <c r="D36" s="23">
        <f>'UL BOS'!D36+McNeese!D36+LATech!D36+ULM!D36+ULL!D36+GSU!D36+SLU!D36+NSU!D36+Nicholls!D36</f>
        <v>0</v>
      </c>
      <c r="E36" s="23">
        <f t="shared" ref="E36:E41" si="2">D36-C36</f>
        <v>0</v>
      </c>
      <c r="F36" s="24">
        <f t="shared" ref="F36:F41" si="3">IF(ISBLANK(E36),"  ",IF(C36&gt;0,E36/C36,IF(E36&gt;0,1,0)))</f>
        <v>0</v>
      </c>
    </row>
    <row r="37" spans="1:10" s="13" customFormat="1" ht="26.25">
      <c r="A37" s="38" t="s">
        <v>45</v>
      </c>
      <c r="B37" s="23">
        <f>'UL BOS'!B37+McNeese!B37+LATech!B37+ULM!B37+ULL!B37+GSU!B37+SLU!B37+NSU!B37+Nicholls!B37</f>
        <v>0</v>
      </c>
      <c r="C37" s="23">
        <f>'UL BOS'!C37+McNeese!C37+LATech!C37+ULM!C37+ULL!C37+GSU!C37+SLU!C37+NSU!C37+Nicholls!C37</f>
        <v>0</v>
      </c>
      <c r="D37" s="23">
        <f>'UL BOS'!D37+McNeese!D37+LATech!D37+ULM!D37+ULL!D37+GSU!D37+SLU!D37+NSU!D37+Nicholls!D37</f>
        <v>0</v>
      </c>
      <c r="E37" s="26">
        <f t="shared" si="2"/>
        <v>0</v>
      </c>
      <c r="F37" s="24">
        <f t="shared" si="3"/>
        <v>0</v>
      </c>
    </row>
    <row r="38" spans="1:10" s="13" customFormat="1" ht="26.25">
      <c r="A38" s="38" t="s">
        <v>46</v>
      </c>
      <c r="B38" s="23">
        <f>'UL BOS'!B38+McNeese!B38+LATech!B38+ULM!B38+ULL!B38+GSU!B38+SLU!B38+NSU!B38+Nicholls!B38</f>
        <v>37295158</v>
      </c>
      <c r="C38" s="23">
        <f>'UL BOS'!C38+McNeese!C38+LATech!C38+ULM!C38+ULL!C38+GSU!C38+SLU!C38+NSU!C38+Nicholls!C38</f>
        <v>0</v>
      </c>
      <c r="D38" s="23">
        <f>'UL BOS'!D38+McNeese!D38+LATech!D38+ULM!D38+ULL!D38+GSU!D38+SLU!D38+NSU!D38+Nicholls!D38</f>
        <v>0</v>
      </c>
      <c r="E38" s="26">
        <f t="shared" si="2"/>
        <v>0</v>
      </c>
      <c r="F38" s="24">
        <f t="shared" si="3"/>
        <v>0</v>
      </c>
    </row>
    <row r="39" spans="1:10" s="13" customFormat="1" ht="26.25">
      <c r="A39" s="38" t="s">
        <v>47</v>
      </c>
      <c r="B39" s="23">
        <f>'UL BOS'!B39+McNeese!B39+LATech!B39+ULM!B39+ULL!B39+GSU!B39+SLU!B39+NSU!B39+Nicholls!B39</f>
        <v>0</v>
      </c>
      <c r="C39" s="23">
        <f>'UL BOS'!C39+McNeese!C39+LATech!C39+ULM!C39+ULL!C39+GSU!C39+SLU!C39+NSU!C39+Nicholls!C39</f>
        <v>0</v>
      </c>
      <c r="D39" s="23">
        <f>'UL BOS'!D39+McNeese!D39+LATech!D39+ULM!D39+ULL!D39+GSU!D39+SLU!D39+NSU!D39+Nicholls!D39</f>
        <v>0</v>
      </c>
      <c r="E39" s="26">
        <f t="shared" si="2"/>
        <v>0</v>
      </c>
      <c r="F39" s="24">
        <f t="shared" si="3"/>
        <v>0</v>
      </c>
    </row>
    <row r="40" spans="1:10" s="13" customFormat="1" ht="26.25">
      <c r="A40" s="39" t="s">
        <v>48</v>
      </c>
      <c r="B40" s="23">
        <f>'UL BOS'!B40+McNeese!B40+LATech!B40+ULM!B40+ULL!B40+GSU!B40+SLU!B40+NSU!B40+Nicholls!B40</f>
        <v>0</v>
      </c>
      <c r="C40" s="23">
        <f>'UL BOS'!C40+McNeese!C40+LATech!C40+ULM!C40+ULL!C40+GSU!C40+SLU!C40+NSU!C40+Nicholls!C40</f>
        <v>0</v>
      </c>
      <c r="D40" s="23">
        <f>'UL BOS'!D40+McNeese!D40+LATech!D40+ULM!D40+ULL!D40+GSU!D40+SLU!D40+NSU!D40+Nicholls!D40</f>
        <v>0</v>
      </c>
      <c r="E40" s="26">
        <f t="shared" si="2"/>
        <v>0</v>
      </c>
      <c r="F40" s="24">
        <f t="shared" si="3"/>
        <v>0</v>
      </c>
    </row>
    <row r="41" spans="1:10" s="36" customFormat="1" ht="26.25">
      <c r="A41" s="31" t="s">
        <v>49</v>
      </c>
      <c r="B41" s="40">
        <f>SUM(B36:B40)</f>
        <v>37295158</v>
      </c>
      <c r="C41" s="40">
        <f>SUM(C36:C40)</f>
        <v>0</v>
      </c>
      <c r="D41" s="40">
        <f>SUM(D36:D40)</f>
        <v>0</v>
      </c>
      <c r="E41" s="40">
        <f t="shared" si="2"/>
        <v>0</v>
      </c>
      <c r="F41" s="35">
        <f t="shared" si="3"/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41" t="s">
        <v>51</v>
      </c>
      <c r="B43" s="42">
        <f>'UL BOS'!B43+McNeese!B43+LATech!B43+ULM!B43+ULL!B43+GSU!B43+SLU!B43+NSU!B43+Nicholls!B43</f>
        <v>1832897</v>
      </c>
      <c r="C43" s="42">
        <f>'UL BOS'!C43+McNeese!C43+LATech!C43+ULM!C43+ULL!C43+GSU!C43+SLU!C43+NSU!C43+Nicholls!C43</f>
        <v>2136828</v>
      </c>
      <c r="D43" s="42">
        <f>'UL BOS'!D43+McNeese!D43+LATech!D43+ULM!D43+ULL!D43+GSU!D43+SLU!D43+NSU!D43+Nicholls!D43</f>
        <v>110923</v>
      </c>
      <c r="E43" s="42">
        <f>D43-C43</f>
        <v>-2025905</v>
      </c>
      <c r="F43" s="35">
        <f>IF(ISBLANK(E43),"  ",IF(C43&gt;0,E43/C43,IF(E43&gt;0,1,0)))</f>
        <v>-0.94808987901693542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f>'UL BOS'!B45+McNeese!B45+LATech!B45+ULM!B45+ULL!B45+GSU!B45+SLU!B45+NSU!B45+Nicholls!B45</f>
        <v>95304823</v>
      </c>
      <c r="C45" s="42">
        <f>'UL BOS'!C45+McNeese!C45+LATech!C45+ULM!C45+ULL!C45+GSU!C45+SLU!C45+NSU!C45+Nicholls!C45</f>
        <v>95304823</v>
      </c>
      <c r="D45" s="42">
        <f>'UL BOS'!D45+McNeese!D45+LATech!D45+ULM!D45+ULL!D45+GSU!D45+SLU!D45+NSU!D45+Nicholls!D45</f>
        <v>0</v>
      </c>
      <c r="E45" s="42">
        <f>D45-C45</f>
        <v>-95304823</v>
      </c>
      <c r="F45" s="35">
        <f>IF(ISBLANK(E45),"  ",IF(C45&gt;0,E45/C45,IF(E45&gt;0,1,0)))</f>
        <v>-1</v>
      </c>
    </row>
    <row r="46" spans="1:10" s="13" customFormat="1" ht="26.25">
      <c r="A46" s="29" t="s">
        <v>50</v>
      </c>
      <c r="B46" s="28"/>
      <c r="C46" s="34"/>
      <c r="D46" s="34"/>
      <c r="E46" s="28"/>
      <c r="F46" s="20"/>
    </row>
    <row r="47" spans="1:10" s="36" customFormat="1" ht="26.25">
      <c r="A47" s="31" t="s">
        <v>53</v>
      </c>
      <c r="B47" s="42">
        <f>'UL BOS'!B47+McNeese!B47+LATech!B47+ULM!B47+ULL!B47+GSU!B47+SLU!B47+NSU!B47+Nicholls!B47</f>
        <v>316808330.33000004</v>
      </c>
      <c r="C47" s="42">
        <f>'UL BOS'!C47+McNeese!C47+LATech!C47+ULM!C47+ULL!C47+GSU!C47+SLU!C47+NSU!C47+Nicholls!C47</f>
        <v>286630728</v>
      </c>
      <c r="D47" s="42">
        <f>'UL BOS'!D47+McNeese!D47+LATech!D47+ULM!D47+ULL!D47+GSU!D47+SLU!D47+NSU!D47+Nicholls!D47</f>
        <v>394610255</v>
      </c>
      <c r="E47" s="40">
        <f>D47-C47</f>
        <v>107979527</v>
      </c>
      <c r="F47" s="35">
        <f>IF(ISBLANK(E47),"  ",IF(C47&gt;0,E47/C47,IF(E47&gt;0,1,0)))</f>
        <v>0.37671999702697612</v>
      </c>
    </row>
    <row r="48" spans="1:10" s="13" customFormat="1" ht="26.25">
      <c r="A48" s="29" t="s">
        <v>50</v>
      </c>
      <c r="B48" s="28"/>
      <c r="C48" s="34"/>
      <c r="D48" s="34"/>
      <c r="E48" s="28"/>
      <c r="F48" s="20"/>
    </row>
    <row r="49" spans="1:13" s="36" customFormat="1" ht="26.25">
      <c r="A49" s="43" t="s">
        <v>54</v>
      </c>
      <c r="B49" s="42">
        <f>'UL BOS'!B49+McNeese!B49+LATech!B49+ULM!B49+ULL!B49+GSU!B49+SLU!B49+NSU!B49+Nicholls!B49</f>
        <v>0</v>
      </c>
      <c r="C49" s="42">
        <f>'UL BOS'!C49+McNeese!C49+LATech!C49+ULM!C49+ULL!C49+GSU!C49+SLU!C49+NSU!C49+Nicholls!C49</f>
        <v>0</v>
      </c>
      <c r="D49" s="42">
        <f>'UL BOS'!D49+McNeese!D49+LATech!D49+ULM!D49+ULL!D49+GSU!D49+SLU!D49+NSU!D49+Nicholls!D49</f>
        <v>0</v>
      </c>
      <c r="E49" s="44">
        <f>D49-C49</f>
        <v>0</v>
      </c>
      <c r="F49" s="35">
        <f>IF(ISBLANK(E49),"  ",IF(C49&gt;0,E49/C49,IF(E49&gt;0,1,0)))</f>
        <v>0</v>
      </c>
      <c r="M49" s="36" t="s">
        <v>50</v>
      </c>
    </row>
    <row r="50" spans="1:13" s="13" customFormat="1" ht="26.25">
      <c r="A50" s="31"/>
      <c r="B50" s="19"/>
      <c r="C50" s="40"/>
      <c r="D50" s="40"/>
      <c r="E50" s="19"/>
      <c r="F50" s="45"/>
    </row>
    <row r="51" spans="1:13" s="36" customFormat="1" ht="26.25">
      <c r="A51" s="31" t="s">
        <v>55</v>
      </c>
      <c r="B51" s="42">
        <f>'UL BOS'!B51+McNeese!B51+LATech!B51+ULM!B51+ULL!B51+GSU!B51+SLU!B51+NSU!B51+Nicholls!B51</f>
        <v>0</v>
      </c>
      <c r="C51" s="42">
        <f>'UL BOS'!C51+McNeese!C51+LATech!C51+ULM!C51+ULL!C51+GSU!C51+SLU!C51+NSU!C51+Nicholls!C51</f>
        <v>0</v>
      </c>
      <c r="D51" s="42">
        <f>'UL BOS'!D51+McNeese!D51+LATech!D51+ULM!D51+ULL!D51+GSU!D51+SLU!D51+NSU!D51+Nicholls!D51</f>
        <v>0</v>
      </c>
      <c r="E51" s="44">
        <f>D51-C51</f>
        <v>0</v>
      </c>
      <c r="F51" s="35">
        <f>IF(ISBLANK(E51),"  ",IF(C51&gt;0,E51/C51,IF(E51&gt;0,1,0)))</f>
        <v>0</v>
      </c>
    </row>
    <row r="52" spans="1:13" s="13" customFormat="1" ht="26.25">
      <c r="A52" s="29"/>
      <c r="B52" s="28"/>
      <c r="C52" s="34"/>
      <c r="D52" s="34"/>
      <c r="E52" s="28"/>
      <c r="F52" s="20"/>
    </row>
    <row r="53" spans="1:13" s="36" customFormat="1" ht="26.25">
      <c r="A53" s="46" t="s">
        <v>56</v>
      </c>
      <c r="B53" s="40">
        <f>B49+B47+B45+B43+B34-B41</f>
        <v>700065498.93000007</v>
      </c>
      <c r="C53" s="40">
        <f>C49+C47+C45+C43+C34-C41</f>
        <v>707533239</v>
      </c>
      <c r="D53" s="42">
        <f>D49+D47+D45+D43+D34-D41</f>
        <v>699811152</v>
      </c>
      <c r="E53" s="40">
        <f>D53-C53</f>
        <v>-7722087</v>
      </c>
      <c r="F53" s="35">
        <f>IF(ISBLANK(E53),"  ",IF(C53&gt;0,E53/C53,IF(E53&gt;0,1,0)))</f>
        <v>-1.0914097846362806E-2</v>
      </c>
    </row>
    <row r="54" spans="1:13" s="13" customFormat="1" ht="26.25">
      <c r="A54" s="47"/>
      <c r="B54" s="28"/>
      <c r="C54" s="34"/>
      <c r="D54" s="34"/>
      <c r="E54" s="28"/>
      <c r="F54" s="20" t="s">
        <v>50</v>
      </c>
    </row>
    <row r="55" spans="1:13" s="13" customFormat="1" ht="26.25">
      <c r="A55" s="48"/>
      <c r="B55" s="19"/>
      <c r="C55" s="40"/>
      <c r="D55" s="40"/>
      <c r="E55" s="19"/>
      <c r="F55" s="21" t="s">
        <v>50</v>
      </c>
    </row>
    <row r="56" spans="1:13" s="13" customFormat="1" ht="26.25">
      <c r="A56" s="46" t="s">
        <v>57</v>
      </c>
      <c r="B56" s="19"/>
      <c r="C56" s="40"/>
      <c r="D56" s="40"/>
      <c r="E56" s="19"/>
      <c r="F56" s="21"/>
    </row>
    <row r="57" spans="1:13" s="13" customFormat="1" ht="26.25">
      <c r="A57" s="27" t="s">
        <v>58</v>
      </c>
      <c r="B57" s="23">
        <f>'UL BOS'!B57+McNeese!B57+LATech!B57+ULM!B57+ULL!B57+GSU!B57+SLU!B57+NSU!B57+Nicholls!B57</f>
        <v>292879683.69</v>
      </c>
      <c r="C57" s="23">
        <f>'UL BOS'!C57+McNeese!C57+LATech!C57+ULM!C57+ULL!C57+GSU!C57+SLU!C57+NSU!C57+Nicholls!C57</f>
        <v>305044067.68000001</v>
      </c>
      <c r="D57" s="23">
        <f>'UL BOS'!D57+McNeese!D57+LATech!D57+ULM!D57+ULL!D57+GSU!D57+SLU!D57+NSU!D57+Nicholls!D57</f>
        <v>302035831.39999998</v>
      </c>
      <c r="E57" s="19">
        <f t="shared" ref="E57:E70" si="4">D57-C57</f>
        <v>-3008236.280000031</v>
      </c>
      <c r="F57" s="24">
        <f t="shared" ref="F57:F70" si="5">IF(ISBLANK(E57),"  ",IF(C57&gt;0,E57/C57,IF(E57&gt;0,1,0)))</f>
        <v>-9.8616449186474837E-3</v>
      </c>
    </row>
    <row r="58" spans="1:13" s="13" customFormat="1" ht="26.25">
      <c r="A58" s="29" t="s">
        <v>59</v>
      </c>
      <c r="B58" s="23">
        <f>'UL BOS'!B58+McNeese!B58+LATech!B58+ULM!B58+ULL!B58+GSU!B58+SLU!B58+NSU!B58+Nicholls!B58</f>
        <v>41534349.950000003</v>
      </c>
      <c r="C58" s="23">
        <f>'UL BOS'!C58+McNeese!C58+LATech!C58+ULM!C58+ULL!C58+GSU!C58+SLU!C58+NSU!C58+Nicholls!C58</f>
        <v>43529595</v>
      </c>
      <c r="D58" s="23">
        <f>'UL BOS'!D58+McNeese!D58+LATech!D58+ULM!D58+ULL!D58+GSU!D58+SLU!D58+NSU!D58+Nicholls!D58</f>
        <v>43305229.600000001</v>
      </c>
      <c r="E58" s="28">
        <f t="shared" si="4"/>
        <v>-224365.39999999851</v>
      </c>
      <c r="F58" s="24">
        <f t="shared" si="5"/>
        <v>-5.1543185733751605E-3</v>
      </c>
    </row>
    <row r="59" spans="1:13" s="13" customFormat="1" ht="26.25">
      <c r="A59" s="29" t="s">
        <v>60</v>
      </c>
      <c r="B59" s="23">
        <f>'UL BOS'!B59+McNeese!B59+LATech!B59+ULM!B59+ULL!B59+GSU!B59+SLU!B59+NSU!B59+Nicholls!B59</f>
        <v>2916892</v>
      </c>
      <c r="C59" s="23">
        <f>'UL BOS'!C59+McNeese!C59+LATech!C59+ULM!C59+ULL!C59+GSU!C59+SLU!C59+NSU!C59+Nicholls!C59</f>
        <v>2926375</v>
      </c>
      <c r="D59" s="23">
        <f>'UL BOS'!D59+McNeese!D59+LATech!D59+ULM!D59+ULL!D59+GSU!D59+SLU!D59+NSU!D59+Nicholls!D59</f>
        <v>2857610</v>
      </c>
      <c r="E59" s="28">
        <f t="shared" si="4"/>
        <v>-68765</v>
      </c>
      <c r="F59" s="24">
        <f t="shared" si="5"/>
        <v>-2.3498355473922514E-2</v>
      </c>
    </row>
    <row r="60" spans="1:13" s="13" customFormat="1" ht="26.25">
      <c r="A60" s="29" t="s">
        <v>61</v>
      </c>
      <c r="B60" s="23">
        <f>'UL BOS'!B60+McNeese!B60+LATech!B60+ULM!B60+ULL!B60+GSU!B60+SLU!B60+NSU!B60+Nicholls!B60</f>
        <v>61361508.720000006</v>
      </c>
      <c r="C60" s="23">
        <f>'UL BOS'!C60+McNeese!C60+LATech!C60+ULM!C60+ULL!C60+GSU!C60+SLU!C60+NSU!C60+Nicholls!C60</f>
        <v>63663389</v>
      </c>
      <c r="D60" s="23">
        <f>'UL BOS'!D60+McNeese!D60+LATech!D60+ULM!D60+ULL!D60+GSU!D60+SLU!D60+NSU!D60+Nicholls!D60</f>
        <v>61894287</v>
      </c>
      <c r="E60" s="28">
        <f t="shared" si="4"/>
        <v>-1769102</v>
      </c>
      <c r="F60" s="24">
        <f t="shared" si="5"/>
        <v>-2.7788373000375458E-2</v>
      </c>
    </row>
    <row r="61" spans="1:13" s="13" customFormat="1" ht="26.25">
      <c r="A61" s="29" t="s">
        <v>62</v>
      </c>
      <c r="B61" s="23">
        <f>'UL BOS'!B61+McNeese!B61+LATech!B61+ULM!B61+ULL!B61+GSU!B61+SLU!B61+NSU!B61+Nicholls!B61</f>
        <v>34073342.539999999</v>
      </c>
      <c r="C61" s="23">
        <f>'UL BOS'!C61+McNeese!C61+LATech!C61+ULM!C61+ULL!C61+GSU!C61+SLU!C61+NSU!C61+Nicholls!C61</f>
        <v>34541570</v>
      </c>
      <c r="D61" s="23">
        <f>'UL BOS'!D61+McNeese!D61+LATech!D61+ULM!D61+ULL!D61+GSU!D61+SLU!D61+NSU!D61+Nicholls!D61</f>
        <v>34606818</v>
      </c>
      <c r="E61" s="28">
        <f t="shared" si="4"/>
        <v>65248</v>
      </c>
      <c r="F61" s="24">
        <f t="shared" si="5"/>
        <v>1.8889703044766061E-3</v>
      </c>
    </row>
    <row r="62" spans="1:13" s="13" customFormat="1" ht="26.25">
      <c r="A62" s="29" t="s">
        <v>63</v>
      </c>
      <c r="B62" s="23">
        <f>'UL BOS'!B62+McNeese!B62+LATech!B62+ULM!B62+ULL!B62+GSU!B62+SLU!B62+NSU!B62+Nicholls!B62</f>
        <v>92314082.700000003</v>
      </c>
      <c r="C62" s="23">
        <f>'UL BOS'!C62+McNeese!C62+LATech!C62+ULM!C62+ULL!C62+GSU!C62+SLU!C62+NSU!C62+Nicholls!C62</f>
        <v>89162517.439999998</v>
      </c>
      <c r="D62" s="23">
        <f>'UL BOS'!D62+McNeese!D62+LATech!D62+ULM!D62+ULL!D62+GSU!D62+SLU!D62+NSU!D62+Nicholls!D62</f>
        <v>91289960</v>
      </c>
      <c r="E62" s="28">
        <f t="shared" si="4"/>
        <v>2127442.5600000024</v>
      </c>
      <c r="F62" s="24">
        <f t="shared" si="5"/>
        <v>2.3860279196710875E-2</v>
      </c>
    </row>
    <row r="63" spans="1:13" s="13" customFormat="1" ht="26.25">
      <c r="A63" s="29" t="s">
        <v>64</v>
      </c>
      <c r="B63" s="23">
        <f>'UL BOS'!B63+McNeese!B63+LATech!B63+ULM!B63+ULL!B63+GSU!B63+SLU!B63+NSU!B63+Nicholls!B63</f>
        <v>54449056.409999996</v>
      </c>
      <c r="C63" s="23">
        <f>'UL BOS'!C63+McNeese!C63+LATech!C63+ULM!C63+ULL!C63+GSU!C63+SLU!C63+NSU!C63+Nicholls!C63</f>
        <v>54218925</v>
      </c>
      <c r="D63" s="23">
        <f>'UL BOS'!D63+McNeese!D63+LATech!D63+ULM!D63+ULL!D63+GSU!D63+SLU!D63+NSU!D63+Nicholls!D63</f>
        <v>58203648</v>
      </c>
      <c r="E63" s="28">
        <f t="shared" si="4"/>
        <v>3984723</v>
      </c>
      <c r="F63" s="24">
        <f t="shared" si="5"/>
        <v>7.3493212932569205E-2</v>
      </c>
    </row>
    <row r="64" spans="1:13" s="13" customFormat="1" ht="26.25">
      <c r="A64" s="29" t="s">
        <v>65</v>
      </c>
      <c r="B64" s="23">
        <f>'UL BOS'!B64+McNeese!B64+LATech!B64+ULM!B64+ULL!B64+GSU!B64+SLU!B64+NSU!B64+Nicholls!B64</f>
        <v>82860161</v>
      </c>
      <c r="C64" s="23">
        <f>'UL BOS'!C64+McNeese!C64+LATech!C64+ULM!C64+ULL!C64+GSU!C64+SLU!C64+NSU!C64+Nicholls!C64</f>
        <v>79511894.74000001</v>
      </c>
      <c r="D64" s="23">
        <f>'UL BOS'!D64+McNeese!D64+LATech!D64+ULM!D64+ULL!D64+GSU!D64+SLU!D64+NSU!D64+Nicholls!D64</f>
        <v>75814784</v>
      </c>
      <c r="E64" s="28">
        <f t="shared" si="4"/>
        <v>-3697110.7400000095</v>
      </c>
      <c r="F64" s="24">
        <f t="shared" si="5"/>
        <v>-4.6497580671286731E-2</v>
      </c>
    </row>
    <row r="65" spans="1:6" s="36" customFormat="1" ht="26.25">
      <c r="A65" s="49" t="s">
        <v>66</v>
      </c>
      <c r="B65" s="287">
        <f>SUM(B57:B64)</f>
        <v>662389077.00999999</v>
      </c>
      <c r="C65" s="51">
        <f>SUM(C57:C64)</f>
        <v>672598333.86000001</v>
      </c>
      <c r="D65" s="51">
        <f>SUM(D57:D64)</f>
        <v>670008168</v>
      </c>
      <c r="E65" s="34">
        <f t="shared" si="4"/>
        <v>-2590165.8600000143</v>
      </c>
      <c r="F65" s="35">
        <f t="shared" si="5"/>
        <v>-3.8509846510252463E-3</v>
      </c>
    </row>
    <row r="66" spans="1:6" s="13" customFormat="1" ht="26.25">
      <c r="A66" s="29" t="s">
        <v>67</v>
      </c>
      <c r="B66" s="23">
        <f>'UL BOS'!B66+McNeese!B66+LATech!B66+ULM!B66+ULL!B66+GSU!B66+SLU!B66+NSU!B66+Nicholls!B66</f>
        <v>0</v>
      </c>
      <c r="C66" s="23">
        <f>'UL BOS'!C66+McNeese!C66+LATech!C66+ULM!C66+ULL!C66+GSU!C66+SLU!C66+NSU!C66+Nicholls!C66</f>
        <v>0</v>
      </c>
      <c r="D66" s="23">
        <f>'UL BOS'!D66+McNeese!D66+LATech!D66+ULM!D66+ULL!D66+GSU!D66+SLU!D66+NSU!D66+Nicholls!D66</f>
        <v>0</v>
      </c>
      <c r="E66" s="28">
        <f t="shared" si="4"/>
        <v>0</v>
      </c>
      <c r="F66" s="24">
        <f t="shared" si="5"/>
        <v>0</v>
      </c>
    </row>
    <row r="67" spans="1:6" s="13" customFormat="1" ht="26.25">
      <c r="A67" s="29" t="s">
        <v>68</v>
      </c>
      <c r="B67" s="23">
        <f>'UL BOS'!B67+McNeese!B67+LATech!B67+ULM!B67+ULL!B67+GSU!B67+SLU!B67+NSU!B67+Nicholls!B67</f>
        <v>1942963.7799999998</v>
      </c>
      <c r="C67" s="23">
        <f>'UL BOS'!C67+McNeese!C67+LATech!C67+ULM!C67+ULL!C67+GSU!C67+SLU!C67+NSU!C67+Nicholls!C67</f>
        <v>2324725</v>
      </c>
      <c r="D67" s="23">
        <f>'UL BOS'!D67+McNeese!D67+LATech!D67+ULM!D67+ULL!D67+GSU!D67+SLU!D67+NSU!D67+Nicholls!D67</f>
        <v>2236540</v>
      </c>
      <c r="E67" s="28">
        <f t="shared" si="4"/>
        <v>-88185</v>
      </c>
      <c r="F67" s="24">
        <f t="shared" si="5"/>
        <v>-3.793351901837852E-2</v>
      </c>
    </row>
    <row r="68" spans="1:6" s="13" customFormat="1" ht="26.25">
      <c r="A68" s="29" t="s">
        <v>69</v>
      </c>
      <c r="B68" s="23">
        <f>'UL BOS'!B68+McNeese!B68+LATech!B68+ULM!B68+ULL!B68+GSU!B68+SLU!B68+NSU!B68+Nicholls!B68</f>
        <v>34882726.899999999</v>
      </c>
      <c r="C68" s="23">
        <f>'UL BOS'!C68+McNeese!C68+LATech!C68+ULM!C68+ULL!C68+GSU!C68+SLU!C68+NSU!C68+Nicholls!C68</f>
        <v>31728577</v>
      </c>
      <c r="D68" s="23">
        <f>'UL BOS'!D68+McNeese!D68+LATech!D68+ULM!D68+ULL!D68+GSU!D68+SLU!D68+NSU!D68+Nicholls!D68</f>
        <v>26759842</v>
      </c>
      <c r="E68" s="28">
        <f t="shared" si="4"/>
        <v>-4968735</v>
      </c>
      <c r="F68" s="24">
        <f t="shared" si="5"/>
        <v>-0.15660125570711853</v>
      </c>
    </row>
    <row r="69" spans="1:6" s="13" customFormat="1" ht="26.25">
      <c r="A69" s="29" t="s">
        <v>70</v>
      </c>
      <c r="B69" s="23">
        <f>'UL BOS'!B69+McNeese!B69+LATech!B69+ULM!B69+ULL!B69+GSU!B69+SLU!B69+NSU!B69+Nicholls!B69</f>
        <v>850737.5</v>
      </c>
      <c r="C69" s="23">
        <f>'UL BOS'!C69+McNeese!C69+LATech!C69+ULM!C69+ULL!C69+GSU!C69+SLU!C69+NSU!C69+Nicholls!C69</f>
        <v>881604</v>
      </c>
      <c r="D69" s="23">
        <f>'UL BOS'!D69+McNeese!D69+LATech!D69+ULM!D69+ULL!D69+GSU!D69+SLU!D69+NSU!D69+Nicholls!D69</f>
        <v>806604</v>
      </c>
      <c r="E69" s="28">
        <f t="shared" si="4"/>
        <v>-75000</v>
      </c>
      <c r="F69" s="24">
        <f t="shared" si="5"/>
        <v>-8.5072209291246412E-2</v>
      </c>
    </row>
    <row r="70" spans="1:6" s="36" customFormat="1" ht="26.25">
      <c r="A70" s="50" t="s">
        <v>71</v>
      </c>
      <c r="B70" s="51">
        <f>B69+B68+B67+B66+B65</f>
        <v>700065505.18999994</v>
      </c>
      <c r="C70" s="51">
        <f>C69+C68+C67+C66+C65</f>
        <v>707533239.86000001</v>
      </c>
      <c r="D70" s="51">
        <f>D69+D68+D67+D66+D65</f>
        <v>699811154</v>
      </c>
      <c r="E70" s="51">
        <f t="shared" si="4"/>
        <v>-7722085.8600000143</v>
      </c>
      <c r="F70" s="35">
        <f t="shared" si="5"/>
        <v>-1.091409622186512E-2</v>
      </c>
    </row>
    <row r="71" spans="1:6" s="13" customFormat="1" ht="26.25">
      <c r="A71" s="48"/>
      <c r="B71" s="19"/>
      <c r="C71" s="40"/>
      <c r="D71" s="40"/>
      <c r="E71" s="19"/>
      <c r="F71" s="21"/>
    </row>
    <row r="72" spans="1:6" s="13" customFormat="1" ht="26.25">
      <c r="A72" s="46" t="s">
        <v>72</v>
      </c>
      <c r="B72" s="19"/>
      <c r="C72" s="40"/>
      <c r="D72" s="40"/>
      <c r="E72" s="19"/>
      <c r="F72" s="21"/>
    </row>
    <row r="73" spans="1:6" s="13" customFormat="1" ht="26.25">
      <c r="A73" s="27" t="s">
        <v>73</v>
      </c>
      <c r="B73" s="23">
        <f>'UL BOS'!B73+McNeese!B73+LATech!B73+ULM!B73+ULL!B73+GSU!B73+SLU!B73+NSU!B73+Nicholls!B73</f>
        <v>359272015.61000001</v>
      </c>
      <c r="C73" s="23">
        <f>'UL BOS'!C73+McNeese!C73+LATech!C73+ULM!C73+ULL!C73+GSU!C73+SLU!C73+NSU!C73+Nicholls!C73</f>
        <v>365312097</v>
      </c>
      <c r="D73" s="23">
        <f>'UL BOS'!D73+McNeese!D73+LATech!D73+ULM!D73+ULL!D73+GSU!D73+SLU!D73+NSU!D73+Nicholls!D73</f>
        <v>359049247</v>
      </c>
      <c r="E73" s="19">
        <f t="shared" ref="E73:E91" si="6">D73-C73</f>
        <v>-6262850</v>
      </c>
      <c r="F73" s="24">
        <f t="shared" ref="F73:F91" si="7">IF(ISBLANK(E73),"  ",IF(C73&gt;0,E73/C73,IF(E73&gt;0,1,0)))</f>
        <v>-1.7143834139168954E-2</v>
      </c>
    </row>
    <row r="74" spans="1:6" s="13" customFormat="1" ht="26.25">
      <c r="A74" s="29" t="s">
        <v>74</v>
      </c>
      <c r="B74" s="23">
        <f>'UL BOS'!B74+McNeese!B74+LATech!B74+ULM!B74+ULL!B74+GSU!B74+SLU!B74+NSU!B74+Nicholls!B74</f>
        <v>7049382.0599999996</v>
      </c>
      <c r="C74" s="23">
        <f>'UL BOS'!C74+McNeese!C74+LATech!C74+ULM!C74+ULL!C74+GSU!C74+SLU!C74+NSU!C74+Nicholls!C74</f>
        <v>7247303</v>
      </c>
      <c r="D74" s="23">
        <f>'UL BOS'!D74+McNeese!D74+LATech!D74+ULM!D74+ULL!D74+GSU!D74+SLU!D74+NSU!D74+Nicholls!D74</f>
        <v>7599523</v>
      </c>
      <c r="E74" s="28">
        <f t="shared" si="6"/>
        <v>352220</v>
      </c>
      <c r="F74" s="24">
        <f t="shared" si="7"/>
        <v>4.8600148220655323E-2</v>
      </c>
    </row>
    <row r="75" spans="1:6" s="13" customFormat="1" ht="26.25">
      <c r="A75" s="29" t="s">
        <v>75</v>
      </c>
      <c r="B75" s="23">
        <f>'UL BOS'!B75+McNeese!B75+LATech!B75+ULM!B75+ULL!B75+GSU!B75+SLU!B75+NSU!B75+Nicholls!B75</f>
        <v>123802024</v>
      </c>
      <c r="C75" s="23">
        <f>'UL BOS'!C75+McNeese!C75+LATech!C75+ULM!C75+ULL!C75+GSU!C75+SLU!C75+NSU!C75+Nicholls!C75</f>
        <v>128006531.86</v>
      </c>
      <c r="D75" s="23">
        <f>'UL BOS'!D75+McNeese!D75+LATech!D75+ULM!D75+ULL!D75+GSU!D75+SLU!D75+NSU!D75+Nicholls!D75</f>
        <v>140001684</v>
      </c>
      <c r="E75" s="28">
        <f t="shared" si="6"/>
        <v>11995152.140000001</v>
      </c>
      <c r="F75" s="24">
        <f t="shared" si="7"/>
        <v>9.3707344193334041E-2</v>
      </c>
    </row>
    <row r="76" spans="1:6" s="36" customFormat="1" ht="26.25">
      <c r="A76" s="49" t="s">
        <v>76</v>
      </c>
      <c r="B76" s="51">
        <f>SUM(B73:B75)</f>
        <v>490123421.67000002</v>
      </c>
      <c r="C76" s="51">
        <f>SUM(C73:C75)</f>
        <v>500565931.86000001</v>
      </c>
      <c r="D76" s="51">
        <f>SUM(D73:D75)</f>
        <v>506650454</v>
      </c>
      <c r="E76" s="34">
        <f t="shared" si="6"/>
        <v>6084522.1399999857</v>
      </c>
      <c r="F76" s="35">
        <f t="shared" si="7"/>
        <v>1.2155286152597627E-2</v>
      </c>
    </row>
    <row r="77" spans="1:6" s="13" customFormat="1" ht="26.25">
      <c r="A77" s="29" t="s">
        <v>77</v>
      </c>
      <c r="B77" s="23">
        <f>'UL BOS'!B77+McNeese!B77+LATech!B77+ULM!B77+ULL!B77+GSU!B77+SLU!B77+NSU!B77+Nicholls!B77</f>
        <v>2594042.44</v>
      </c>
      <c r="C77" s="23">
        <f>'UL BOS'!C77+McNeese!C77+LATech!C77+ULM!C77+ULL!C77+GSU!C77+SLU!C77+NSU!C77+Nicholls!C77</f>
        <v>3312778</v>
      </c>
      <c r="D77" s="23">
        <f>'UL BOS'!D77+McNeese!D77+LATech!D77+ULM!D77+ULL!D77+GSU!D77+SLU!D77+NSU!D77+Nicholls!D77</f>
        <v>3238821</v>
      </c>
      <c r="E77" s="28">
        <f t="shared" si="6"/>
        <v>-73957</v>
      </c>
      <c r="F77" s="24">
        <f t="shared" si="7"/>
        <v>-2.2324767913817347E-2</v>
      </c>
    </row>
    <row r="78" spans="1:6" s="13" customFormat="1" ht="26.25">
      <c r="A78" s="29" t="s">
        <v>78</v>
      </c>
      <c r="B78" s="23">
        <f>'UL BOS'!B78+McNeese!B78+LATech!B78+ULM!B78+ULL!B78+GSU!B78+SLU!B78+NSU!B78+Nicholls!B78</f>
        <v>57292772.589999996</v>
      </c>
      <c r="C78" s="23">
        <f>'UL BOS'!C78+McNeese!C78+LATech!C78+ULM!C78+ULL!C78+GSU!C78+SLU!C78+NSU!C78+Nicholls!C78</f>
        <v>56475800</v>
      </c>
      <c r="D78" s="23">
        <f>'UL BOS'!D78+McNeese!D78+LATech!D78+ULM!D78+ULL!D78+GSU!D78+SLU!D78+NSU!D78+Nicholls!D78</f>
        <v>58399531</v>
      </c>
      <c r="E78" s="28">
        <f t="shared" si="6"/>
        <v>1923731</v>
      </c>
      <c r="F78" s="24">
        <f t="shared" si="7"/>
        <v>3.406292606744836E-2</v>
      </c>
    </row>
    <row r="79" spans="1:6" s="13" customFormat="1" ht="26.25">
      <c r="A79" s="29" t="s">
        <v>79</v>
      </c>
      <c r="B79" s="23">
        <f>'UL BOS'!B79+McNeese!B79+LATech!B79+ULM!B79+ULL!B79+GSU!B79+SLU!B79+NSU!B79+Nicholls!B79</f>
        <v>10948860.01</v>
      </c>
      <c r="C79" s="23">
        <f>'UL BOS'!C79+McNeese!C79+LATech!C79+ULM!C79+ULL!C79+GSU!C79+SLU!C79+NSU!C79+Nicholls!C79</f>
        <v>11732825</v>
      </c>
      <c r="D79" s="23">
        <f>'UL BOS'!D79+McNeese!D79+LATech!D79+ULM!D79+ULL!D79+GSU!D79+SLU!D79+NSU!D79+Nicholls!D79</f>
        <v>10388556</v>
      </c>
      <c r="E79" s="28">
        <f t="shared" si="6"/>
        <v>-1344269</v>
      </c>
      <c r="F79" s="24">
        <f t="shared" si="7"/>
        <v>-0.11457334444176914</v>
      </c>
    </row>
    <row r="80" spans="1:6" s="36" customFormat="1" ht="26.25">
      <c r="A80" s="32" t="s">
        <v>80</v>
      </c>
      <c r="B80" s="51">
        <f>SUM(B77:B79)</f>
        <v>70835675.039999992</v>
      </c>
      <c r="C80" s="51">
        <f>SUM(C77:C79)</f>
        <v>71521403</v>
      </c>
      <c r="D80" s="51">
        <f>SUM(D77:D79)</f>
        <v>72026908</v>
      </c>
      <c r="E80" s="34">
        <f t="shared" si="6"/>
        <v>505505</v>
      </c>
      <c r="F80" s="35">
        <f t="shared" si="7"/>
        <v>7.0678842807376137E-3</v>
      </c>
    </row>
    <row r="81" spans="1:6" s="13" customFormat="1" ht="26.25">
      <c r="A81" s="29" t="s">
        <v>81</v>
      </c>
      <c r="B81" s="23">
        <f>'UL BOS'!B81+McNeese!B81+LATech!B81+ULM!B81+ULL!B81+GSU!B81+SLU!B81+NSU!B81+Nicholls!B81</f>
        <v>5057610.87</v>
      </c>
      <c r="C81" s="23">
        <f>'UL BOS'!C81+McNeese!C81+LATech!C81+ULM!C81+ULL!C81+GSU!C81+SLU!C81+NSU!C81+Nicholls!C81</f>
        <v>3665950</v>
      </c>
      <c r="D81" s="23">
        <f>'UL BOS'!D81+McNeese!D81+LATech!D81+ULM!D81+ULL!D81+GSU!D81+SLU!D81+NSU!D81+Nicholls!D81</f>
        <v>4134472</v>
      </c>
      <c r="E81" s="28">
        <f t="shared" si="6"/>
        <v>468522</v>
      </c>
      <c r="F81" s="24">
        <f t="shared" si="7"/>
        <v>0.1278037070882036</v>
      </c>
    </row>
    <row r="82" spans="1:6" s="13" customFormat="1" ht="26.25">
      <c r="A82" s="29" t="s">
        <v>82</v>
      </c>
      <c r="B82" s="23">
        <f>'UL BOS'!B82+McNeese!B82+LATech!B82+ULM!B82+ULL!B82+GSU!B82+SLU!B82+NSU!B82+Nicholls!B82</f>
        <v>109192885.68000001</v>
      </c>
      <c r="C82" s="23">
        <f>'UL BOS'!C82+McNeese!C82+LATech!C82+ULM!C82+ULL!C82+GSU!C82+SLU!C82+NSU!C82+Nicholls!C82</f>
        <v>103753524</v>
      </c>
      <c r="D82" s="23">
        <f>'UL BOS'!D82+McNeese!D82+LATech!D82+ULM!D82+ULL!D82+GSU!D82+SLU!D82+NSU!D82+Nicholls!D82</f>
        <v>98491021</v>
      </c>
      <c r="E82" s="28">
        <f t="shared" si="6"/>
        <v>-5262503</v>
      </c>
      <c r="F82" s="24">
        <f t="shared" si="7"/>
        <v>-5.0721197672283398E-2</v>
      </c>
    </row>
    <row r="83" spans="1:6" s="13" customFormat="1" ht="26.25">
      <c r="A83" s="29" t="s">
        <v>83</v>
      </c>
      <c r="B83" s="23">
        <f>'UL BOS'!B83+McNeese!B83+LATech!B83+ULM!B83+ULL!B83+GSU!B83+SLU!B83+NSU!B83+Nicholls!B83</f>
        <v>0</v>
      </c>
      <c r="C83" s="23">
        <f>'UL BOS'!C83+McNeese!C83+LATech!C83+ULM!C83+ULL!C83+GSU!C83+SLU!C83+NSU!C83+Nicholls!C83</f>
        <v>0</v>
      </c>
      <c r="D83" s="23">
        <f>'UL BOS'!D83+McNeese!D83+LATech!D83+ULM!D83+ULL!D83+GSU!D83+SLU!D83+NSU!D83+Nicholls!D83</f>
        <v>0</v>
      </c>
      <c r="E83" s="28">
        <f t="shared" si="6"/>
        <v>0</v>
      </c>
      <c r="F83" s="24">
        <f t="shared" si="7"/>
        <v>0</v>
      </c>
    </row>
    <row r="84" spans="1:6" s="13" customFormat="1" ht="26.25">
      <c r="A84" s="29" t="s">
        <v>84</v>
      </c>
      <c r="B84" s="23">
        <f>'UL BOS'!B84+McNeese!B84+LATech!B84+ULM!B84+ULL!B84+GSU!B84+SLU!B84+NSU!B84+Nicholls!B84</f>
        <v>7484809.7799999993</v>
      </c>
      <c r="C84" s="23">
        <f>'UL BOS'!C84+McNeese!C84+LATech!C84+ULM!C84+ULL!C84+GSU!C84+SLU!C84+NSU!C84+Nicholls!C84</f>
        <v>6878049</v>
      </c>
      <c r="D84" s="23">
        <f>'UL BOS'!D84+McNeese!D84+LATech!D84+ULM!D84+ULL!D84+GSU!D84+SLU!D84+NSU!D84+Nicholls!D84</f>
        <v>6717878</v>
      </c>
      <c r="E84" s="28">
        <f t="shared" si="6"/>
        <v>-160171</v>
      </c>
      <c r="F84" s="24">
        <f t="shared" si="7"/>
        <v>-2.3287272306434573E-2</v>
      </c>
    </row>
    <row r="85" spans="1:6" s="36" customFormat="1" ht="26.25">
      <c r="A85" s="32" t="s">
        <v>85</v>
      </c>
      <c r="B85" s="34">
        <f>SUM(B81:B84)</f>
        <v>121735306.33000001</v>
      </c>
      <c r="C85" s="51">
        <f>SUM(C81:C84)</f>
        <v>114297523</v>
      </c>
      <c r="D85" s="51">
        <f>SUM(D81:D84)</f>
        <v>109343371</v>
      </c>
      <c r="E85" s="34">
        <f t="shared" si="6"/>
        <v>-4954152</v>
      </c>
      <c r="F85" s="35">
        <f t="shared" si="7"/>
        <v>-4.3344351390712119E-2</v>
      </c>
    </row>
    <row r="86" spans="1:6" s="13" customFormat="1" ht="26.25">
      <c r="A86" s="29" t="s">
        <v>86</v>
      </c>
      <c r="B86" s="23">
        <f>'UL BOS'!B86+McNeese!B86+LATech!B86+ULM!B86+ULL!B86+GSU!B86+SLU!B86+NSU!B86+Nicholls!B86</f>
        <v>8424184.2699999996</v>
      </c>
      <c r="C86" s="23">
        <f>'UL BOS'!C86+McNeese!C86+LATech!C86+ULM!C86+ULL!C86+GSU!C86+SLU!C86+NSU!C86+Nicholls!C86</f>
        <v>10720218</v>
      </c>
      <c r="D86" s="23">
        <f>'UL BOS'!D86+McNeese!D86+LATech!D86+ULM!D86+ULL!D86+GSU!D86+SLU!D86+NSU!D86+Nicholls!D86</f>
        <v>5616917</v>
      </c>
      <c r="E86" s="28">
        <f t="shared" si="6"/>
        <v>-5103301</v>
      </c>
      <c r="F86" s="24">
        <f t="shared" si="7"/>
        <v>-0.47604451700515793</v>
      </c>
    </row>
    <row r="87" spans="1:6" s="13" customFormat="1" ht="26.25">
      <c r="A87" s="29" t="s">
        <v>87</v>
      </c>
      <c r="B87" s="23">
        <f>'UL BOS'!B87+McNeese!B87+LATech!B87+ULM!B87+ULL!B87+GSU!B87+SLU!B87+NSU!B87+Nicholls!B87</f>
        <v>5167387.0600000005</v>
      </c>
      <c r="C87" s="23">
        <f>'UL BOS'!C87+McNeese!C87+LATech!C87+ULM!C87+ULL!C87+GSU!C87+SLU!C87+NSU!C87+Nicholls!C87</f>
        <v>5612695</v>
      </c>
      <c r="D87" s="23">
        <f>'UL BOS'!D87+McNeese!D87+LATech!D87+ULM!D87+ULL!D87+GSU!D87+SLU!D87+NSU!D87+Nicholls!D87</f>
        <v>4384633</v>
      </c>
      <c r="E87" s="28">
        <f t="shared" si="6"/>
        <v>-1228062</v>
      </c>
      <c r="F87" s="24">
        <f t="shared" si="7"/>
        <v>-0.21880077217807131</v>
      </c>
    </row>
    <row r="88" spans="1:6" s="13" customFormat="1" ht="26.25">
      <c r="A88" s="38" t="s">
        <v>88</v>
      </c>
      <c r="B88" s="23">
        <f>'UL BOS'!B88+McNeese!B88+LATech!B88+ULM!B88+ULL!B88+GSU!B88+SLU!B88+NSU!B88+Nicholls!B88</f>
        <v>3779521.8200000003</v>
      </c>
      <c r="C88" s="23">
        <f>'UL BOS'!C88+McNeese!C88+LATech!C88+ULM!C88+ULL!C88+GSU!C88+SLU!C88+NSU!C88+Nicholls!C88</f>
        <v>4815469</v>
      </c>
      <c r="D88" s="23">
        <f>'UL BOS'!D88+McNeese!D88+LATech!D88+ULM!D88+ULL!D88+GSU!D88+SLU!D88+NSU!D88+Nicholls!D88</f>
        <v>1788870</v>
      </c>
      <c r="E88" s="28">
        <f t="shared" si="6"/>
        <v>-3026599</v>
      </c>
      <c r="F88" s="24">
        <f t="shared" si="7"/>
        <v>-0.62851593479264434</v>
      </c>
    </row>
    <row r="89" spans="1:6" s="36" customFormat="1" ht="26.25">
      <c r="A89" s="52" t="s">
        <v>89</v>
      </c>
      <c r="B89" s="51">
        <f>SUM(B86:B88)</f>
        <v>17371093.149999999</v>
      </c>
      <c r="C89" s="51">
        <f>SUM(C86:C88)</f>
        <v>21148382</v>
      </c>
      <c r="D89" s="51">
        <f>SUM(D86:D88)</f>
        <v>11790420</v>
      </c>
      <c r="E89" s="51">
        <f t="shared" si="6"/>
        <v>-9357962</v>
      </c>
      <c r="F89" s="35">
        <f t="shared" si="7"/>
        <v>-0.44249068321160456</v>
      </c>
    </row>
    <row r="90" spans="1:6" s="13" customFormat="1" ht="26.25">
      <c r="A90" s="38" t="s">
        <v>90</v>
      </c>
      <c r="B90" s="23">
        <f>'UL BOS'!B90+McNeese!B90+LATech!B90+ULM!B90+ULL!B90+GSU!B90+SLU!B90+NSU!B90+Nicholls!B90</f>
        <v>0</v>
      </c>
      <c r="C90" s="23">
        <f>'UL BOS'!C90+McNeese!C90+LATech!C90+ULM!C90+ULL!C90+GSU!C90+SLU!C90+NSU!C90+Nicholls!C90</f>
        <v>0</v>
      </c>
      <c r="D90" s="23">
        <f>'UL BOS'!D90+McNeese!D90+LATech!D90+ULM!D90+ULL!D90+GSU!D90+SLU!D90+NSU!D90+Nicholls!D90</f>
        <v>0</v>
      </c>
      <c r="E90" s="28">
        <f t="shared" si="6"/>
        <v>0</v>
      </c>
      <c r="F90" s="24">
        <f t="shared" si="7"/>
        <v>0</v>
      </c>
    </row>
    <row r="91" spans="1:6" s="36" customFormat="1" ht="27" thickBot="1">
      <c r="A91" s="53" t="s">
        <v>71</v>
      </c>
      <c r="B91" s="54">
        <f>B89+B85+B80+B76+B90</f>
        <v>700065496.19000006</v>
      </c>
      <c r="C91" s="54">
        <f>C89+C85+C80+C76+C90</f>
        <v>707533239.86000001</v>
      </c>
      <c r="D91" s="55">
        <f>D89+D85+D80+D76+D90</f>
        <v>699811153</v>
      </c>
      <c r="E91" s="54">
        <f t="shared" si="6"/>
        <v>-7722086.8600000143</v>
      </c>
      <c r="F91" s="56">
        <f t="shared" si="7"/>
        <v>-1.0914097635226279E-2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2" bottom="0.28999999999999998" header="0.3" footer="0.3"/>
  <pageSetup scale="3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topLeftCell="A13" zoomScale="50" zoomScaleNormal="50" workbookViewId="0">
      <selection activeCell="B8" sqref="B8:B91"/>
    </sheetView>
  </sheetViews>
  <sheetFormatPr defaultRowHeight="15.75"/>
  <cols>
    <col min="1" max="1" width="121.140625" style="65" customWidth="1"/>
    <col min="2" max="2" width="32.7109375" style="66" customWidth="1"/>
    <col min="3" max="4" width="32.85546875" style="66" customWidth="1"/>
    <col min="5" max="5" width="30.28515625" style="65" customWidth="1"/>
    <col min="6" max="6" width="25.140625" style="65" customWidth="1"/>
    <col min="7" max="16384" width="9.140625" style="65"/>
  </cols>
  <sheetData>
    <row r="1" spans="1:6" s="6" customFormat="1" ht="46.5">
      <c r="A1" s="1" t="s">
        <v>0</v>
      </c>
      <c r="D1" s="277" t="s">
        <v>1</v>
      </c>
      <c r="E1" s="4" t="s">
        <v>155</v>
      </c>
      <c r="F1" s="279"/>
    </row>
    <row r="2" spans="1:6" s="6" customFormat="1" ht="46.5">
      <c r="A2" s="1" t="s">
        <v>2</v>
      </c>
      <c r="B2" s="2"/>
      <c r="C2" s="2"/>
      <c r="D2" s="2"/>
      <c r="E2" s="3"/>
      <c r="F2" s="3"/>
    </row>
    <row r="3" spans="1:6" s="6" customFormat="1" ht="47.25" thickBot="1">
      <c r="A3" s="7" t="s">
        <v>3</v>
      </c>
      <c r="B3" s="8"/>
      <c r="C3" s="8"/>
      <c r="D3" s="8"/>
      <c r="E3" s="3"/>
      <c r="F3" s="3"/>
    </row>
    <row r="4" spans="1:6" s="13" customFormat="1" ht="27" thickTop="1">
      <c r="A4" s="9" t="s">
        <v>4</v>
      </c>
      <c r="B4" s="10" t="s">
        <v>5</v>
      </c>
      <c r="C4" s="11" t="s">
        <v>6</v>
      </c>
      <c r="D4" s="11" t="s">
        <v>6</v>
      </c>
      <c r="E4" s="11" t="s">
        <v>7</v>
      </c>
      <c r="F4" s="12" t="s">
        <v>8</v>
      </c>
    </row>
    <row r="5" spans="1:6" s="17" customFormat="1" ht="52.5">
      <c r="A5" s="14"/>
      <c r="B5" s="15" t="s">
        <v>9</v>
      </c>
      <c r="C5" s="15" t="s">
        <v>10</v>
      </c>
      <c r="D5" s="15" t="s">
        <v>11</v>
      </c>
      <c r="E5" s="15" t="s">
        <v>13</v>
      </c>
      <c r="F5" s="16" t="s">
        <v>12</v>
      </c>
    </row>
    <row r="6" spans="1:6" s="13" customFormat="1" ht="26.25">
      <c r="A6" s="18" t="s">
        <v>14</v>
      </c>
      <c r="B6" s="19"/>
      <c r="C6" s="19"/>
      <c r="D6" s="19"/>
      <c r="E6" s="19"/>
      <c r="F6" s="20"/>
    </row>
    <row r="7" spans="1:6" s="13" customFormat="1" ht="26.25">
      <c r="A7" s="18" t="s">
        <v>15</v>
      </c>
      <c r="B7" s="19"/>
      <c r="C7" s="19"/>
      <c r="D7" s="19"/>
      <c r="E7" s="19"/>
      <c r="F7" s="21"/>
    </row>
    <row r="8" spans="1:6" s="13" customFormat="1" ht="26.25">
      <c r="A8" s="22" t="s">
        <v>16</v>
      </c>
      <c r="B8" s="23">
        <v>1171509</v>
      </c>
      <c r="C8" s="23">
        <v>1171509</v>
      </c>
      <c r="D8" s="23">
        <v>1605302</v>
      </c>
      <c r="E8" s="23">
        <v>433793</v>
      </c>
      <c r="F8" s="24">
        <v>0.37028567428846043</v>
      </c>
    </row>
    <row r="9" spans="1:6" s="13" customFormat="1" ht="26.25">
      <c r="A9" s="22" t="s">
        <v>17</v>
      </c>
      <c r="B9" s="23">
        <v>0</v>
      </c>
      <c r="C9" s="23">
        <v>0</v>
      </c>
      <c r="D9" s="23">
        <v>0</v>
      </c>
      <c r="E9" s="23">
        <v>0</v>
      </c>
      <c r="F9" s="24">
        <v>0</v>
      </c>
    </row>
    <row r="10" spans="1:6" s="13" customFormat="1" ht="26.25">
      <c r="A10" s="25" t="s">
        <v>18</v>
      </c>
      <c r="B10" s="255">
        <v>0</v>
      </c>
      <c r="C10" s="26">
        <v>0</v>
      </c>
      <c r="D10" s="26">
        <v>0</v>
      </c>
      <c r="E10" s="26">
        <v>0</v>
      </c>
      <c r="F10" s="24">
        <v>0</v>
      </c>
    </row>
    <row r="11" spans="1:6" s="13" customFormat="1" ht="26.25">
      <c r="A11" s="27" t="s">
        <v>19</v>
      </c>
      <c r="B11" s="28">
        <v>0</v>
      </c>
      <c r="C11" s="28">
        <v>0</v>
      </c>
      <c r="D11" s="28">
        <v>0</v>
      </c>
      <c r="E11" s="26">
        <v>0</v>
      </c>
      <c r="F11" s="24">
        <v>0</v>
      </c>
    </row>
    <row r="12" spans="1:6" s="13" customFormat="1" ht="26.25">
      <c r="A12" s="29" t="s">
        <v>20</v>
      </c>
      <c r="B12" s="28">
        <v>0</v>
      </c>
      <c r="C12" s="28">
        <v>0</v>
      </c>
      <c r="D12" s="28">
        <v>0</v>
      </c>
      <c r="E12" s="26">
        <v>0</v>
      </c>
      <c r="F12" s="24">
        <v>0</v>
      </c>
    </row>
    <row r="13" spans="1:6" s="13" customFormat="1" ht="26.25">
      <c r="A13" s="29" t="s">
        <v>21</v>
      </c>
      <c r="B13" s="28">
        <v>0</v>
      </c>
      <c r="C13" s="28">
        <v>0</v>
      </c>
      <c r="D13" s="28">
        <v>0</v>
      </c>
      <c r="E13" s="26">
        <v>0</v>
      </c>
      <c r="F13" s="24">
        <v>0</v>
      </c>
    </row>
    <row r="14" spans="1:6" s="13" customFormat="1" ht="26.25">
      <c r="A14" s="29" t="s">
        <v>22</v>
      </c>
      <c r="B14" s="28">
        <v>0</v>
      </c>
      <c r="C14" s="28">
        <v>0</v>
      </c>
      <c r="D14" s="28">
        <v>0</v>
      </c>
      <c r="E14" s="26">
        <v>0</v>
      </c>
      <c r="F14" s="24">
        <v>0</v>
      </c>
    </row>
    <row r="15" spans="1:6" s="13" customFormat="1" ht="26.25">
      <c r="A15" s="29" t="s">
        <v>23</v>
      </c>
      <c r="B15" s="28">
        <v>0</v>
      </c>
      <c r="C15" s="28">
        <v>0</v>
      </c>
      <c r="D15" s="28">
        <v>0</v>
      </c>
      <c r="E15" s="26">
        <v>0</v>
      </c>
      <c r="F15" s="24">
        <v>0</v>
      </c>
    </row>
    <row r="16" spans="1:6" s="13" customFormat="1" ht="26.25">
      <c r="A16" s="29" t="s">
        <v>24</v>
      </c>
      <c r="B16" s="28">
        <v>0</v>
      </c>
      <c r="C16" s="28">
        <v>0</v>
      </c>
      <c r="D16" s="28">
        <v>0</v>
      </c>
      <c r="E16" s="26">
        <v>0</v>
      </c>
      <c r="F16" s="24">
        <v>0</v>
      </c>
    </row>
    <row r="17" spans="1:6" s="13" customFormat="1" ht="26.25">
      <c r="A17" s="29" t="s">
        <v>25</v>
      </c>
      <c r="B17" s="28">
        <v>0</v>
      </c>
      <c r="C17" s="28">
        <v>0</v>
      </c>
      <c r="D17" s="28">
        <v>0</v>
      </c>
      <c r="E17" s="26">
        <v>0</v>
      </c>
      <c r="F17" s="24">
        <v>0</v>
      </c>
    </row>
    <row r="18" spans="1:6" s="13" customFormat="1" ht="26.25">
      <c r="A18" s="29" t="s">
        <v>26</v>
      </c>
      <c r="B18" s="28">
        <v>0</v>
      </c>
      <c r="C18" s="28">
        <v>0</v>
      </c>
      <c r="D18" s="28">
        <v>0</v>
      </c>
      <c r="E18" s="26">
        <v>0</v>
      </c>
      <c r="F18" s="24">
        <v>0</v>
      </c>
    </row>
    <row r="19" spans="1:6" s="13" customFormat="1" ht="26.25">
      <c r="A19" s="29" t="s">
        <v>27</v>
      </c>
      <c r="B19" s="28">
        <v>0</v>
      </c>
      <c r="C19" s="28">
        <v>0</v>
      </c>
      <c r="D19" s="28">
        <v>0</v>
      </c>
      <c r="E19" s="26">
        <v>0</v>
      </c>
      <c r="F19" s="24">
        <v>0</v>
      </c>
    </row>
    <row r="20" spans="1:6" s="13" customFormat="1" ht="26.25">
      <c r="A20" s="29" t="s">
        <v>28</v>
      </c>
      <c r="B20" s="28">
        <v>0</v>
      </c>
      <c r="C20" s="28">
        <v>0</v>
      </c>
      <c r="D20" s="28">
        <v>0</v>
      </c>
      <c r="E20" s="26">
        <v>0</v>
      </c>
      <c r="F20" s="24">
        <v>0</v>
      </c>
    </row>
    <row r="21" spans="1:6" s="13" customFormat="1" ht="26.25">
      <c r="A21" s="29" t="s">
        <v>29</v>
      </c>
      <c r="B21" s="28">
        <v>0</v>
      </c>
      <c r="C21" s="28">
        <v>0</v>
      </c>
      <c r="D21" s="28">
        <v>0</v>
      </c>
      <c r="E21" s="26">
        <v>0</v>
      </c>
      <c r="F21" s="24">
        <v>0</v>
      </c>
    </row>
    <row r="22" spans="1:6" s="13" customFormat="1" ht="26.25">
      <c r="A22" s="29" t="s">
        <v>30</v>
      </c>
      <c r="B22" s="28">
        <v>0</v>
      </c>
      <c r="C22" s="28">
        <v>0</v>
      </c>
      <c r="D22" s="28">
        <v>0</v>
      </c>
      <c r="E22" s="26">
        <v>0</v>
      </c>
      <c r="F22" s="24">
        <v>0</v>
      </c>
    </row>
    <row r="23" spans="1:6" s="13" customFormat="1" ht="26.25">
      <c r="A23" s="30" t="s">
        <v>31</v>
      </c>
      <c r="B23" s="28">
        <v>0</v>
      </c>
      <c r="C23" s="28">
        <v>0</v>
      </c>
      <c r="D23" s="28">
        <v>0</v>
      </c>
      <c r="E23" s="26">
        <v>0</v>
      </c>
      <c r="F23" s="24">
        <v>0</v>
      </c>
    </row>
    <row r="24" spans="1:6" s="13" customFormat="1" ht="26.25">
      <c r="A24" s="30" t="s">
        <v>32</v>
      </c>
      <c r="B24" s="28">
        <v>0</v>
      </c>
      <c r="C24" s="28">
        <v>0</v>
      </c>
      <c r="D24" s="28">
        <v>0</v>
      </c>
      <c r="E24" s="26">
        <v>0</v>
      </c>
      <c r="F24" s="24">
        <v>0</v>
      </c>
    </row>
    <row r="25" spans="1:6" s="13" customFormat="1" ht="26.25">
      <c r="A25" s="30" t="s">
        <v>33</v>
      </c>
      <c r="B25" s="28">
        <v>0</v>
      </c>
      <c r="C25" s="28">
        <v>0</v>
      </c>
      <c r="D25" s="28">
        <v>0</v>
      </c>
      <c r="E25" s="26">
        <v>0</v>
      </c>
      <c r="F25" s="24">
        <v>0</v>
      </c>
    </row>
    <row r="26" spans="1:6" s="13" customFormat="1" ht="26.25">
      <c r="A26" s="30" t="s">
        <v>34</v>
      </c>
      <c r="B26" s="28">
        <v>0</v>
      </c>
      <c r="C26" s="28">
        <v>0</v>
      </c>
      <c r="D26" s="28">
        <v>0</v>
      </c>
      <c r="E26" s="26">
        <v>0</v>
      </c>
      <c r="F26" s="24">
        <v>0</v>
      </c>
    </row>
    <row r="27" spans="1:6" s="13" customFormat="1" ht="26.25">
      <c r="A27" s="30" t="s">
        <v>35</v>
      </c>
      <c r="B27" s="28">
        <v>0</v>
      </c>
      <c r="C27" s="28">
        <v>0</v>
      </c>
      <c r="D27" s="28">
        <v>0</v>
      </c>
      <c r="E27" s="26">
        <v>0</v>
      </c>
      <c r="F27" s="24">
        <v>0</v>
      </c>
    </row>
    <row r="28" spans="1:6" s="13" customFormat="1" ht="26.25">
      <c r="A28" s="30" t="s">
        <v>36</v>
      </c>
      <c r="B28" s="28">
        <v>0</v>
      </c>
      <c r="C28" s="28">
        <v>0</v>
      </c>
      <c r="D28" s="28">
        <v>0</v>
      </c>
      <c r="E28" s="26">
        <v>0</v>
      </c>
      <c r="F28" s="24">
        <v>0</v>
      </c>
    </row>
    <row r="29" spans="1:6" s="13" customFormat="1" ht="26.25">
      <c r="A29" s="31" t="s">
        <v>37</v>
      </c>
      <c r="B29" s="28"/>
      <c r="C29" s="28"/>
      <c r="D29" s="28"/>
      <c r="E29" s="28"/>
      <c r="F29" s="20"/>
    </row>
    <row r="30" spans="1:6" s="13" customFormat="1" ht="26.25">
      <c r="A30" s="27" t="s">
        <v>38</v>
      </c>
      <c r="B30" s="23">
        <v>0</v>
      </c>
      <c r="C30" s="23">
        <v>0</v>
      </c>
      <c r="D30" s="23">
        <v>0</v>
      </c>
      <c r="E30" s="23">
        <v>0</v>
      </c>
      <c r="F30" s="24">
        <v>0</v>
      </c>
    </row>
    <row r="31" spans="1:6" s="13" customFormat="1" ht="26.25">
      <c r="A31" s="32" t="s">
        <v>39</v>
      </c>
      <c r="B31" s="28"/>
      <c r="C31" s="28"/>
      <c r="D31" s="28"/>
      <c r="E31" s="28"/>
      <c r="F31" s="20"/>
    </row>
    <row r="32" spans="1:6" s="13" customFormat="1" ht="26.25">
      <c r="A32" s="27" t="s">
        <v>38</v>
      </c>
      <c r="B32" s="19">
        <v>0</v>
      </c>
      <c r="C32" s="19">
        <v>0</v>
      </c>
      <c r="D32" s="19">
        <v>0</v>
      </c>
      <c r="E32" s="23">
        <v>0</v>
      </c>
      <c r="F32" s="24">
        <v>0</v>
      </c>
    </row>
    <row r="33" spans="1:10" s="13" customFormat="1" ht="26.25">
      <c r="A33" s="29" t="s">
        <v>40</v>
      </c>
      <c r="B33" s="28"/>
      <c r="C33" s="28"/>
      <c r="D33" s="28"/>
      <c r="E33" s="26"/>
      <c r="F33" s="24" t="s">
        <v>41</v>
      </c>
    </row>
    <row r="34" spans="1:10" s="36" customFormat="1" ht="26.25">
      <c r="A34" s="33" t="s">
        <v>42</v>
      </c>
      <c r="B34" s="34">
        <v>1171509</v>
      </c>
      <c r="C34" s="34">
        <v>1171509</v>
      </c>
      <c r="D34" s="34">
        <v>1605302</v>
      </c>
      <c r="E34" s="34">
        <v>433793</v>
      </c>
      <c r="F34" s="35">
        <v>0.37028567428846043</v>
      </c>
    </row>
    <row r="35" spans="1:10" s="13" customFormat="1" ht="26.25">
      <c r="A35" s="31" t="s">
        <v>43</v>
      </c>
      <c r="B35" s="28"/>
      <c r="C35" s="28"/>
      <c r="D35" s="28"/>
      <c r="E35" s="28"/>
      <c r="F35" s="20"/>
    </row>
    <row r="36" spans="1:10" s="13" customFormat="1" ht="26.25">
      <c r="A36" s="37" t="s">
        <v>44</v>
      </c>
      <c r="B36" s="23">
        <v>0</v>
      </c>
      <c r="C36" s="23">
        <v>0</v>
      </c>
      <c r="D36" s="23">
        <v>0</v>
      </c>
      <c r="E36" s="23">
        <v>0</v>
      </c>
      <c r="F36" s="24">
        <v>0</v>
      </c>
    </row>
    <row r="37" spans="1:10" s="13" customFormat="1" ht="26.25">
      <c r="A37" s="38" t="s">
        <v>45</v>
      </c>
      <c r="B37" s="23">
        <v>0</v>
      </c>
      <c r="C37" s="23">
        <v>0</v>
      </c>
      <c r="D37" s="23">
        <v>0</v>
      </c>
      <c r="E37" s="26">
        <v>0</v>
      </c>
      <c r="F37" s="24">
        <v>0</v>
      </c>
    </row>
    <row r="38" spans="1:10" s="13" customFormat="1" ht="26.25">
      <c r="A38" s="38" t="s">
        <v>46</v>
      </c>
      <c r="B38" s="23">
        <v>0</v>
      </c>
      <c r="C38" s="23">
        <v>0</v>
      </c>
      <c r="D38" s="23">
        <v>0</v>
      </c>
      <c r="E38" s="26">
        <v>0</v>
      </c>
      <c r="F38" s="24">
        <v>0</v>
      </c>
    </row>
    <row r="39" spans="1:10" s="13" customFormat="1" ht="26.25">
      <c r="A39" s="38" t="s">
        <v>47</v>
      </c>
      <c r="B39" s="23">
        <v>0</v>
      </c>
      <c r="C39" s="23">
        <v>0</v>
      </c>
      <c r="D39" s="23">
        <v>0</v>
      </c>
      <c r="E39" s="26">
        <v>0</v>
      </c>
      <c r="F39" s="24">
        <v>0</v>
      </c>
    </row>
    <row r="40" spans="1:10" s="13" customFormat="1" ht="26.25">
      <c r="A40" s="39" t="s">
        <v>48</v>
      </c>
      <c r="B40" s="23">
        <v>0</v>
      </c>
      <c r="C40" s="23">
        <v>0</v>
      </c>
      <c r="D40" s="23">
        <v>0</v>
      </c>
      <c r="E40" s="26">
        <v>0</v>
      </c>
      <c r="F40" s="24">
        <v>0</v>
      </c>
    </row>
    <row r="41" spans="1:10" s="36" customFormat="1" ht="26.25">
      <c r="A41" s="31" t="s">
        <v>49</v>
      </c>
      <c r="B41" s="40">
        <v>0</v>
      </c>
      <c r="C41" s="40">
        <v>0</v>
      </c>
      <c r="D41" s="40">
        <v>0</v>
      </c>
      <c r="E41" s="40">
        <v>0</v>
      </c>
      <c r="F41" s="35">
        <v>0</v>
      </c>
      <c r="J41" s="36" t="s">
        <v>50</v>
      </c>
    </row>
    <row r="42" spans="1:10" s="13" customFormat="1" ht="26.25">
      <c r="A42" s="29" t="s">
        <v>50</v>
      </c>
      <c r="B42" s="28"/>
      <c r="C42" s="28"/>
      <c r="D42" s="28"/>
      <c r="E42" s="28"/>
      <c r="F42" s="20"/>
    </row>
    <row r="43" spans="1:10" s="36" customFormat="1" ht="26.25">
      <c r="A43" s="125" t="s">
        <v>51</v>
      </c>
      <c r="B43" s="126">
        <v>1756819</v>
      </c>
      <c r="C43" s="126">
        <v>2061905</v>
      </c>
      <c r="D43" s="126">
        <v>36000</v>
      </c>
      <c r="E43" s="126">
        <v>-2025905</v>
      </c>
      <c r="F43" s="127">
        <v>-0.98254041772050604</v>
      </c>
    </row>
    <row r="44" spans="1:10" s="13" customFormat="1" ht="26.25">
      <c r="A44" s="29" t="s">
        <v>50</v>
      </c>
      <c r="B44" s="28"/>
      <c r="C44" s="28"/>
      <c r="D44" s="28"/>
      <c r="E44" s="28"/>
      <c r="F44" s="20"/>
    </row>
    <row r="45" spans="1:10" s="36" customFormat="1" ht="26.25">
      <c r="A45" s="41" t="s">
        <v>52</v>
      </c>
      <c r="B45" s="42">
        <v>0</v>
      </c>
      <c r="C45" s="42">
        <v>0</v>
      </c>
      <c r="D45" s="42">
        <v>0</v>
      </c>
      <c r="E45" s="42">
        <v>0</v>
      </c>
      <c r="F45" s="35">
        <v>0</v>
      </c>
    </row>
    <row r="46" spans="1:10" s="13" customFormat="1" ht="26.25">
      <c r="A46" s="29" t="s">
        <v>50</v>
      </c>
      <c r="B46" s="28"/>
      <c r="C46" s="28"/>
      <c r="D46" s="28"/>
      <c r="E46" s="28"/>
      <c r="F46" s="20"/>
    </row>
    <row r="47" spans="1:10" s="36" customFormat="1" ht="26.25">
      <c r="A47" s="31" t="s">
        <v>53</v>
      </c>
      <c r="B47" s="40">
        <v>155595</v>
      </c>
      <c r="C47" s="40">
        <v>1150000</v>
      </c>
      <c r="D47" s="40">
        <v>1150000</v>
      </c>
      <c r="E47" s="40">
        <v>0</v>
      </c>
      <c r="F47" s="35">
        <v>0</v>
      </c>
    </row>
    <row r="48" spans="1:10" s="13" customFormat="1" ht="26.25">
      <c r="A48" s="29" t="s">
        <v>50</v>
      </c>
      <c r="B48" s="28"/>
      <c r="C48" s="28"/>
      <c r="D48" s="28"/>
      <c r="E48" s="28"/>
      <c r="F48" s="20"/>
    </row>
    <row r="49" spans="1:6" s="36" customFormat="1" ht="26.25">
      <c r="A49" s="43" t="s">
        <v>54</v>
      </c>
      <c r="B49" s="44">
        <v>0</v>
      </c>
      <c r="C49" s="44">
        <v>0</v>
      </c>
      <c r="D49" s="44">
        <v>0</v>
      </c>
      <c r="E49" s="44">
        <v>0</v>
      </c>
      <c r="F49" s="35">
        <v>0</v>
      </c>
    </row>
    <row r="50" spans="1:6" s="13" customFormat="1" ht="26.25">
      <c r="A50" s="31"/>
      <c r="B50" s="19"/>
      <c r="C50" s="19"/>
      <c r="D50" s="19"/>
      <c r="E50" s="19"/>
      <c r="F50" s="45"/>
    </row>
    <row r="51" spans="1:6" s="36" customFormat="1" ht="26.25">
      <c r="A51" s="31" t="s">
        <v>55</v>
      </c>
      <c r="B51" s="40">
        <v>0</v>
      </c>
      <c r="C51" s="40">
        <v>0</v>
      </c>
      <c r="D51" s="40">
        <v>0</v>
      </c>
      <c r="E51" s="44">
        <v>0</v>
      </c>
      <c r="F51" s="35">
        <v>0</v>
      </c>
    </row>
    <row r="52" spans="1:6" s="13" customFormat="1" ht="26.25">
      <c r="A52" s="29"/>
      <c r="B52" s="28"/>
      <c r="C52" s="28"/>
      <c r="D52" s="28"/>
      <c r="E52" s="28"/>
      <c r="F52" s="20"/>
    </row>
    <row r="53" spans="1:6" s="36" customFormat="1" ht="26.25">
      <c r="A53" s="46" t="s">
        <v>56</v>
      </c>
      <c r="B53" s="40">
        <v>3083923</v>
      </c>
      <c r="C53" s="40">
        <v>4383414</v>
      </c>
      <c r="D53" s="40">
        <v>2791302</v>
      </c>
      <c r="E53" s="40">
        <v>-1592112</v>
      </c>
      <c r="F53" s="35">
        <v>-0.3632127834605629</v>
      </c>
    </row>
    <row r="54" spans="1:6" s="13" customFormat="1" ht="26.25">
      <c r="A54" s="47"/>
      <c r="B54" s="28"/>
      <c r="C54" s="28"/>
      <c r="D54" s="28"/>
      <c r="E54" s="28"/>
      <c r="F54" s="20" t="s">
        <v>50</v>
      </c>
    </row>
    <row r="55" spans="1:6" s="13" customFormat="1" ht="26.25">
      <c r="A55" s="48"/>
      <c r="B55" s="19"/>
      <c r="C55" s="19"/>
      <c r="D55" s="19"/>
      <c r="E55" s="19"/>
      <c r="F55" s="21" t="s">
        <v>50</v>
      </c>
    </row>
    <row r="56" spans="1:6" s="13" customFormat="1" ht="26.25">
      <c r="A56" s="46" t="s">
        <v>57</v>
      </c>
      <c r="B56" s="19"/>
      <c r="C56" s="19"/>
      <c r="D56" s="19"/>
      <c r="E56" s="19"/>
      <c r="F56" s="21"/>
    </row>
    <row r="57" spans="1:6" s="13" customFormat="1" ht="26.25">
      <c r="A57" s="27" t="s">
        <v>58</v>
      </c>
      <c r="B57" s="19">
        <v>0</v>
      </c>
      <c r="C57" s="19">
        <v>0</v>
      </c>
      <c r="D57" s="19">
        <v>0</v>
      </c>
      <c r="E57" s="19">
        <v>0</v>
      </c>
      <c r="F57" s="24">
        <v>0</v>
      </c>
    </row>
    <row r="58" spans="1:6" s="13" customFormat="1" ht="26.25">
      <c r="A58" s="29" t="s">
        <v>59</v>
      </c>
      <c r="B58" s="28">
        <v>0</v>
      </c>
      <c r="C58" s="28">
        <v>0</v>
      </c>
      <c r="D58" s="28">
        <v>0</v>
      </c>
      <c r="E58" s="28">
        <v>0</v>
      </c>
      <c r="F58" s="24">
        <v>0</v>
      </c>
    </row>
    <row r="59" spans="1:6" s="13" customFormat="1" ht="26.25">
      <c r="A59" s="29" t="s">
        <v>60</v>
      </c>
      <c r="B59" s="28">
        <v>0</v>
      </c>
      <c r="C59" s="28">
        <v>0</v>
      </c>
      <c r="D59" s="28">
        <v>0</v>
      </c>
      <c r="E59" s="28">
        <v>0</v>
      </c>
      <c r="F59" s="24">
        <v>0</v>
      </c>
    </row>
    <row r="60" spans="1:6" s="13" customFormat="1" ht="26.25">
      <c r="A60" s="29" t="s">
        <v>61</v>
      </c>
      <c r="B60" s="28">
        <v>0</v>
      </c>
      <c r="C60" s="28">
        <v>0</v>
      </c>
      <c r="D60" s="28">
        <v>0</v>
      </c>
      <c r="E60" s="28">
        <v>0</v>
      </c>
      <c r="F60" s="24">
        <v>0</v>
      </c>
    </row>
    <row r="61" spans="1:6" s="13" customFormat="1" ht="26.25">
      <c r="A61" s="29" t="s">
        <v>62</v>
      </c>
      <c r="B61" s="28">
        <v>0</v>
      </c>
      <c r="C61" s="28">
        <v>0</v>
      </c>
      <c r="D61" s="28">
        <v>0</v>
      </c>
      <c r="E61" s="28">
        <v>0</v>
      </c>
      <c r="F61" s="24">
        <v>0</v>
      </c>
    </row>
    <row r="62" spans="1:6" s="13" customFormat="1" ht="26.25">
      <c r="A62" s="29" t="s">
        <v>63</v>
      </c>
      <c r="B62" s="28">
        <v>3083923</v>
      </c>
      <c r="C62" s="28">
        <v>4383414</v>
      </c>
      <c r="D62" s="28">
        <v>2791302</v>
      </c>
      <c r="E62" s="28">
        <v>-1592112</v>
      </c>
      <c r="F62" s="24">
        <v>-0.3632127834605629</v>
      </c>
    </row>
    <row r="63" spans="1:6" s="13" customFormat="1" ht="26.25">
      <c r="A63" s="29" t="s">
        <v>64</v>
      </c>
      <c r="B63" s="28">
        <v>0</v>
      </c>
      <c r="C63" s="28">
        <v>0</v>
      </c>
      <c r="D63" s="28">
        <v>0</v>
      </c>
      <c r="E63" s="28">
        <v>0</v>
      </c>
      <c r="F63" s="24">
        <v>0</v>
      </c>
    </row>
    <row r="64" spans="1:6" s="13" customFormat="1" ht="26.25">
      <c r="A64" s="29" t="s">
        <v>65</v>
      </c>
      <c r="B64" s="28">
        <v>0</v>
      </c>
      <c r="C64" s="28">
        <v>0</v>
      </c>
      <c r="D64" s="28">
        <v>0</v>
      </c>
      <c r="E64" s="28">
        <v>0</v>
      </c>
      <c r="F64" s="24">
        <v>0</v>
      </c>
    </row>
    <row r="65" spans="1:6" s="36" customFormat="1" ht="26.25">
      <c r="A65" s="49" t="s">
        <v>66</v>
      </c>
      <c r="B65" s="34">
        <v>3083923</v>
      </c>
      <c r="C65" s="34">
        <v>4383414</v>
      </c>
      <c r="D65" s="34">
        <v>2791302</v>
      </c>
      <c r="E65" s="34">
        <v>-1592112</v>
      </c>
      <c r="F65" s="35">
        <v>-0.3632127834605629</v>
      </c>
    </row>
    <row r="66" spans="1:6" s="13" customFormat="1" ht="26.25">
      <c r="A66" s="29" t="s">
        <v>67</v>
      </c>
      <c r="B66" s="28">
        <v>0</v>
      </c>
      <c r="C66" s="28">
        <v>0</v>
      </c>
      <c r="D66" s="28">
        <v>0</v>
      </c>
      <c r="E66" s="28">
        <v>0</v>
      </c>
      <c r="F66" s="24">
        <v>0</v>
      </c>
    </row>
    <row r="67" spans="1:6" s="13" customFormat="1" ht="26.25">
      <c r="A67" s="29" t="s">
        <v>68</v>
      </c>
      <c r="B67" s="28">
        <v>0</v>
      </c>
      <c r="C67" s="28">
        <v>0</v>
      </c>
      <c r="D67" s="28">
        <v>0</v>
      </c>
      <c r="E67" s="28">
        <v>0</v>
      </c>
      <c r="F67" s="24">
        <v>0</v>
      </c>
    </row>
    <row r="68" spans="1:6" s="13" customFormat="1" ht="26.25">
      <c r="A68" s="29" t="s">
        <v>69</v>
      </c>
      <c r="B68" s="28">
        <v>0</v>
      </c>
      <c r="C68" s="28">
        <v>0</v>
      </c>
      <c r="D68" s="28">
        <v>0</v>
      </c>
      <c r="E68" s="28">
        <v>0</v>
      </c>
      <c r="F68" s="24">
        <v>0</v>
      </c>
    </row>
    <row r="69" spans="1:6" s="13" customFormat="1" ht="26.25">
      <c r="A69" s="29" t="s">
        <v>70</v>
      </c>
      <c r="B69" s="28">
        <v>0</v>
      </c>
      <c r="C69" s="28">
        <v>0</v>
      </c>
      <c r="D69" s="28">
        <v>0</v>
      </c>
      <c r="E69" s="28">
        <v>0</v>
      </c>
      <c r="F69" s="24">
        <v>0</v>
      </c>
    </row>
    <row r="70" spans="1:6" s="36" customFormat="1" ht="26.25">
      <c r="A70" s="50" t="s">
        <v>71</v>
      </c>
      <c r="B70" s="260">
        <v>3083923</v>
      </c>
      <c r="C70" s="51">
        <v>4383414</v>
      </c>
      <c r="D70" s="51">
        <v>2791302</v>
      </c>
      <c r="E70" s="51">
        <v>-1592112</v>
      </c>
      <c r="F70" s="35">
        <v>-0.3632127834605629</v>
      </c>
    </row>
    <row r="71" spans="1:6" s="13" customFormat="1" ht="26.25">
      <c r="A71" s="48"/>
      <c r="B71" s="19"/>
      <c r="C71" s="19"/>
      <c r="D71" s="19"/>
      <c r="E71" s="19"/>
      <c r="F71" s="21"/>
    </row>
    <row r="72" spans="1:6" s="13" customFormat="1" ht="26.25">
      <c r="A72" s="46" t="s">
        <v>72</v>
      </c>
      <c r="B72" s="19"/>
      <c r="C72" s="19"/>
      <c r="D72" s="19"/>
      <c r="E72" s="19"/>
      <c r="F72" s="21"/>
    </row>
    <row r="73" spans="1:6" s="13" customFormat="1" ht="26.25">
      <c r="A73" s="27" t="s">
        <v>73</v>
      </c>
      <c r="B73" s="23">
        <v>1804030</v>
      </c>
      <c r="C73" s="23">
        <v>1314357</v>
      </c>
      <c r="D73" s="23">
        <v>1800000</v>
      </c>
      <c r="E73" s="19">
        <v>485643</v>
      </c>
      <c r="F73" s="24">
        <v>0.3694909373937218</v>
      </c>
    </row>
    <row r="74" spans="1:6" s="13" customFormat="1" ht="26.25">
      <c r="A74" s="29" t="s">
        <v>74</v>
      </c>
      <c r="B74" s="255">
        <v>12643</v>
      </c>
      <c r="C74" s="23">
        <v>19000</v>
      </c>
      <c r="D74" s="23">
        <v>13500</v>
      </c>
      <c r="E74" s="28">
        <v>-5500</v>
      </c>
      <c r="F74" s="24">
        <v>-0.28947368421052633</v>
      </c>
    </row>
    <row r="75" spans="1:6" s="13" customFormat="1" ht="26.25">
      <c r="A75" s="29" t="s">
        <v>75</v>
      </c>
      <c r="B75" s="19">
        <v>606321</v>
      </c>
      <c r="C75" s="23">
        <v>260361</v>
      </c>
      <c r="D75" s="23">
        <v>530000</v>
      </c>
      <c r="E75" s="28">
        <v>269639</v>
      </c>
      <c r="F75" s="24">
        <v>1.0356351373669637</v>
      </c>
    </row>
    <row r="76" spans="1:6" s="36" customFormat="1" ht="26.25">
      <c r="A76" s="49" t="s">
        <v>76</v>
      </c>
      <c r="B76" s="260">
        <v>2422994</v>
      </c>
      <c r="C76" s="51">
        <v>1593718</v>
      </c>
      <c r="D76" s="51">
        <v>2343500</v>
      </c>
      <c r="E76" s="34">
        <v>749782</v>
      </c>
      <c r="F76" s="35">
        <v>0.47046089709722799</v>
      </c>
    </row>
    <row r="77" spans="1:6" s="13" customFormat="1" ht="26.25">
      <c r="A77" s="29" t="s">
        <v>77</v>
      </c>
      <c r="B77" s="255">
        <v>25994</v>
      </c>
      <c r="C77" s="26">
        <v>25000</v>
      </c>
      <c r="D77" s="26">
        <v>25000</v>
      </c>
      <c r="E77" s="28">
        <v>0</v>
      </c>
      <c r="F77" s="24">
        <v>0</v>
      </c>
    </row>
    <row r="78" spans="1:6" s="13" customFormat="1" ht="26.25">
      <c r="A78" s="29" t="s">
        <v>78</v>
      </c>
      <c r="B78" s="23">
        <v>35699</v>
      </c>
      <c r="C78" s="23">
        <v>20000</v>
      </c>
      <c r="D78" s="23">
        <v>18000</v>
      </c>
      <c r="E78" s="28">
        <v>-2000</v>
      </c>
      <c r="F78" s="24">
        <v>-0.1</v>
      </c>
    </row>
    <row r="79" spans="1:6" s="13" customFormat="1" ht="26.25">
      <c r="A79" s="29" t="s">
        <v>79</v>
      </c>
      <c r="B79" s="19">
        <v>8544</v>
      </c>
      <c r="C79" s="19">
        <v>9000</v>
      </c>
      <c r="D79" s="19">
        <v>9500</v>
      </c>
      <c r="E79" s="28">
        <v>500</v>
      </c>
      <c r="F79" s="24">
        <v>5.5555555555555552E-2</v>
      </c>
    </row>
    <row r="80" spans="1:6" s="36" customFormat="1" ht="26.25">
      <c r="A80" s="32" t="s">
        <v>80</v>
      </c>
      <c r="B80" s="260">
        <v>70237</v>
      </c>
      <c r="C80" s="51">
        <v>54000</v>
      </c>
      <c r="D80" s="51">
        <v>52500</v>
      </c>
      <c r="E80" s="34">
        <v>-1500</v>
      </c>
      <c r="F80" s="35">
        <v>-2.7777777777777776E-2</v>
      </c>
    </row>
    <row r="81" spans="1:6" s="13" customFormat="1" ht="26.25">
      <c r="A81" s="29" t="s">
        <v>81</v>
      </c>
      <c r="B81" s="19">
        <v>62219</v>
      </c>
      <c r="C81" s="19">
        <v>30000</v>
      </c>
      <c r="D81" s="19">
        <v>0</v>
      </c>
      <c r="E81" s="28">
        <v>-30000</v>
      </c>
      <c r="F81" s="24">
        <v>-1</v>
      </c>
    </row>
    <row r="82" spans="1:6" s="13" customFormat="1" ht="26.25">
      <c r="A82" s="29" t="s">
        <v>82</v>
      </c>
      <c r="B82" s="28">
        <v>124681</v>
      </c>
      <c r="C82" s="28">
        <v>2305696</v>
      </c>
      <c r="D82" s="28">
        <v>36381</v>
      </c>
      <c r="E82" s="28">
        <v>-2269315</v>
      </c>
      <c r="F82" s="24">
        <v>-0.98422125032961849</v>
      </c>
    </row>
    <row r="83" spans="1:6" s="13" customFormat="1" ht="26.25">
      <c r="A83" s="29" t="s">
        <v>83</v>
      </c>
      <c r="B83" s="28">
        <v>0</v>
      </c>
      <c r="C83" s="28">
        <v>0</v>
      </c>
      <c r="D83" s="28">
        <v>0</v>
      </c>
      <c r="E83" s="28">
        <v>0</v>
      </c>
      <c r="F83" s="24">
        <v>0</v>
      </c>
    </row>
    <row r="84" spans="1:6" s="13" customFormat="1" ht="26.25">
      <c r="A84" s="29" t="s">
        <v>84</v>
      </c>
      <c r="B84" s="28">
        <v>402031</v>
      </c>
      <c r="C84" s="28">
        <v>400000</v>
      </c>
      <c r="D84" s="28">
        <v>356421</v>
      </c>
      <c r="E84" s="28">
        <v>-43579</v>
      </c>
      <c r="F84" s="24">
        <v>-0.1089475</v>
      </c>
    </row>
    <row r="85" spans="1:6" s="36" customFormat="1" ht="26.25">
      <c r="A85" s="32" t="s">
        <v>85</v>
      </c>
      <c r="B85" s="34">
        <v>588931</v>
      </c>
      <c r="C85" s="34">
        <v>2735696</v>
      </c>
      <c r="D85" s="34">
        <v>392802</v>
      </c>
      <c r="E85" s="34">
        <v>-2342894</v>
      </c>
      <c r="F85" s="35">
        <v>-0.85641606377316781</v>
      </c>
    </row>
    <row r="86" spans="1:6" s="13" customFormat="1" ht="26.25">
      <c r="A86" s="29" t="s">
        <v>86</v>
      </c>
      <c r="B86" s="28">
        <v>1761</v>
      </c>
      <c r="C86" s="28">
        <v>0</v>
      </c>
      <c r="D86" s="28">
        <v>2500</v>
      </c>
      <c r="E86" s="28">
        <v>2500</v>
      </c>
      <c r="F86" s="24">
        <v>1</v>
      </c>
    </row>
    <row r="87" spans="1:6" s="13" customFormat="1" ht="26.25">
      <c r="A87" s="29" t="s">
        <v>87</v>
      </c>
      <c r="B87" s="28">
        <v>0</v>
      </c>
      <c r="C87" s="28">
        <v>0</v>
      </c>
      <c r="D87" s="28">
        <v>0</v>
      </c>
      <c r="E87" s="28">
        <v>0</v>
      </c>
      <c r="F87" s="24">
        <v>0</v>
      </c>
    </row>
    <row r="88" spans="1:6" s="13" customFormat="1" ht="26.25">
      <c r="A88" s="38" t="s">
        <v>88</v>
      </c>
      <c r="B88" s="28">
        <v>0</v>
      </c>
      <c r="C88" s="28">
        <v>0</v>
      </c>
      <c r="D88" s="28">
        <v>0</v>
      </c>
      <c r="E88" s="28">
        <v>0</v>
      </c>
      <c r="F88" s="24">
        <v>0</v>
      </c>
    </row>
    <row r="89" spans="1:6" s="36" customFormat="1" ht="26.25">
      <c r="A89" s="52" t="s">
        <v>89</v>
      </c>
      <c r="B89" s="260">
        <v>1761</v>
      </c>
      <c r="C89" s="51">
        <v>0</v>
      </c>
      <c r="D89" s="51">
        <v>2500</v>
      </c>
      <c r="E89" s="51">
        <v>2500</v>
      </c>
      <c r="F89" s="35">
        <v>1</v>
      </c>
    </row>
    <row r="90" spans="1:6" s="13" customFormat="1" ht="26.25">
      <c r="A90" s="38" t="s">
        <v>90</v>
      </c>
      <c r="B90" s="28">
        <v>0</v>
      </c>
      <c r="C90" s="28">
        <v>0</v>
      </c>
      <c r="D90" s="26">
        <v>0</v>
      </c>
      <c r="E90" s="28">
        <v>0</v>
      </c>
      <c r="F90" s="24">
        <v>0</v>
      </c>
    </row>
    <row r="91" spans="1:6" s="36" customFormat="1" ht="27" thickBot="1">
      <c r="A91" s="53" t="s">
        <v>71</v>
      </c>
      <c r="B91" s="263">
        <v>3083923</v>
      </c>
      <c r="C91" s="54">
        <v>4383414</v>
      </c>
      <c r="D91" s="55">
        <v>2791302</v>
      </c>
      <c r="E91" s="54">
        <v>-1592112</v>
      </c>
      <c r="F91" s="56">
        <v>-0.3632127834605629</v>
      </c>
    </row>
    <row r="92" spans="1:6" s="60" customFormat="1" ht="31.5">
      <c r="A92" s="57"/>
      <c r="B92" s="58"/>
      <c r="C92" s="58"/>
      <c r="D92" s="58"/>
      <c r="E92" s="59"/>
      <c r="F92" s="59"/>
    </row>
    <row r="93" spans="1:6" s="60" customFormat="1" ht="31.5">
      <c r="A93" s="61" t="s">
        <v>91</v>
      </c>
      <c r="B93" s="62"/>
      <c r="C93" s="62"/>
      <c r="D93" s="62"/>
      <c r="E93" s="59"/>
      <c r="F93" s="59"/>
    </row>
    <row r="94" spans="1:6" s="60" customFormat="1" ht="31.5">
      <c r="A94" s="61" t="s">
        <v>92</v>
      </c>
      <c r="B94" s="62"/>
      <c r="C94" s="62"/>
      <c r="D94" s="62"/>
      <c r="E94" s="59"/>
      <c r="F94" s="59"/>
    </row>
    <row r="95" spans="1:6">
      <c r="A95" s="63" t="s">
        <v>50</v>
      </c>
      <c r="B95" s="64"/>
      <c r="C95" s="64"/>
      <c r="D95" s="64"/>
    </row>
  </sheetData>
  <pageMargins left="0.7" right="0.7" top="0.3" bottom="0.3" header="0.3" footer="0.3"/>
  <pageSetup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52</vt:i4>
      </vt:variant>
    </vt:vector>
  </HeadingPairs>
  <TitlesOfParts>
    <vt:vector size="104" baseType="lpstr">
      <vt:lpstr>PSE</vt:lpstr>
      <vt:lpstr>2 Year</vt:lpstr>
      <vt:lpstr>4 Year</vt:lpstr>
      <vt:lpstr>2 Year&amp;4 Year</vt:lpstr>
      <vt:lpstr>BOR</vt:lpstr>
      <vt:lpstr>LUMCON</vt:lpstr>
      <vt:lpstr>LOSFA</vt:lpstr>
      <vt:lpstr>UL System</vt:lpstr>
      <vt:lpstr>UL BOS</vt:lpstr>
      <vt:lpstr>McNeese</vt:lpstr>
      <vt:lpstr>LATech</vt:lpstr>
      <vt:lpstr>ULM</vt:lpstr>
      <vt:lpstr>ULL</vt:lpstr>
      <vt:lpstr>GSU</vt:lpstr>
      <vt:lpstr>SLU</vt:lpstr>
      <vt:lpstr>NSU</vt:lpstr>
      <vt:lpstr>Nicholls</vt:lpstr>
      <vt:lpstr>LSU System</vt:lpstr>
      <vt:lpstr>LSU BOS</vt:lpstr>
      <vt:lpstr>LSUBR</vt:lpstr>
      <vt:lpstr>LSUA</vt:lpstr>
      <vt:lpstr>LSUS</vt:lpstr>
      <vt:lpstr>UNO</vt:lpstr>
      <vt:lpstr>LSUE</vt:lpstr>
      <vt:lpstr>LSULAW</vt:lpstr>
      <vt:lpstr>LSUAG</vt:lpstr>
      <vt:lpstr>Penn</vt:lpstr>
      <vt:lpstr>EAConway</vt:lpstr>
      <vt:lpstr>HPLong</vt:lpstr>
      <vt:lpstr>HSCNO</vt:lpstr>
      <vt:lpstr>HSCS</vt:lpstr>
      <vt:lpstr>SU System</vt:lpstr>
      <vt:lpstr>SU BOS</vt:lpstr>
      <vt:lpstr>SUBR</vt:lpstr>
      <vt:lpstr>SUNO</vt:lpstr>
      <vt:lpstr>SUS</vt:lpstr>
      <vt:lpstr>SUAg</vt:lpstr>
      <vt:lpstr>SULaw</vt:lpstr>
      <vt:lpstr>LCTC System</vt:lpstr>
      <vt:lpstr>LCTC BOS</vt:lpstr>
      <vt:lpstr>Online</vt:lpstr>
      <vt:lpstr>BRCC</vt:lpstr>
      <vt:lpstr>BPCC</vt:lpstr>
      <vt:lpstr>Delgado</vt:lpstr>
      <vt:lpstr>Fletcher</vt:lpstr>
      <vt:lpstr>LDCC</vt:lpstr>
      <vt:lpstr>NorthshoreTCC</vt:lpstr>
      <vt:lpstr>Nunez</vt:lpstr>
      <vt:lpstr>RPCC</vt:lpstr>
      <vt:lpstr>SLCC</vt:lpstr>
      <vt:lpstr>Sowela</vt:lpstr>
      <vt:lpstr>LTC</vt:lpstr>
      <vt:lpstr>'2 Year'!Print_Area</vt:lpstr>
      <vt:lpstr>'2 Year&amp;4 Year'!Print_Area</vt:lpstr>
      <vt:lpstr>'4 Year'!Print_Area</vt:lpstr>
      <vt:lpstr>BOR!Print_Area</vt:lpstr>
      <vt:lpstr>BPCC!Print_Area</vt:lpstr>
      <vt:lpstr>BRCC!Print_Area</vt:lpstr>
      <vt:lpstr>Delgado!Print_Area</vt:lpstr>
      <vt:lpstr>EAConway!Print_Area</vt:lpstr>
      <vt:lpstr>Fletcher!Print_Area</vt:lpstr>
      <vt:lpstr>GSU!Print_Area</vt:lpstr>
      <vt:lpstr>HPLong!Print_Area</vt:lpstr>
      <vt:lpstr>HSCNO!Print_Area</vt:lpstr>
      <vt:lpstr>HSCS!Print_Area</vt:lpstr>
      <vt:lpstr>LATech!Print_Area</vt:lpstr>
      <vt:lpstr>'LCTC BOS'!Print_Area</vt:lpstr>
      <vt:lpstr>'LCTC System'!Print_Area</vt:lpstr>
      <vt:lpstr>LDCC!Print_Area</vt:lpstr>
      <vt:lpstr>LOSFA!Print_Area</vt:lpstr>
      <vt:lpstr>'LSU BOS'!Print_Area</vt:lpstr>
      <vt:lpstr>'LSU System'!Print_Area</vt:lpstr>
      <vt:lpstr>LSUA!Print_Area</vt:lpstr>
      <vt:lpstr>LSUAG!Print_Area</vt:lpstr>
      <vt:lpstr>LSUBR!Print_Area</vt:lpstr>
      <vt:lpstr>LSUE!Print_Area</vt:lpstr>
      <vt:lpstr>LSULAW!Print_Area</vt:lpstr>
      <vt:lpstr>LSUS!Print_Area</vt:lpstr>
      <vt:lpstr>LTC!Print_Area</vt:lpstr>
      <vt:lpstr>LUMCON!Print_Area</vt:lpstr>
      <vt:lpstr>McNeese!Print_Area</vt:lpstr>
      <vt:lpstr>Nicholls!Print_Area</vt:lpstr>
      <vt:lpstr>NorthshoreTCC!Print_Area</vt:lpstr>
      <vt:lpstr>NSU!Print_Area</vt:lpstr>
      <vt:lpstr>Nunez!Print_Area</vt:lpstr>
      <vt:lpstr>Online!Print_Area</vt:lpstr>
      <vt:lpstr>Penn!Print_Area</vt:lpstr>
      <vt:lpstr>PSE!Print_Area</vt:lpstr>
      <vt:lpstr>RPCC!Print_Area</vt:lpstr>
      <vt:lpstr>SLCC!Print_Area</vt:lpstr>
      <vt:lpstr>SLU!Print_Area</vt:lpstr>
      <vt:lpstr>Sowela!Print_Area</vt:lpstr>
      <vt:lpstr>'SU BOS'!Print_Area</vt:lpstr>
      <vt:lpstr>'SU System'!Print_Area</vt:lpstr>
      <vt:lpstr>SUAg!Print_Area</vt:lpstr>
      <vt:lpstr>SUBR!Print_Area</vt:lpstr>
      <vt:lpstr>SULaw!Print_Area</vt:lpstr>
      <vt:lpstr>SUNO!Print_Area</vt:lpstr>
      <vt:lpstr>SUS!Print_Area</vt:lpstr>
      <vt:lpstr>'UL BOS'!Print_Area</vt:lpstr>
      <vt:lpstr>'UL System'!Print_Area</vt:lpstr>
      <vt:lpstr>ULL!Print_Area</vt:lpstr>
      <vt:lpstr>ULM!Print_Area</vt:lpstr>
      <vt:lpstr>UNO!Print_Area</vt:lpstr>
    </vt:vector>
  </TitlesOfParts>
  <Company>Louisiana Board of Regents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Lori.Parker</cp:lastModifiedBy>
  <cp:lastPrinted>2011-10-12T14:43:49Z</cp:lastPrinted>
  <dcterms:created xsi:type="dcterms:W3CDTF">2011-08-25T19:44:09Z</dcterms:created>
  <dcterms:modified xsi:type="dcterms:W3CDTF">2011-10-14T14:41:38Z</dcterms:modified>
</cp:coreProperties>
</file>