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5480" windowHeight="11640" tabRatio="808" firstSheet="33" activeTab="41"/>
  </bookViews>
  <sheets>
    <sheet name="Total PSE" sheetId="18" r:id="rId1"/>
    <sheet name="Total 4YR" sheetId="23" r:id="rId2"/>
    <sheet name="Total 2YR" sheetId="22" r:id="rId3"/>
    <sheet name="2Yr &amp; 4Yr" sheetId="52" r:id="rId4"/>
    <sheet name="BOR" sheetId="21" r:id="rId5"/>
    <sheet name="Lumcon" sheetId="20" r:id="rId6"/>
    <sheet name="Total UL" sheetId="19" r:id="rId7"/>
    <sheet name="Grambling" sheetId="34" r:id="rId8"/>
    <sheet name="McNeese" sheetId="33" r:id="rId9"/>
    <sheet name="Nicholls" sheetId="32" r:id="rId10"/>
    <sheet name="NwSU" sheetId="31" r:id="rId11"/>
    <sheet name="SLU" sheetId="30" r:id="rId12"/>
    <sheet name="LaTech" sheetId="29" r:id="rId13"/>
    <sheet name="ULL" sheetId="28" r:id="rId14"/>
    <sheet name="ULM" sheetId="27" r:id="rId15"/>
    <sheet name="UL BOS" sheetId="26" r:id="rId16"/>
    <sheet name="Total LSU" sheetId="12" r:id="rId17"/>
    <sheet name="LSU" sheetId="13" r:id="rId18"/>
    <sheet name="LAW" sheetId="8" r:id="rId19"/>
    <sheet name="PBRC" sheetId="2" r:id="rId20"/>
    <sheet name="AG" sheetId="6" r:id="rId21"/>
    <sheet name="LSUS" sheetId="5" r:id="rId22"/>
    <sheet name="LSUA" sheetId="4" r:id="rId23"/>
    <sheet name="LSUE" sheetId="3" r:id="rId24"/>
    <sheet name="UNO" sheetId="14" r:id="rId25"/>
    <sheet name="HSCNO" sheetId="11" r:id="rId26"/>
    <sheet name="HSCS" sheetId="10" r:id="rId27"/>
    <sheet name="EACON" sheetId="9" r:id="rId28"/>
    <sheet name="HPLMC" sheetId="7" r:id="rId29"/>
    <sheet name="BOS" sheetId="1" r:id="rId30"/>
    <sheet name="VET" sheetId="16" r:id="rId31"/>
    <sheet name="Total SU" sheetId="25" r:id="rId32"/>
    <sheet name="SUBR" sheetId="39" r:id="rId33"/>
    <sheet name="SUNO" sheetId="38" r:id="rId34"/>
    <sheet name="SUSBO" sheetId="37" r:id="rId35"/>
    <sheet name="SUAG" sheetId="36" r:id="rId36"/>
    <sheet name="SULAW" sheetId="35" r:id="rId37"/>
    <sheet name="SUBOS" sheetId="40" r:id="rId38"/>
    <sheet name="Total LCTCS" sheetId="24" r:id="rId39"/>
    <sheet name="BPCC" sheetId="51" r:id="rId40"/>
    <sheet name="BRCC" sheetId="50" r:id="rId41"/>
    <sheet name="Nunez" sheetId="49" r:id="rId42"/>
    <sheet name="Delgado" sheetId="48" r:id="rId43"/>
    <sheet name="LDCC" sheetId="47" r:id="rId44"/>
    <sheet name="SLCC" sheetId="46" r:id="rId45"/>
    <sheet name="Fletcher" sheetId="45" r:id="rId46"/>
    <sheet name="RPCC" sheetId="44" r:id="rId47"/>
    <sheet name="SOWELA" sheetId="43" r:id="rId48"/>
    <sheet name="LTC" sheetId="42" r:id="rId49"/>
    <sheet name="LCTCSBOS" sheetId="41" r:id="rId50"/>
  </sheets>
  <externalReferences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PRINT">EACON!$A$1:$I$89</definedName>
    <definedName name="_xlnm.Print_Area" localSheetId="3">'2Yr &amp; 4Yr'!$A$1:$F$85</definedName>
    <definedName name="_xlnm.Print_Area" localSheetId="20">AG!$A$1:$F$85</definedName>
    <definedName name="_xlnm.Print_Area" localSheetId="4">BOR!$A$1:$F$83</definedName>
    <definedName name="_xlnm.Print_Area" localSheetId="29">BOS!$A$1:$F$85</definedName>
    <definedName name="_xlnm.Print_Area" localSheetId="39">BPCC!$A$1:$F$82</definedName>
    <definedName name="_xlnm.Print_Area" localSheetId="40">BRCC!$A$1:$F$83</definedName>
    <definedName name="_xlnm.Print_Area" localSheetId="42">Delgado!$A$1:$F$84</definedName>
    <definedName name="_xlnm.Print_Area" localSheetId="27">EACON!$A$1:$F$85</definedName>
    <definedName name="_xlnm.Print_Area" localSheetId="45">Fletcher!$A$1:$F$83</definedName>
    <definedName name="_xlnm.Print_Area" localSheetId="7">Grambling!$A$1:$F$85</definedName>
    <definedName name="_xlnm.Print_Area" localSheetId="28">HPLMC!$A$1:$F$85</definedName>
    <definedName name="_xlnm.Print_Area" localSheetId="25">HSCNO!$A$1:$F$85</definedName>
    <definedName name="_xlnm.Print_Area" localSheetId="26">HSCS!$A$1:$F$85</definedName>
    <definedName name="_xlnm.Print_Area" localSheetId="12">LaTech!$A$1:$F$83</definedName>
    <definedName name="_xlnm.Print_Area" localSheetId="18">LAW!$A$1:$F$85</definedName>
    <definedName name="_xlnm.Print_Area" localSheetId="49">LCTCSBOS!$A$1:$F$83</definedName>
    <definedName name="_xlnm.Print_Area" localSheetId="43">LDCC!$A$1:$F$83</definedName>
    <definedName name="_xlnm.Print_Area" localSheetId="17">LSU!$A$1:$F$85</definedName>
    <definedName name="_xlnm.Print_Area" localSheetId="22">LSUA!$A$1:$F$85</definedName>
    <definedName name="_xlnm.Print_Area" localSheetId="23">LSUE!$A$1:$F$85</definedName>
    <definedName name="_xlnm.Print_Area" localSheetId="21">LSUS!$A$1:$F$85</definedName>
    <definedName name="_xlnm.Print_Area" localSheetId="48">LTC!$A$1:$F$83</definedName>
    <definedName name="_xlnm.Print_Area" localSheetId="5">Lumcon!$A$1:$F$83</definedName>
    <definedName name="_xlnm.Print_Area" localSheetId="8">McNeese!$A$1:$F$83</definedName>
    <definedName name="_xlnm.Print_Area" localSheetId="9">Nicholls!$A$1:$F$83</definedName>
    <definedName name="_xlnm.Print_Area" localSheetId="41">Nunez!$A$1:$F$83</definedName>
    <definedName name="_xlnm.Print_Area" localSheetId="10">NwSU!$A$1:$F$83</definedName>
    <definedName name="_xlnm.Print_Area" localSheetId="19">PBRC!$A$1:$F$85</definedName>
    <definedName name="_xlnm.Print_Area" localSheetId="46">RPCC!$A$1:$F$83</definedName>
    <definedName name="_xlnm.Print_Area" localSheetId="44">SLCC!$A$1:$F$83</definedName>
    <definedName name="_xlnm.Print_Area" localSheetId="11">SLU!$A$1:$F$83</definedName>
    <definedName name="_xlnm.Print_Area" localSheetId="47">SOWELA!$A$1:$F$83</definedName>
    <definedName name="_xlnm.Print_Area" localSheetId="35">SUAG!$A$1:$F$83</definedName>
    <definedName name="_xlnm.Print_Area" localSheetId="37">SUBOS!$A$1:$F$81</definedName>
    <definedName name="_xlnm.Print_Area" localSheetId="32">SUBR!$A$1:$F$83</definedName>
    <definedName name="_xlnm.Print_Area" localSheetId="36">SULAW!$A$1:$F$84</definedName>
    <definedName name="_xlnm.Print_Area" localSheetId="33">SUNO!$A$1:$F$82</definedName>
    <definedName name="_xlnm.Print_Area" localSheetId="34">SUSBO!$A$1:$F$83</definedName>
    <definedName name="_xlnm.Print_Area" localSheetId="2">'Total 2YR'!$A$1:$F$85</definedName>
    <definedName name="_xlnm.Print_Area" localSheetId="1">'Total 4YR'!$A$1:$F$85</definedName>
    <definedName name="_xlnm.Print_Area" localSheetId="38">'Total LCTCS'!$A$1:$F$85</definedName>
    <definedName name="_xlnm.Print_Area" localSheetId="16">'Total LSU'!$A$1:$F$85</definedName>
    <definedName name="_xlnm.Print_Area" localSheetId="0">'Total PSE'!$A$1:$F$85</definedName>
    <definedName name="_xlnm.Print_Area" localSheetId="31">'Total SU'!$A$1:$F$85</definedName>
    <definedName name="_xlnm.Print_Area" localSheetId="6">'Total UL'!$A$1:$F$86</definedName>
    <definedName name="_xlnm.Print_Area" localSheetId="15">'UL BOS'!$A$1:$F$83</definedName>
    <definedName name="_xlnm.Print_Area" localSheetId="13">ULL!$A$1:$F$83</definedName>
    <definedName name="_xlnm.Print_Area" localSheetId="14">ULM!$A$1:$F$83</definedName>
    <definedName name="_xlnm.Print_Area" localSheetId="24">UNO!$A$1:$F$86</definedName>
    <definedName name="_xlnm.Print_Area" localSheetId="30">VET!$A$1:$T$87</definedName>
    <definedName name="_xlnm.Print_Area">BOS!$A$1:$I$88</definedName>
    <definedName name="_xlnm.Print_Titles" localSheetId="16">'Total LSU'!$1:$6</definedName>
  </definedNames>
  <calcPr calcId="114210" fullCalcOnLoad="1"/>
</workbook>
</file>

<file path=xl/calcChain.xml><?xml version="1.0" encoding="utf-8"?>
<calcChain xmlns="http://schemas.openxmlformats.org/spreadsheetml/2006/main">
  <c r="E33" i="43"/>
  <c r="F80" i="41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2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6"/>
  <c r="E75"/>
  <c r="E74"/>
  <c r="E72"/>
  <c r="E71"/>
  <c r="E70"/>
  <c r="E69"/>
  <c r="E68"/>
  <c r="E67"/>
  <c r="E66"/>
  <c r="E65"/>
  <c r="E64"/>
  <c r="E63"/>
  <c r="E60"/>
  <c r="E59"/>
  <c r="E57"/>
  <c r="E55"/>
  <c r="E52"/>
  <c r="E47"/>
  <c r="E43"/>
  <c r="E31"/>
  <c r="E25"/>
  <c r="E24"/>
  <c r="E10"/>
  <c r="E9"/>
  <c r="E8"/>
  <c r="F80" i="42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4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0"/>
  <c r="E59"/>
  <c r="E57"/>
  <c r="E55"/>
  <c r="E54"/>
  <c r="E53"/>
  <c r="E52"/>
  <c r="E51"/>
  <c r="E50"/>
  <c r="E47"/>
  <c r="E43"/>
  <c r="E39"/>
  <c r="E37"/>
  <c r="E31"/>
  <c r="E25"/>
  <c r="E12"/>
  <c r="E11"/>
  <c r="E10"/>
  <c r="E9"/>
  <c r="E8"/>
  <c r="F80" i="43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59"/>
  <c r="F58"/>
  <c r="F60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6"/>
  <c r="E75"/>
  <c r="E74"/>
  <c r="E72"/>
  <c r="E71"/>
  <c r="E70"/>
  <c r="E69"/>
  <c r="E68"/>
  <c r="E67"/>
  <c r="E66"/>
  <c r="E65"/>
  <c r="E64"/>
  <c r="E63"/>
  <c r="E60"/>
  <c r="E57"/>
  <c r="E55"/>
  <c r="E54"/>
  <c r="E53"/>
  <c r="E52"/>
  <c r="E51"/>
  <c r="E50"/>
  <c r="E47"/>
  <c r="E43"/>
  <c r="E39"/>
  <c r="E37"/>
  <c r="E31"/>
  <c r="E25"/>
  <c r="E14"/>
  <c r="E12"/>
  <c r="E11"/>
  <c r="E10"/>
  <c r="E9"/>
  <c r="F8"/>
  <c r="E8"/>
  <c r="F80" i="44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7"/>
  <c r="E76"/>
  <c r="E75"/>
  <c r="E74"/>
  <c r="E72"/>
  <c r="E71"/>
  <c r="E70"/>
  <c r="E69"/>
  <c r="E68"/>
  <c r="E67"/>
  <c r="E66"/>
  <c r="E65"/>
  <c r="E64"/>
  <c r="E63"/>
  <c r="E60"/>
  <c r="E57"/>
  <c r="E55"/>
  <c r="E54"/>
  <c r="E52"/>
  <c r="E50"/>
  <c r="E47"/>
  <c r="E43"/>
  <c r="E39"/>
  <c r="E37"/>
  <c r="E31"/>
  <c r="E12"/>
  <c r="E11"/>
  <c r="E10"/>
  <c r="E9"/>
  <c r="E8"/>
  <c r="F80" i="45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6"/>
  <c r="E75"/>
  <c r="E74"/>
  <c r="E72"/>
  <c r="E71"/>
  <c r="E70"/>
  <c r="E69"/>
  <c r="E68"/>
  <c r="E67"/>
  <c r="E66"/>
  <c r="E65"/>
  <c r="E64"/>
  <c r="E63"/>
  <c r="E60"/>
  <c r="E57"/>
  <c r="E55"/>
  <c r="E54"/>
  <c r="E52"/>
  <c r="E51"/>
  <c r="E50"/>
  <c r="E47"/>
  <c r="E43"/>
  <c r="E39"/>
  <c r="E37"/>
  <c r="E31"/>
  <c r="E12"/>
  <c r="E11"/>
  <c r="E10"/>
  <c r="E9"/>
  <c r="E8"/>
  <c r="F80" i="46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7"/>
  <c r="E76"/>
  <c r="E75"/>
  <c r="E74"/>
  <c r="E72"/>
  <c r="E71"/>
  <c r="E70"/>
  <c r="E69"/>
  <c r="E68"/>
  <c r="E67"/>
  <c r="E66"/>
  <c r="E65"/>
  <c r="E64"/>
  <c r="E63"/>
  <c r="E60"/>
  <c r="E57"/>
  <c r="E55"/>
  <c r="E54"/>
  <c r="E53"/>
  <c r="E52"/>
  <c r="E51"/>
  <c r="E50"/>
  <c r="E47"/>
  <c r="E43"/>
  <c r="E39"/>
  <c r="E37"/>
  <c r="E31"/>
  <c r="E12"/>
  <c r="E11"/>
  <c r="E10"/>
  <c r="E9"/>
  <c r="E8"/>
  <c r="F80" i="47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6"/>
  <c r="E75"/>
  <c r="E74"/>
  <c r="E72"/>
  <c r="E71"/>
  <c r="E70"/>
  <c r="E69"/>
  <c r="E68"/>
  <c r="E67"/>
  <c r="E66"/>
  <c r="E65"/>
  <c r="E64"/>
  <c r="E63"/>
  <c r="E60"/>
  <c r="E57"/>
  <c r="E55"/>
  <c r="E54"/>
  <c r="E53"/>
  <c r="E52"/>
  <c r="E51"/>
  <c r="E50"/>
  <c r="E47"/>
  <c r="E43"/>
  <c r="E39"/>
  <c r="E37"/>
  <c r="E31"/>
  <c r="E12"/>
  <c r="E11"/>
  <c r="E9"/>
  <c r="E8"/>
  <c r="F73" i="48"/>
  <c r="F80" i="49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79"/>
  <c r="E77"/>
  <c r="E76"/>
  <c r="E75"/>
  <c r="E72"/>
  <c r="E71"/>
  <c r="E70"/>
  <c r="E69"/>
  <c r="E68"/>
  <c r="E67"/>
  <c r="E66"/>
  <c r="E65"/>
  <c r="E64"/>
  <c r="E63"/>
  <c r="E55"/>
  <c r="E60"/>
  <c r="E54"/>
  <c r="E52"/>
  <c r="E51"/>
  <c r="E50"/>
  <c r="E47"/>
  <c r="E39"/>
  <c r="E37"/>
  <c r="E25"/>
  <c r="E12"/>
  <c r="E11"/>
  <c r="E10"/>
  <c r="E9"/>
  <c r="F8"/>
  <c r="E8"/>
  <c r="F80" i="50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80"/>
  <c r="E79"/>
  <c r="E77"/>
  <c r="E76"/>
  <c r="E75"/>
  <c r="E74"/>
  <c r="E72"/>
  <c r="E71"/>
  <c r="E70"/>
  <c r="E69"/>
  <c r="E68"/>
  <c r="E67"/>
  <c r="E66"/>
  <c r="E65"/>
  <c r="E63"/>
  <c r="E60"/>
  <c r="E58"/>
  <c r="E57"/>
  <c r="E55"/>
  <c r="E54"/>
  <c r="E53"/>
  <c r="E52"/>
  <c r="E51"/>
  <c r="E50"/>
  <c r="E47"/>
  <c r="E43"/>
  <c r="E39"/>
  <c r="E37"/>
  <c r="E31"/>
  <c r="E12"/>
  <c r="E11"/>
  <c r="E10"/>
  <c r="E9"/>
  <c r="E8"/>
  <c r="F79" i="51"/>
  <c r="F78"/>
  <c r="F77"/>
  <c r="F76"/>
  <c r="F75"/>
  <c r="F74"/>
  <c r="F73"/>
  <c r="F72"/>
  <c r="F71"/>
  <c r="F70"/>
  <c r="F69"/>
  <c r="F68"/>
  <c r="F67"/>
  <c r="F66"/>
  <c r="F65"/>
  <c r="F64"/>
  <c r="F63"/>
  <c r="F62"/>
  <c r="F59"/>
  <c r="F58"/>
  <c r="F57"/>
  <c r="F56"/>
  <c r="F55"/>
  <c r="F54"/>
  <c r="F53"/>
  <c r="F52"/>
  <c r="F51"/>
  <c r="F50"/>
  <c r="F49"/>
  <c r="F48"/>
  <c r="F47"/>
  <c r="F46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76"/>
  <c r="E75"/>
  <c r="E73"/>
  <c r="E71"/>
  <c r="E70"/>
  <c r="E68"/>
  <c r="E67"/>
  <c r="E66"/>
  <c r="E64"/>
  <c r="E63"/>
  <c r="E62"/>
  <c r="E56"/>
  <c r="E53"/>
  <c r="E52"/>
  <c r="E51"/>
  <c r="E50"/>
  <c r="E49"/>
  <c r="E48"/>
  <c r="E46"/>
  <c r="E43"/>
  <c r="E39"/>
  <c r="E37"/>
  <c r="E12"/>
  <c r="E11"/>
  <c r="E9"/>
  <c r="E8"/>
  <c r="D78" i="24"/>
  <c r="D79"/>
  <c r="D80"/>
  <c r="D81"/>
  <c r="D73"/>
  <c r="D74"/>
  <c r="D75"/>
  <c r="D76"/>
  <c r="D77"/>
  <c r="D69"/>
  <c r="D70"/>
  <c r="D71"/>
  <c r="D72"/>
  <c r="D65"/>
  <c r="D66"/>
  <c r="D67"/>
  <c r="D68"/>
  <c r="D82"/>
  <c r="B78"/>
  <c r="B79"/>
  <c r="B80"/>
  <c r="B81"/>
  <c r="B73"/>
  <c r="B74"/>
  <c r="B75"/>
  <c r="B76"/>
  <c r="B77"/>
  <c r="B69"/>
  <c r="B70"/>
  <c r="B71"/>
  <c r="B72"/>
  <c r="B65"/>
  <c r="B66"/>
  <c r="B67"/>
  <c r="B68"/>
  <c r="B82"/>
  <c r="E82"/>
  <c r="F82"/>
  <c r="E81"/>
  <c r="F81"/>
  <c r="E80"/>
  <c r="F80"/>
  <c r="E79"/>
  <c r="F79"/>
  <c r="E78"/>
  <c r="F78"/>
  <c r="E77"/>
  <c r="F77"/>
  <c r="E76"/>
  <c r="F76"/>
  <c r="E75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D49"/>
  <c r="D50"/>
  <c r="D51"/>
  <c r="D52"/>
  <c r="D53"/>
  <c r="D54"/>
  <c r="D55"/>
  <c r="D56"/>
  <c r="D57"/>
  <c r="D58"/>
  <c r="D59"/>
  <c r="D60"/>
  <c r="D61"/>
  <c r="D62"/>
  <c r="B49"/>
  <c r="B50"/>
  <c r="B51"/>
  <c r="B52"/>
  <c r="B53"/>
  <c r="B54"/>
  <c r="B55"/>
  <c r="B56"/>
  <c r="B57"/>
  <c r="B58"/>
  <c r="B59"/>
  <c r="B60"/>
  <c r="B61"/>
  <c r="B62"/>
  <c r="E62"/>
  <c r="F62"/>
  <c r="E61"/>
  <c r="F61"/>
  <c r="E60"/>
  <c r="F60"/>
  <c r="E59"/>
  <c r="F59"/>
  <c r="E58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D43"/>
  <c r="D41"/>
  <c r="D39"/>
  <c r="D35"/>
  <c r="D37"/>
  <c r="D33"/>
  <c r="D8"/>
  <c r="D11"/>
  <c r="D12"/>
  <c r="D13"/>
  <c r="D14"/>
  <c r="D15"/>
  <c r="D16"/>
  <c r="D17"/>
  <c r="D18"/>
  <c r="D19"/>
  <c r="D20"/>
  <c r="D21"/>
  <c r="D22"/>
  <c r="D23"/>
  <c r="D24"/>
  <c r="D25"/>
  <c r="D10"/>
  <c r="D9"/>
  <c r="D27"/>
  <c r="D28"/>
  <c r="D29"/>
  <c r="D30"/>
  <c r="D31"/>
  <c r="D45"/>
  <c r="B43"/>
  <c r="B41"/>
  <c r="B39"/>
  <c r="B35"/>
  <c r="B33"/>
  <c r="B8"/>
  <c r="B9"/>
  <c r="B11"/>
  <c r="B12"/>
  <c r="B13"/>
  <c r="B14"/>
  <c r="B15"/>
  <c r="B16"/>
  <c r="B17"/>
  <c r="B18"/>
  <c r="B19"/>
  <c r="B20"/>
  <c r="B21"/>
  <c r="B22"/>
  <c r="B23"/>
  <c r="B24"/>
  <c r="B25"/>
  <c r="B10"/>
  <c r="B27"/>
  <c r="B28"/>
  <c r="B29"/>
  <c r="B30"/>
  <c r="B31"/>
  <c r="B45"/>
  <c r="E45"/>
  <c r="F45"/>
  <c r="E43"/>
  <c r="F43"/>
  <c r="E41"/>
  <c r="F41"/>
  <c r="E39"/>
  <c r="F39"/>
  <c r="B37"/>
  <c r="E37"/>
  <c r="F37"/>
  <c r="E35"/>
  <c r="F35"/>
  <c r="E33"/>
  <c r="F33"/>
  <c r="E31"/>
  <c r="F31"/>
  <c r="E30"/>
  <c r="F30"/>
  <c r="E29"/>
  <c r="F29"/>
  <c r="E28"/>
  <c r="F28"/>
  <c r="E27"/>
  <c r="F27"/>
  <c r="D26"/>
  <c r="B26"/>
  <c r="E26"/>
  <c r="F26"/>
  <c r="E25"/>
  <c r="F25"/>
  <c r="E24"/>
  <c r="F24"/>
  <c r="E23"/>
  <c r="F23"/>
  <c r="E22"/>
  <c r="F22"/>
  <c r="E21"/>
  <c r="F21"/>
  <c r="E20"/>
  <c r="F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F78" i="40"/>
  <c r="F77"/>
  <c r="F76"/>
  <c r="F75"/>
  <c r="F74"/>
  <c r="F73"/>
  <c r="F72"/>
  <c r="F71"/>
  <c r="F70"/>
  <c r="F69"/>
  <c r="F68"/>
  <c r="F67"/>
  <c r="F66"/>
  <c r="F65"/>
  <c r="F64"/>
  <c r="F63"/>
  <c r="F62"/>
  <c r="F61"/>
  <c r="E74"/>
  <c r="E72"/>
  <c r="E71"/>
  <c r="E70"/>
  <c r="E69"/>
  <c r="E67"/>
  <c r="E66"/>
  <c r="E65"/>
  <c r="E63"/>
  <c r="E62"/>
  <c r="E61"/>
  <c r="F58"/>
  <c r="E58"/>
  <c r="F57"/>
  <c r="F53"/>
  <c r="E53"/>
  <c r="F50"/>
  <c r="E50"/>
  <c r="F42"/>
  <c r="F30"/>
  <c r="F9"/>
  <c r="F8"/>
  <c r="E9"/>
  <c r="E8"/>
  <c r="F80" i="35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2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8"/>
  <c r="E77"/>
  <c r="E76"/>
  <c r="E75"/>
  <c r="E74"/>
  <c r="E72"/>
  <c r="E71"/>
  <c r="E70"/>
  <c r="E69"/>
  <c r="E68"/>
  <c r="E67"/>
  <c r="E66"/>
  <c r="E65"/>
  <c r="E63"/>
  <c r="E60"/>
  <c r="E57"/>
  <c r="E55"/>
  <c r="E54"/>
  <c r="E53"/>
  <c r="E52"/>
  <c r="E51"/>
  <c r="E50"/>
  <c r="E49"/>
  <c r="E47"/>
  <c r="E43"/>
  <c r="E39"/>
  <c r="E37"/>
  <c r="E33"/>
  <c r="E31"/>
  <c r="E12"/>
  <c r="E11"/>
  <c r="E9"/>
  <c r="F8"/>
  <c r="E8"/>
  <c r="F80" i="36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2"/>
  <c r="F51"/>
  <c r="F50"/>
  <c r="F49"/>
  <c r="F48"/>
  <c r="F47"/>
  <c r="F46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6"/>
  <c r="E75"/>
  <c r="E72"/>
  <c r="E71"/>
  <c r="E70"/>
  <c r="E69"/>
  <c r="E68"/>
  <c r="E67"/>
  <c r="E66"/>
  <c r="E65"/>
  <c r="E64"/>
  <c r="E63"/>
  <c r="E60"/>
  <c r="E55"/>
  <c r="E54"/>
  <c r="E52"/>
  <c r="E50"/>
  <c r="E49"/>
  <c r="E48"/>
  <c r="E43"/>
  <c r="E41"/>
  <c r="E39"/>
  <c r="E31"/>
  <c r="E17"/>
  <c r="E13"/>
  <c r="E12"/>
  <c r="E11"/>
  <c r="E9"/>
  <c r="F8"/>
  <c r="E8"/>
  <c r="F80" i="37"/>
  <c r="F79"/>
  <c r="F77"/>
  <c r="F76"/>
  <c r="F75"/>
  <c r="F73"/>
  <c r="F72"/>
  <c r="F71"/>
  <c r="F70"/>
  <c r="F69"/>
  <c r="F68"/>
  <c r="F67"/>
  <c r="F66"/>
  <c r="F65"/>
  <c r="F63"/>
  <c r="F60"/>
  <c r="F55"/>
  <c r="F54"/>
  <c r="F53"/>
  <c r="F52"/>
  <c r="F51"/>
  <c r="F50"/>
  <c r="F47"/>
  <c r="F43"/>
  <c r="F41"/>
  <c r="F39"/>
  <c r="F37"/>
  <c r="F35"/>
  <c r="F33"/>
  <c r="F31"/>
  <c r="F25"/>
  <c r="F12"/>
  <c r="F11"/>
  <c r="F10"/>
  <c r="F9"/>
  <c r="E80"/>
  <c r="E79"/>
  <c r="E77"/>
  <c r="E76"/>
  <c r="E75"/>
  <c r="E73"/>
  <c r="E72"/>
  <c r="E71"/>
  <c r="E70"/>
  <c r="E69"/>
  <c r="E68"/>
  <c r="E67"/>
  <c r="E66"/>
  <c r="E65"/>
  <c r="E63"/>
  <c r="E60"/>
  <c r="E55"/>
  <c r="E54"/>
  <c r="E53"/>
  <c r="E52"/>
  <c r="E51"/>
  <c r="E50"/>
  <c r="E47"/>
  <c r="E43"/>
  <c r="E39"/>
  <c r="E37"/>
  <c r="E31"/>
  <c r="E25"/>
  <c r="E12"/>
  <c r="E11"/>
  <c r="E9"/>
  <c r="F8"/>
  <c r="E8"/>
  <c r="F78" i="38"/>
  <c r="F77"/>
  <c r="F76"/>
  <c r="F75"/>
  <c r="F72"/>
  <c r="F71"/>
  <c r="F70"/>
  <c r="F69"/>
  <c r="F68"/>
  <c r="F67"/>
  <c r="F66"/>
  <c r="F65"/>
  <c r="F64"/>
  <c r="F63"/>
  <c r="F62"/>
  <c r="F59"/>
  <c r="F58"/>
  <c r="F57"/>
  <c r="F56"/>
  <c r="F55"/>
  <c r="F54"/>
  <c r="F53"/>
  <c r="F52"/>
  <c r="F51"/>
  <c r="F50"/>
  <c r="F49"/>
  <c r="F46"/>
  <c r="F43"/>
  <c r="F39"/>
  <c r="F37"/>
  <c r="F31"/>
  <c r="F16"/>
  <c r="F12"/>
  <c r="F11"/>
  <c r="F10"/>
  <c r="F9"/>
  <c r="E78"/>
  <c r="E77"/>
  <c r="E76"/>
  <c r="E75"/>
  <c r="F73"/>
  <c r="E72"/>
  <c r="E71"/>
  <c r="E70"/>
  <c r="E69"/>
  <c r="E68"/>
  <c r="E67"/>
  <c r="E66"/>
  <c r="E65"/>
  <c r="E64"/>
  <c r="E63"/>
  <c r="E62"/>
  <c r="E59"/>
  <c r="E57"/>
  <c r="E54"/>
  <c r="E53"/>
  <c r="E52"/>
  <c r="E51"/>
  <c r="E50"/>
  <c r="E49"/>
  <c r="E46"/>
  <c r="E43"/>
  <c r="E39"/>
  <c r="E37"/>
  <c r="E31"/>
  <c r="E16"/>
  <c r="E12"/>
  <c r="E11"/>
  <c r="E9"/>
  <c r="F8"/>
  <c r="E8"/>
  <c r="F80" i="39"/>
  <c r="F79"/>
  <c r="F78"/>
  <c r="F77"/>
  <c r="F76"/>
  <c r="F75"/>
  <c r="F72"/>
  <c r="F71"/>
  <c r="F70"/>
  <c r="F69"/>
  <c r="F68"/>
  <c r="F67"/>
  <c r="F66"/>
  <c r="F65"/>
  <c r="F64"/>
  <c r="F63"/>
  <c r="F60"/>
  <c r="F59"/>
  <c r="F58"/>
  <c r="F57"/>
  <c r="F55"/>
  <c r="F54"/>
  <c r="F53"/>
  <c r="F52"/>
  <c r="F51"/>
  <c r="F50"/>
  <c r="F49"/>
  <c r="F48"/>
  <c r="F47"/>
  <c r="F43"/>
  <c r="F39"/>
  <c r="F37"/>
  <c r="F35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8"/>
  <c r="E77"/>
  <c r="E76"/>
  <c r="E75"/>
  <c r="E72"/>
  <c r="E71"/>
  <c r="E70"/>
  <c r="E69"/>
  <c r="E68"/>
  <c r="E67"/>
  <c r="E66"/>
  <c r="E65"/>
  <c r="E64"/>
  <c r="E63"/>
  <c r="E60"/>
  <c r="E59"/>
  <c r="E58"/>
  <c r="E57"/>
  <c r="E55"/>
  <c r="E54"/>
  <c r="E53"/>
  <c r="E52"/>
  <c r="E51"/>
  <c r="E50"/>
  <c r="E49"/>
  <c r="E48"/>
  <c r="E47"/>
  <c r="E43"/>
  <c r="E39"/>
  <c r="E37"/>
  <c r="E35"/>
  <c r="E31"/>
  <c r="E12"/>
  <c r="E11"/>
  <c r="E9"/>
  <c r="F8"/>
  <c r="E8"/>
  <c r="D78" i="25"/>
  <c r="D79"/>
  <c r="D80"/>
  <c r="D81"/>
  <c r="B78"/>
  <c r="B79"/>
  <c r="B80"/>
  <c r="B81"/>
  <c r="E81"/>
  <c r="F81"/>
  <c r="E80"/>
  <c r="F80"/>
  <c r="E79"/>
  <c r="F79"/>
  <c r="E78"/>
  <c r="F78"/>
  <c r="D75"/>
  <c r="B75"/>
  <c r="E75"/>
  <c r="F75"/>
  <c r="D74"/>
  <c r="B74"/>
  <c r="E74"/>
  <c r="F74"/>
  <c r="D73"/>
  <c r="B73"/>
  <c r="E73"/>
  <c r="F73"/>
  <c r="D69"/>
  <c r="D70"/>
  <c r="D71"/>
  <c r="D72"/>
  <c r="B69"/>
  <c r="B70"/>
  <c r="B71"/>
  <c r="B72"/>
  <c r="E72"/>
  <c r="F72"/>
  <c r="E71"/>
  <c r="F71"/>
  <c r="E70"/>
  <c r="F70"/>
  <c r="E69"/>
  <c r="F69"/>
  <c r="D65"/>
  <c r="D66"/>
  <c r="D67"/>
  <c r="D68"/>
  <c r="B65"/>
  <c r="B66"/>
  <c r="B67"/>
  <c r="B68"/>
  <c r="E68"/>
  <c r="F68"/>
  <c r="E67"/>
  <c r="F67"/>
  <c r="E66"/>
  <c r="F66"/>
  <c r="E65"/>
  <c r="F65"/>
  <c r="D49"/>
  <c r="D50"/>
  <c r="D51"/>
  <c r="D52"/>
  <c r="D53"/>
  <c r="D54"/>
  <c r="D55"/>
  <c r="D56"/>
  <c r="D57"/>
  <c r="D58"/>
  <c r="D59"/>
  <c r="D60"/>
  <c r="D61"/>
  <c r="D62"/>
  <c r="B49"/>
  <c r="B50"/>
  <c r="B51"/>
  <c r="B52"/>
  <c r="B53"/>
  <c r="B54"/>
  <c r="B55"/>
  <c r="B56"/>
  <c r="B57"/>
  <c r="B58"/>
  <c r="B59"/>
  <c r="B60"/>
  <c r="B61"/>
  <c r="B62"/>
  <c r="E62"/>
  <c r="F62"/>
  <c r="E61"/>
  <c r="F61"/>
  <c r="E60"/>
  <c r="F60"/>
  <c r="E59"/>
  <c r="F59"/>
  <c r="E58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F48"/>
  <c r="D45"/>
  <c r="B45"/>
  <c r="E45"/>
  <c r="F45"/>
  <c r="D43"/>
  <c r="B43"/>
  <c r="E43"/>
  <c r="F43"/>
  <c r="D41"/>
  <c r="B41"/>
  <c r="E41"/>
  <c r="F41"/>
  <c r="D39"/>
  <c r="B39"/>
  <c r="E39"/>
  <c r="F39"/>
  <c r="D37"/>
  <c r="B37"/>
  <c r="E37"/>
  <c r="F37"/>
  <c r="D35"/>
  <c r="B35"/>
  <c r="E35"/>
  <c r="F35"/>
  <c r="D33"/>
  <c r="B33"/>
  <c r="E33"/>
  <c r="F33"/>
  <c r="D8"/>
  <c r="D9"/>
  <c r="D11"/>
  <c r="D12"/>
  <c r="D13"/>
  <c r="D14"/>
  <c r="D15"/>
  <c r="D16"/>
  <c r="D17"/>
  <c r="D18"/>
  <c r="D19"/>
  <c r="D20"/>
  <c r="D21"/>
  <c r="D22"/>
  <c r="D23"/>
  <c r="D24"/>
  <c r="D25"/>
  <c r="D10"/>
  <c r="D27"/>
  <c r="D28"/>
  <c r="D29"/>
  <c r="D30"/>
  <c r="D31"/>
  <c r="B8"/>
  <c r="B9"/>
  <c r="B10"/>
  <c r="B27"/>
  <c r="B28"/>
  <c r="B29"/>
  <c r="B30"/>
  <c r="B31"/>
  <c r="E31"/>
  <c r="F31"/>
  <c r="E30"/>
  <c r="F30"/>
  <c r="E29"/>
  <c r="F29"/>
  <c r="E28"/>
  <c r="F28"/>
  <c r="E27"/>
  <c r="F27"/>
  <c r="D26"/>
  <c r="B26"/>
  <c r="E26"/>
  <c r="F26"/>
  <c r="B25"/>
  <c r="E25"/>
  <c r="F25"/>
  <c r="B24"/>
  <c r="E24"/>
  <c r="F24"/>
  <c r="B23"/>
  <c r="E23"/>
  <c r="F23"/>
  <c r="B22"/>
  <c r="E22"/>
  <c r="F22"/>
  <c r="B21"/>
  <c r="E21"/>
  <c r="F21"/>
  <c r="B20"/>
  <c r="E20"/>
  <c r="F20"/>
  <c r="B19"/>
  <c r="E19"/>
  <c r="F19"/>
  <c r="B18"/>
  <c r="E18"/>
  <c r="F18"/>
  <c r="B17"/>
  <c r="E17"/>
  <c r="F17"/>
  <c r="B16"/>
  <c r="E16"/>
  <c r="F16"/>
  <c r="B15"/>
  <c r="E15"/>
  <c r="F15"/>
  <c r="B14"/>
  <c r="E14"/>
  <c r="F14"/>
  <c r="B13"/>
  <c r="E13"/>
  <c r="F13"/>
  <c r="B12"/>
  <c r="E12"/>
  <c r="F12"/>
  <c r="B11"/>
  <c r="E11"/>
  <c r="F11"/>
  <c r="C11"/>
  <c r="C12"/>
  <c r="C13"/>
  <c r="C14"/>
  <c r="C15"/>
  <c r="C16"/>
  <c r="C17"/>
  <c r="C18"/>
  <c r="C19"/>
  <c r="C20"/>
  <c r="C21"/>
  <c r="C22"/>
  <c r="C23"/>
  <c r="C24"/>
  <c r="C25"/>
  <c r="C10"/>
  <c r="E10"/>
  <c r="F10"/>
  <c r="E9"/>
  <c r="F9"/>
  <c r="F42"/>
  <c r="E8"/>
  <c r="F8"/>
  <c r="S18" i="16"/>
  <c r="S82"/>
  <c r="T82"/>
  <c r="S81"/>
  <c r="T81"/>
  <c r="T80"/>
  <c r="S79"/>
  <c r="T79"/>
  <c r="S78"/>
  <c r="T78"/>
  <c r="S77"/>
  <c r="T77"/>
  <c r="T76"/>
  <c r="T75"/>
  <c r="S74"/>
  <c r="T74"/>
  <c r="S73"/>
  <c r="T73"/>
  <c r="S72"/>
  <c r="T72"/>
  <c r="S71"/>
  <c r="T71"/>
  <c r="S70"/>
  <c r="T70"/>
  <c r="S69"/>
  <c r="T69"/>
  <c r="S68"/>
  <c r="T68"/>
  <c r="S67"/>
  <c r="T67"/>
  <c r="S66"/>
  <c r="T66"/>
  <c r="S65"/>
  <c r="T65"/>
  <c r="T64"/>
  <c r="T63"/>
  <c r="S62"/>
  <c r="T62"/>
  <c r="T61"/>
  <c r="T60"/>
  <c r="S59"/>
  <c r="T59"/>
  <c r="T58"/>
  <c r="S57"/>
  <c r="T57"/>
  <c r="S56"/>
  <c r="T56"/>
  <c r="S55"/>
  <c r="T55"/>
  <c r="S54"/>
  <c r="T54"/>
  <c r="S53"/>
  <c r="T53"/>
  <c r="S52"/>
  <c r="T52"/>
  <c r="S51"/>
  <c r="T51"/>
  <c r="S50"/>
  <c r="T50"/>
  <c r="S49"/>
  <c r="T49"/>
  <c r="T48"/>
  <c r="T47"/>
  <c r="T46"/>
  <c r="T45"/>
  <c r="S45"/>
  <c r="T44"/>
  <c r="T43"/>
  <c r="T42"/>
  <c r="T41"/>
  <c r="T40"/>
  <c r="S39"/>
  <c r="T39"/>
  <c r="T38"/>
  <c r="T37"/>
  <c r="S37"/>
  <c r="T36"/>
  <c r="T35"/>
  <c r="T34"/>
  <c r="T33"/>
  <c r="T32"/>
  <c r="S31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S12"/>
  <c r="T12"/>
  <c r="S11"/>
  <c r="T11"/>
  <c r="S10"/>
  <c r="T10"/>
  <c r="S9"/>
  <c r="T9"/>
  <c r="S8"/>
  <c r="T8"/>
  <c r="E82" i="1"/>
  <c r="F82"/>
  <c r="E81"/>
  <c r="F81"/>
  <c r="F80"/>
  <c r="F79"/>
  <c r="E78"/>
  <c r="F78"/>
  <c r="E77"/>
  <c r="F77"/>
  <c r="E76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F59"/>
  <c r="F58"/>
  <c r="E57"/>
  <c r="F57"/>
  <c r="E56"/>
  <c r="F56"/>
  <c r="F55"/>
  <c r="E54"/>
  <c r="F54"/>
  <c r="F53"/>
  <c r="F52"/>
  <c r="F51"/>
  <c r="F50"/>
  <c r="F49"/>
  <c r="F48"/>
  <c r="F47"/>
  <c r="F46"/>
  <c r="F45"/>
  <c r="E45"/>
  <c r="F44"/>
  <c r="F43"/>
  <c r="F42"/>
  <c r="F41"/>
  <c r="F40"/>
  <c r="F39"/>
  <c r="F38"/>
  <c r="F37"/>
  <c r="F36"/>
  <c r="F35"/>
  <c r="F34"/>
  <c r="F33"/>
  <c r="F32"/>
  <c r="E31"/>
  <c r="F31"/>
  <c r="F30"/>
  <c r="F29"/>
  <c r="F28"/>
  <c r="F27"/>
  <c r="F26"/>
  <c r="E25"/>
  <c r="F25"/>
  <c r="F24"/>
  <c r="F23"/>
  <c r="F22"/>
  <c r="F21"/>
  <c r="F20"/>
  <c r="F19"/>
  <c r="F18"/>
  <c r="F17"/>
  <c r="F16"/>
  <c r="F15"/>
  <c r="F14"/>
  <c r="F13"/>
  <c r="F12"/>
  <c r="F11"/>
  <c r="E10"/>
  <c r="F10"/>
  <c r="E9"/>
  <c r="F9"/>
  <c r="E8"/>
  <c r="F8"/>
  <c r="E82" i="7"/>
  <c r="F82"/>
  <c r="E81"/>
  <c r="F81"/>
  <c r="F80"/>
  <c r="F79"/>
  <c r="E78"/>
  <c r="F78"/>
  <c r="E77"/>
  <c r="F77"/>
  <c r="E76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F59"/>
  <c r="E58"/>
  <c r="F58"/>
  <c r="F57"/>
  <c r="F56"/>
  <c r="F55"/>
  <c r="F54"/>
  <c r="F53"/>
  <c r="F52"/>
  <c r="F51"/>
  <c r="F50"/>
  <c r="F49"/>
  <c r="F48"/>
  <c r="F47"/>
  <c r="F46"/>
  <c r="F45"/>
  <c r="E45"/>
  <c r="F44"/>
  <c r="F43"/>
  <c r="F42"/>
  <c r="F41"/>
  <c r="E41"/>
  <c r="F40"/>
  <c r="E39"/>
  <c r="F39"/>
  <c r="F38"/>
  <c r="F37"/>
  <c r="F36"/>
  <c r="E35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E9"/>
  <c r="F9"/>
  <c r="E8"/>
  <c r="F8"/>
  <c r="E82" i="9"/>
  <c r="F82"/>
  <c r="E81"/>
  <c r="F81"/>
  <c r="F80"/>
  <c r="F79"/>
  <c r="E78"/>
  <c r="F78"/>
  <c r="E77"/>
  <c r="F77"/>
  <c r="E76"/>
  <c r="F76"/>
  <c r="F75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E61"/>
  <c r="F61"/>
  <c r="F60"/>
  <c r="F59"/>
  <c r="E58"/>
  <c r="F58"/>
  <c r="F57"/>
  <c r="F56"/>
  <c r="F55"/>
  <c r="F54"/>
  <c r="F53"/>
  <c r="F52"/>
  <c r="F51"/>
  <c r="F50"/>
  <c r="F49"/>
  <c r="F48"/>
  <c r="F47"/>
  <c r="F46"/>
  <c r="F45"/>
  <c r="E45"/>
  <c r="F44"/>
  <c r="F43"/>
  <c r="F42"/>
  <c r="F41"/>
  <c r="E41"/>
  <c r="F40"/>
  <c r="E39"/>
  <c r="F39"/>
  <c r="F38"/>
  <c r="F37"/>
  <c r="F36"/>
  <c r="E35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E9"/>
  <c r="F9"/>
  <c r="E8"/>
  <c r="F8"/>
  <c r="E82" i="10"/>
  <c r="F82"/>
  <c r="E81"/>
  <c r="F81"/>
  <c r="F80"/>
  <c r="E79"/>
  <c r="F79"/>
  <c r="E78"/>
  <c r="F78"/>
  <c r="E77"/>
  <c r="F77"/>
  <c r="E76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E61"/>
  <c r="F61"/>
  <c r="F60"/>
  <c r="F59"/>
  <c r="E58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F48"/>
  <c r="F47"/>
  <c r="F46"/>
  <c r="F45"/>
  <c r="E45"/>
  <c r="F44"/>
  <c r="F43"/>
  <c r="F42"/>
  <c r="F41"/>
  <c r="E41"/>
  <c r="F40"/>
  <c r="E39"/>
  <c r="F39"/>
  <c r="F38"/>
  <c r="F37"/>
  <c r="E37"/>
  <c r="F36"/>
  <c r="E35"/>
  <c r="F35"/>
  <c r="F34"/>
  <c r="F33"/>
  <c r="F32"/>
  <c r="E31"/>
  <c r="F31"/>
  <c r="F30"/>
  <c r="F29"/>
  <c r="F28"/>
  <c r="F27"/>
  <c r="F26"/>
  <c r="E25"/>
  <c r="F25"/>
  <c r="F24"/>
  <c r="F23"/>
  <c r="F22"/>
  <c r="F21"/>
  <c r="F20"/>
  <c r="F19"/>
  <c r="F18"/>
  <c r="F17"/>
  <c r="F16"/>
  <c r="F15"/>
  <c r="F14"/>
  <c r="E13"/>
  <c r="F13"/>
  <c r="E12"/>
  <c r="F12"/>
  <c r="E11"/>
  <c r="F11"/>
  <c r="E10"/>
  <c r="F10"/>
  <c r="E9"/>
  <c r="F9"/>
  <c r="E8"/>
  <c r="F8"/>
  <c r="E82" i="11"/>
  <c r="F82"/>
  <c r="E81"/>
  <c r="F81"/>
  <c r="E80"/>
  <c r="F80"/>
  <c r="E79"/>
  <c r="F79"/>
  <c r="E78"/>
  <c r="F78"/>
  <c r="E77"/>
  <c r="F77"/>
  <c r="E76"/>
  <c r="F76"/>
  <c r="E75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E59"/>
  <c r="F59"/>
  <c r="E58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F48"/>
  <c r="F47"/>
  <c r="F46"/>
  <c r="F45"/>
  <c r="E45"/>
  <c r="F44"/>
  <c r="F43"/>
  <c r="F42"/>
  <c r="F41"/>
  <c r="F40"/>
  <c r="E39"/>
  <c r="F39"/>
  <c r="F38"/>
  <c r="F37"/>
  <c r="E37"/>
  <c r="F36"/>
  <c r="E35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E13"/>
  <c r="F13"/>
  <c r="E12"/>
  <c r="F12"/>
  <c r="E11"/>
  <c r="F11"/>
  <c r="E10"/>
  <c r="F10"/>
  <c r="E9"/>
  <c r="F9"/>
  <c r="E8"/>
  <c r="F8"/>
  <c r="E82" i="14"/>
  <c r="F82"/>
  <c r="E81"/>
  <c r="F81"/>
  <c r="F80"/>
  <c r="E79"/>
  <c r="F79"/>
  <c r="E78"/>
  <c r="F78"/>
  <c r="E77"/>
  <c r="F77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F59"/>
  <c r="F58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F48"/>
  <c r="F47"/>
  <c r="F46"/>
  <c r="F45"/>
  <c r="E45"/>
  <c r="F44"/>
  <c r="F43"/>
  <c r="F42"/>
  <c r="F41"/>
  <c r="F40"/>
  <c r="E39"/>
  <c r="F39"/>
  <c r="F38"/>
  <c r="F37"/>
  <c r="E37"/>
  <c r="F36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E12"/>
  <c r="F12"/>
  <c r="E11"/>
  <c r="F11"/>
  <c r="E10"/>
  <c r="F10"/>
  <c r="E9"/>
  <c r="F9"/>
  <c r="E8"/>
  <c r="F8"/>
  <c r="E82" i="3"/>
  <c r="F82"/>
  <c r="E81"/>
  <c r="F81"/>
  <c r="F80"/>
  <c r="E79"/>
  <c r="F79"/>
  <c r="E78"/>
  <c r="F78"/>
  <c r="E77"/>
  <c r="F77"/>
  <c r="E76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E59"/>
  <c r="F59"/>
  <c r="F58"/>
  <c r="E57"/>
  <c r="F57"/>
  <c r="E56"/>
  <c r="F56"/>
  <c r="E55"/>
  <c r="F55"/>
  <c r="E54"/>
  <c r="F54"/>
  <c r="E53"/>
  <c r="F53"/>
  <c r="E52"/>
  <c r="F52"/>
  <c r="F51"/>
  <c r="F50"/>
  <c r="E49"/>
  <c r="F49"/>
  <c r="F48"/>
  <c r="F47"/>
  <c r="F46"/>
  <c r="F45"/>
  <c r="E45"/>
  <c r="F44"/>
  <c r="F43"/>
  <c r="F42"/>
  <c r="F41"/>
  <c r="F40"/>
  <c r="E39"/>
  <c r="F39"/>
  <c r="F38"/>
  <c r="F37"/>
  <c r="E37"/>
  <c r="F36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E12"/>
  <c r="F12"/>
  <c r="E11"/>
  <c r="F11"/>
  <c r="E10"/>
  <c r="F10"/>
  <c r="E9"/>
  <c r="F9"/>
  <c r="E8"/>
  <c r="F8"/>
  <c r="E82" i="4"/>
  <c r="F82"/>
  <c r="E81"/>
  <c r="F81"/>
  <c r="F80"/>
  <c r="E79"/>
  <c r="F79"/>
  <c r="E78"/>
  <c r="F78"/>
  <c r="E77"/>
  <c r="F77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E59"/>
  <c r="F59"/>
  <c r="F58"/>
  <c r="E57"/>
  <c r="F57"/>
  <c r="E56"/>
  <c r="F56"/>
  <c r="E55"/>
  <c r="F55"/>
  <c r="E54"/>
  <c r="F54"/>
  <c r="E53"/>
  <c r="F53"/>
  <c r="E52"/>
  <c r="F52"/>
  <c r="F51"/>
  <c r="F50"/>
  <c r="E49"/>
  <c r="F49"/>
  <c r="F48"/>
  <c r="F47"/>
  <c r="F46"/>
  <c r="F45"/>
  <c r="E45"/>
  <c r="F44"/>
  <c r="F43"/>
  <c r="F42"/>
  <c r="F41"/>
  <c r="F40"/>
  <c r="E39"/>
  <c r="F39"/>
  <c r="F38"/>
  <c r="F37"/>
  <c r="E37"/>
  <c r="F36"/>
  <c r="E35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E12"/>
  <c r="F12"/>
  <c r="E11"/>
  <c r="F11"/>
  <c r="E10"/>
  <c r="F10"/>
  <c r="E9"/>
  <c r="F9"/>
  <c r="E8"/>
  <c r="F8"/>
  <c r="F82" i="5"/>
  <c r="E82"/>
  <c r="F81"/>
  <c r="E81"/>
  <c r="F80"/>
  <c r="F79"/>
  <c r="E79"/>
  <c r="F78"/>
  <c r="E78"/>
  <c r="F77"/>
  <c r="E77"/>
  <c r="F76"/>
  <c r="E76"/>
  <c r="F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F63"/>
  <c r="F62"/>
  <c r="E62"/>
  <c r="F61"/>
  <c r="F60"/>
  <c r="E60"/>
  <c r="F59"/>
  <c r="E59"/>
  <c r="F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F47"/>
  <c r="F46"/>
  <c r="E45"/>
  <c r="F45"/>
  <c r="F44"/>
  <c r="F43"/>
  <c r="F42"/>
  <c r="F41"/>
  <c r="F40"/>
  <c r="F39"/>
  <c r="E39"/>
  <c r="F38"/>
  <c r="E37"/>
  <c r="F37"/>
  <c r="F36"/>
  <c r="F35"/>
  <c r="F34"/>
  <c r="F33"/>
  <c r="F32"/>
  <c r="F31"/>
  <c r="E31"/>
  <c r="F30"/>
  <c r="F29"/>
  <c r="F28"/>
  <c r="F27"/>
  <c r="F26"/>
  <c r="F25"/>
  <c r="E25"/>
  <c r="F24"/>
  <c r="F23"/>
  <c r="F22"/>
  <c r="F21"/>
  <c r="F20"/>
  <c r="F19"/>
  <c r="F18"/>
  <c r="F17"/>
  <c r="F16"/>
  <c r="F15"/>
  <c r="F14"/>
  <c r="F13"/>
  <c r="F12"/>
  <c r="E12"/>
  <c r="F11"/>
  <c r="E11"/>
  <c r="F10"/>
  <c r="E10"/>
  <c r="F9"/>
  <c r="E9"/>
  <c r="F8"/>
  <c r="E8"/>
  <c r="F82" i="6"/>
  <c r="E82"/>
  <c r="F81"/>
  <c r="E81"/>
  <c r="F80"/>
  <c r="F79"/>
  <c r="F78"/>
  <c r="E78"/>
  <c r="F77"/>
  <c r="E77"/>
  <c r="F76"/>
  <c r="E76"/>
  <c r="F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F63"/>
  <c r="F62"/>
  <c r="E62"/>
  <c r="F61"/>
  <c r="F60"/>
  <c r="F59"/>
  <c r="E59"/>
  <c r="F58"/>
  <c r="F57"/>
  <c r="E57"/>
  <c r="F56"/>
  <c r="E56"/>
  <c r="F55"/>
  <c r="F54"/>
  <c r="E54"/>
  <c r="F53"/>
  <c r="F52"/>
  <c r="E52"/>
  <c r="F51"/>
  <c r="E51"/>
  <c r="F50"/>
  <c r="E50"/>
  <c r="F49"/>
  <c r="F48"/>
  <c r="F47"/>
  <c r="F46"/>
  <c r="E45"/>
  <c r="F45"/>
  <c r="F44"/>
  <c r="F43"/>
  <c r="F42"/>
  <c r="E41"/>
  <c r="F41"/>
  <c r="F40"/>
  <c r="F39"/>
  <c r="E39"/>
  <c r="F38"/>
  <c r="F37"/>
  <c r="F36"/>
  <c r="F35"/>
  <c r="F34"/>
  <c r="F33"/>
  <c r="F32"/>
  <c r="F31"/>
  <c r="E31"/>
  <c r="F30"/>
  <c r="F29"/>
  <c r="F28"/>
  <c r="F27"/>
  <c r="F26"/>
  <c r="F25"/>
  <c r="E25"/>
  <c r="F24"/>
  <c r="F23"/>
  <c r="F22"/>
  <c r="F21"/>
  <c r="F20"/>
  <c r="F19"/>
  <c r="F18"/>
  <c r="F17"/>
  <c r="F16"/>
  <c r="F15"/>
  <c r="F14"/>
  <c r="F13"/>
  <c r="E13"/>
  <c r="F12"/>
  <c r="E12"/>
  <c r="F11"/>
  <c r="F10"/>
  <c r="E10"/>
  <c r="F9"/>
  <c r="E9"/>
  <c r="F8"/>
  <c r="E8"/>
  <c r="E82" i="2"/>
  <c r="F82"/>
  <c r="E81"/>
  <c r="F81"/>
  <c r="F80"/>
  <c r="F79"/>
  <c r="E78"/>
  <c r="F78"/>
  <c r="E77"/>
  <c r="F77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F59"/>
  <c r="F58"/>
  <c r="E57"/>
  <c r="F57"/>
  <c r="E56"/>
  <c r="F56"/>
  <c r="F55"/>
  <c r="E54"/>
  <c r="F54"/>
  <c r="F53"/>
  <c r="E52"/>
  <c r="F52"/>
  <c r="E51"/>
  <c r="F51"/>
  <c r="E50"/>
  <c r="F50"/>
  <c r="F49"/>
  <c r="F48"/>
  <c r="F47"/>
  <c r="F46"/>
  <c r="F45"/>
  <c r="E45"/>
  <c r="F44"/>
  <c r="F43"/>
  <c r="F42"/>
  <c r="F41"/>
  <c r="F40"/>
  <c r="E39"/>
  <c r="F39"/>
  <c r="F38"/>
  <c r="F37"/>
  <c r="F36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E12"/>
  <c r="F12"/>
  <c r="F11"/>
  <c r="E10"/>
  <c r="F10"/>
  <c r="E9"/>
  <c r="F9"/>
  <c r="E8"/>
  <c r="F8"/>
  <c r="F82" i="8"/>
  <c r="E82"/>
  <c r="F81"/>
  <c r="E81"/>
  <c r="F80"/>
  <c r="E79"/>
  <c r="F79"/>
  <c r="E78"/>
  <c r="F78"/>
  <c r="E77"/>
  <c r="F77"/>
  <c r="F76"/>
  <c r="F75"/>
  <c r="E74"/>
  <c r="F74"/>
  <c r="E73"/>
  <c r="F73"/>
  <c r="E72"/>
  <c r="F72"/>
  <c r="E71"/>
  <c r="F71"/>
  <c r="E70"/>
  <c r="F70"/>
  <c r="E69"/>
  <c r="F69"/>
  <c r="E68"/>
  <c r="F68"/>
  <c r="E67"/>
  <c r="F67"/>
  <c r="E66"/>
  <c r="F66"/>
  <c r="E65"/>
  <c r="F65"/>
  <c r="F64"/>
  <c r="F63"/>
  <c r="E62"/>
  <c r="F62"/>
  <c r="F61"/>
  <c r="F60"/>
  <c r="F59"/>
  <c r="F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F47"/>
  <c r="F46"/>
  <c r="E45"/>
  <c r="F45"/>
  <c r="F44"/>
  <c r="F43"/>
  <c r="F42"/>
  <c r="F41"/>
  <c r="F40"/>
  <c r="F39"/>
  <c r="E39"/>
  <c r="F38"/>
  <c r="E37"/>
  <c r="F37"/>
  <c r="F36"/>
  <c r="F35"/>
  <c r="F34"/>
  <c r="F33"/>
  <c r="F32"/>
  <c r="E3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E12"/>
  <c r="F12"/>
  <c r="E11"/>
  <c r="F11"/>
  <c r="E10"/>
  <c r="F10"/>
  <c r="E9"/>
  <c r="F9"/>
  <c r="E8"/>
  <c r="F8"/>
  <c r="F82" i="13"/>
  <c r="F81"/>
  <c r="F80"/>
  <c r="F79"/>
  <c r="F78"/>
  <c r="F77"/>
  <c r="F76"/>
  <c r="F75"/>
  <c r="F74"/>
  <c r="F73"/>
  <c r="F72"/>
  <c r="F71"/>
  <c r="F70"/>
  <c r="F69"/>
  <c r="F68"/>
  <c r="F67"/>
  <c r="F66"/>
  <c r="F65"/>
  <c r="F62"/>
  <c r="F61"/>
  <c r="F60"/>
  <c r="F59"/>
  <c r="F58"/>
  <c r="F57"/>
  <c r="F56"/>
  <c r="F55"/>
  <c r="F54"/>
  <c r="F53"/>
  <c r="F52"/>
  <c r="F51"/>
  <c r="F50"/>
  <c r="F49"/>
  <c r="F45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2"/>
  <c r="E81"/>
  <c r="E79"/>
  <c r="E78"/>
  <c r="E77"/>
  <c r="E76"/>
  <c r="E75"/>
  <c r="E74"/>
  <c r="E73"/>
  <c r="E72"/>
  <c r="E71"/>
  <c r="E70"/>
  <c r="E69"/>
  <c r="E68"/>
  <c r="E67"/>
  <c r="E66"/>
  <c r="E65"/>
  <c r="E62"/>
  <c r="E59"/>
  <c r="E57"/>
  <c r="E56"/>
  <c r="E55"/>
  <c r="E54"/>
  <c r="E53"/>
  <c r="E52"/>
  <c r="E51"/>
  <c r="E50"/>
  <c r="E49"/>
  <c r="E45"/>
  <c r="E39"/>
  <c r="E37"/>
  <c r="E35"/>
  <c r="E31"/>
  <c r="E25"/>
  <c r="E20"/>
  <c r="E19"/>
  <c r="E18"/>
  <c r="E12"/>
  <c r="E11"/>
  <c r="E9"/>
  <c r="F8"/>
  <c r="E8"/>
  <c r="D82" i="12"/>
  <c r="B82"/>
  <c r="E82"/>
  <c r="F82"/>
  <c r="D81"/>
  <c r="B81"/>
  <c r="E81"/>
  <c r="F81"/>
  <c r="D80"/>
  <c r="B80"/>
  <c r="E80"/>
  <c r="F80"/>
  <c r="D79"/>
  <c r="B79"/>
  <c r="E79"/>
  <c r="F79"/>
  <c r="D78"/>
  <c r="B78"/>
  <c r="E78"/>
  <c r="F78"/>
  <c r="D77"/>
  <c r="B77"/>
  <c r="E77"/>
  <c r="F77"/>
  <c r="D76"/>
  <c r="B76"/>
  <c r="E76"/>
  <c r="F76"/>
  <c r="D75"/>
  <c r="B75"/>
  <c r="E75"/>
  <c r="F75"/>
  <c r="D74"/>
  <c r="B74"/>
  <c r="E74"/>
  <c r="F74"/>
  <c r="D73"/>
  <c r="B73"/>
  <c r="E73"/>
  <c r="F73"/>
  <c r="D72"/>
  <c r="B72"/>
  <c r="E72"/>
  <c r="F72"/>
  <c r="D71"/>
  <c r="B71"/>
  <c r="E71"/>
  <c r="F71"/>
  <c r="D70"/>
  <c r="B70"/>
  <c r="E70"/>
  <c r="F70"/>
  <c r="D69"/>
  <c r="B69"/>
  <c r="E69"/>
  <c r="F69"/>
  <c r="D68"/>
  <c r="B68"/>
  <c r="E68"/>
  <c r="F68"/>
  <c r="D67"/>
  <c r="B67"/>
  <c r="E67"/>
  <c r="F67"/>
  <c r="D66"/>
  <c r="B66"/>
  <c r="E66"/>
  <c r="F66"/>
  <c r="D65"/>
  <c r="B65"/>
  <c r="E65"/>
  <c r="F65"/>
  <c r="D62"/>
  <c r="B62"/>
  <c r="E62"/>
  <c r="F62"/>
  <c r="D61"/>
  <c r="B61"/>
  <c r="E61"/>
  <c r="F61"/>
  <c r="D60"/>
  <c r="B60"/>
  <c r="E60"/>
  <c r="F60"/>
  <c r="D59"/>
  <c r="B59"/>
  <c r="E59"/>
  <c r="F59"/>
  <c r="D58"/>
  <c r="B58"/>
  <c r="E58"/>
  <c r="F58"/>
  <c r="D57"/>
  <c r="B57"/>
  <c r="E57"/>
  <c r="F57"/>
  <c r="D56"/>
  <c r="B56"/>
  <c r="E56"/>
  <c r="F56"/>
  <c r="D55"/>
  <c r="B55"/>
  <c r="E55"/>
  <c r="F55"/>
  <c r="D54"/>
  <c r="B54"/>
  <c r="E54"/>
  <c r="F54"/>
  <c r="D53"/>
  <c r="B53"/>
  <c r="E53"/>
  <c r="F53"/>
  <c r="D52"/>
  <c r="B52"/>
  <c r="E52"/>
  <c r="F52"/>
  <c r="D51"/>
  <c r="B51"/>
  <c r="E51"/>
  <c r="F51"/>
  <c r="D50"/>
  <c r="B50"/>
  <c r="E50"/>
  <c r="F50"/>
  <c r="D49"/>
  <c r="B49"/>
  <c r="E49"/>
  <c r="F49"/>
  <c r="D45"/>
  <c r="B45"/>
  <c r="E45"/>
  <c r="F45"/>
  <c r="D43"/>
  <c r="B43"/>
  <c r="E43"/>
  <c r="F43"/>
  <c r="D41"/>
  <c r="B41"/>
  <c r="E41"/>
  <c r="F41"/>
  <c r="D39"/>
  <c r="B39"/>
  <c r="E39"/>
  <c r="F39"/>
  <c r="D37"/>
  <c r="B37"/>
  <c r="E37"/>
  <c r="F37"/>
  <c r="D35"/>
  <c r="B35"/>
  <c r="E35"/>
  <c r="F35"/>
  <c r="D33"/>
  <c r="B33"/>
  <c r="E33"/>
  <c r="F33"/>
  <c r="D31"/>
  <c r="B31"/>
  <c r="E31"/>
  <c r="F31"/>
  <c r="D30"/>
  <c r="B30"/>
  <c r="E30"/>
  <c r="F30"/>
  <c r="D29"/>
  <c r="B29"/>
  <c r="E29"/>
  <c r="F29"/>
  <c r="D28"/>
  <c r="B28"/>
  <c r="E28"/>
  <c r="F28"/>
  <c r="D27"/>
  <c r="B27"/>
  <c r="E27"/>
  <c r="F27"/>
  <c r="D26"/>
  <c r="B26"/>
  <c r="E26"/>
  <c r="F26"/>
  <c r="D25"/>
  <c r="B25"/>
  <c r="E25"/>
  <c r="F25"/>
  <c r="D24"/>
  <c r="B24"/>
  <c r="E24"/>
  <c r="F24"/>
  <c r="D23"/>
  <c r="B23"/>
  <c r="E23"/>
  <c r="F23"/>
  <c r="D22"/>
  <c r="B22"/>
  <c r="E22"/>
  <c r="F22"/>
  <c r="D21"/>
  <c r="B21"/>
  <c r="E21"/>
  <c r="F21"/>
  <c r="D20"/>
  <c r="B20"/>
  <c r="E20"/>
  <c r="F20"/>
  <c r="D19"/>
  <c r="B19"/>
  <c r="E19"/>
  <c r="F19"/>
  <c r="D18"/>
  <c r="B18"/>
  <c r="E18"/>
  <c r="F18"/>
  <c r="D17"/>
  <c r="B17"/>
  <c r="E17"/>
  <c r="F17"/>
  <c r="D16"/>
  <c r="B16"/>
  <c r="E16"/>
  <c r="F16"/>
  <c r="D15"/>
  <c r="B15"/>
  <c r="E15"/>
  <c r="F15"/>
  <c r="D14"/>
  <c r="B14"/>
  <c r="E14"/>
  <c r="F14"/>
  <c r="D13"/>
  <c r="B13"/>
  <c r="E13"/>
  <c r="F13"/>
  <c r="D12"/>
  <c r="B12"/>
  <c r="E12"/>
  <c r="F12"/>
  <c r="D11"/>
  <c r="B11"/>
  <c r="E11"/>
  <c r="F11"/>
  <c r="D10"/>
  <c r="C10"/>
  <c r="E10"/>
  <c r="B10"/>
  <c r="F10"/>
  <c r="D9"/>
  <c r="B9"/>
  <c r="E9"/>
  <c r="F9"/>
  <c r="D8"/>
  <c r="B8"/>
  <c r="E8"/>
  <c r="F8"/>
  <c r="F80" i="26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1"/>
  <c r="F50"/>
  <c r="F49"/>
  <c r="F48"/>
  <c r="F47"/>
  <c r="F52"/>
  <c r="F43"/>
  <c r="F41"/>
  <c r="F39"/>
  <c r="F35"/>
  <c r="F33"/>
  <c r="F31"/>
  <c r="F9"/>
  <c r="E80"/>
  <c r="E79"/>
  <c r="E76"/>
  <c r="E75"/>
  <c r="E74"/>
  <c r="E72"/>
  <c r="E71"/>
  <c r="E70"/>
  <c r="E69"/>
  <c r="E68"/>
  <c r="E67"/>
  <c r="E66"/>
  <c r="E65"/>
  <c r="E64"/>
  <c r="E63"/>
  <c r="E60"/>
  <c r="E55"/>
  <c r="E52"/>
  <c r="E43"/>
  <c r="E39"/>
  <c r="E35"/>
  <c r="E31"/>
  <c r="E9"/>
  <c r="F8"/>
  <c r="E8"/>
  <c r="F80" i="27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7"/>
  <c r="E76"/>
  <c r="E75"/>
  <c r="E74"/>
  <c r="E72"/>
  <c r="E71"/>
  <c r="E70"/>
  <c r="E69"/>
  <c r="E68"/>
  <c r="E67"/>
  <c r="E66"/>
  <c r="E65"/>
  <c r="E64"/>
  <c r="E63"/>
  <c r="E60"/>
  <c r="E59"/>
  <c r="E58"/>
  <c r="E57"/>
  <c r="E55"/>
  <c r="E54"/>
  <c r="E53"/>
  <c r="E52"/>
  <c r="E51"/>
  <c r="E50"/>
  <c r="E49"/>
  <c r="E48"/>
  <c r="E47"/>
  <c r="E43"/>
  <c r="E41"/>
  <c r="E39"/>
  <c r="E37"/>
  <c r="E35"/>
  <c r="E33"/>
  <c r="E31"/>
  <c r="E25"/>
  <c r="E12"/>
  <c r="E11"/>
  <c r="E9"/>
  <c r="F8"/>
  <c r="E8"/>
  <c r="F31" i="28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40"/>
  <c r="F39"/>
  <c r="F37"/>
  <c r="F35"/>
  <c r="F33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7"/>
  <c r="E76"/>
  <c r="E75"/>
  <c r="E74"/>
  <c r="E72"/>
  <c r="E71"/>
  <c r="E70"/>
  <c r="E69"/>
  <c r="E68"/>
  <c r="E67"/>
  <c r="E66"/>
  <c r="E65"/>
  <c r="E64"/>
  <c r="E63"/>
  <c r="E60"/>
  <c r="E58"/>
  <c r="E57"/>
  <c r="E55"/>
  <c r="E54"/>
  <c r="E53"/>
  <c r="E52"/>
  <c r="E51"/>
  <c r="E50"/>
  <c r="E49"/>
  <c r="E48"/>
  <c r="E47"/>
  <c r="E43"/>
  <c r="E39"/>
  <c r="E37"/>
  <c r="E35"/>
  <c r="E31"/>
  <c r="E25"/>
  <c r="E12"/>
  <c r="E11"/>
  <c r="E9"/>
  <c r="F8"/>
  <c r="E8"/>
  <c r="F80" i="29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0"/>
  <c r="E59"/>
  <c r="E58"/>
  <c r="E55"/>
  <c r="E54"/>
  <c r="E53"/>
  <c r="E52"/>
  <c r="E51"/>
  <c r="E50"/>
  <c r="E49"/>
  <c r="E48"/>
  <c r="E47"/>
  <c r="E43"/>
  <c r="E39"/>
  <c r="E37"/>
  <c r="E31"/>
  <c r="E12"/>
  <c r="E11"/>
  <c r="E10"/>
  <c r="F8"/>
  <c r="E8"/>
  <c r="F80" i="30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1"/>
  <c r="F43"/>
  <c r="F39"/>
  <c r="F37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80"/>
  <c r="E79"/>
  <c r="E78"/>
  <c r="E77"/>
  <c r="E76"/>
  <c r="E75"/>
  <c r="E74"/>
  <c r="E72"/>
  <c r="E71"/>
  <c r="E70"/>
  <c r="E69"/>
  <c r="E68"/>
  <c r="E67"/>
  <c r="E66"/>
  <c r="E65"/>
  <c r="E64"/>
  <c r="E63"/>
  <c r="E60"/>
  <c r="E58"/>
  <c r="E55"/>
  <c r="E54"/>
  <c r="E53"/>
  <c r="E52"/>
  <c r="E51"/>
  <c r="E50"/>
  <c r="E49"/>
  <c r="E48"/>
  <c r="E47"/>
  <c r="E43"/>
  <c r="E39"/>
  <c r="E37"/>
  <c r="E33"/>
  <c r="E31"/>
  <c r="E12"/>
  <c r="E11"/>
  <c r="E9"/>
  <c r="F8"/>
  <c r="E8"/>
  <c r="F80" i="31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38"/>
  <c r="F36"/>
  <c r="F34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80" i="32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1"/>
  <c r="F43"/>
  <c r="F39"/>
  <c r="F37"/>
  <c r="F35"/>
  <c r="F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82" i="34"/>
  <c r="F81"/>
  <c r="F80"/>
  <c r="F79"/>
  <c r="F78"/>
  <c r="F77"/>
  <c r="F76"/>
  <c r="F75"/>
  <c r="F74"/>
  <c r="F73"/>
  <c r="F72"/>
  <c r="F71"/>
  <c r="F70"/>
  <c r="F69"/>
  <c r="F68"/>
  <c r="F67"/>
  <c r="F66"/>
  <c r="F65"/>
  <c r="F62"/>
  <c r="F61"/>
  <c r="F60"/>
  <c r="F59"/>
  <c r="F58"/>
  <c r="F57"/>
  <c r="F56"/>
  <c r="F55"/>
  <c r="F54"/>
  <c r="F53"/>
  <c r="F52"/>
  <c r="F51"/>
  <c r="F50"/>
  <c r="F49"/>
  <c r="F43"/>
  <c r="F41"/>
  <c r="F39"/>
  <c r="F35"/>
  <c r="F33"/>
  <c r="F30"/>
  <c r="F29"/>
  <c r="F27"/>
  <c r="F25"/>
  <c r="F24"/>
  <c r="F23"/>
  <c r="F22"/>
  <c r="F21"/>
  <c r="F20"/>
  <c r="F19"/>
  <c r="F18"/>
  <c r="F17"/>
  <c r="F16"/>
  <c r="F15"/>
  <c r="F14"/>
  <c r="F13"/>
  <c r="F12"/>
  <c r="F11"/>
  <c r="F10"/>
  <c r="F8"/>
  <c r="F43" i="19"/>
  <c r="F80" i="20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3"/>
  <c r="F41"/>
  <c r="F39"/>
  <c r="F37"/>
  <c r="F35"/>
  <c r="F33"/>
  <c r="F31"/>
  <c r="F30"/>
  <c r="F29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80" i="21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4"/>
  <c r="F43"/>
  <c r="F41"/>
  <c r="F39"/>
  <c r="F37"/>
  <c r="F35"/>
  <c r="F33"/>
  <c r="F31"/>
  <c r="F30"/>
  <c r="F29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42" i="22"/>
  <c r="F26" i="18"/>
  <c r="F28"/>
  <c r="F32"/>
  <c r="F34"/>
  <c r="F36"/>
  <c r="F38"/>
  <c r="F40"/>
  <c r="F42"/>
  <c r="F44"/>
  <c r="F46"/>
  <c r="F47"/>
  <c r="F48"/>
  <c r="F63"/>
  <c r="F64"/>
  <c r="E10" i="31"/>
  <c r="E80"/>
  <c r="E79"/>
  <c r="E78"/>
  <c r="E77"/>
  <c r="E76"/>
  <c r="E75"/>
  <c r="E72"/>
  <c r="E71"/>
  <c r="E70"/>
  <c r="E69"/>
  <c r="E68"/>
  <c r="E67"/>
  <c r="E66"/>
  <c r="E65"/>
  <c r="E64"/>
  <c r="E63"/>
  <c r="E60"/>
  <c r="E59"/>
  <c r="E58"/>
  <c r="E55"/>
  <c r="E54"/>
  <c r="E53"/>
  <c r="E52"/>
  <c r="E51"/>
  <c r="E50"/>
  <c r="E49"/>
  <c r="E48"/>
  <c r="E47"/>
  <c r="E43"/>
  <c r="E38"/>
  <c r="E36"/>
  <c r="E34"/>
  <c r="E30"/>
  <c r="E12"/>
  <c r="E11"/>
  <c r="E9"/>
  <c r="E8"/>
  <c r="E80" i="32"/>
  <c r="E79"/>
  <c r="E77"/>
  <c r="E76"/>
  <c r="E75"/>
  <c r="E74"/>
  <c r="E72"/>
  <c r="E71"/>
  <c r="E70"/>
  <c r="E69"/>
  <c r="E68"/>
  <c r="E67"/>
  <c r="E66"/>
  <c r="E65"/>
  <c r="E64"/>
  <c r="E63"/>
  <c r="E60"/>
  <c r="E59"/>
  <c r="E58"/>
  <c r="E55"/>
  <c r="E54"/>
  <c r="E53"/>
  <c r="E52"/>
  <c r="E51"/>
  <c r="E50"/>
  <c r="E49"/>
  <c r="E48"/>
  <c r="E47"/>
  <c r="E43"/>
  <c r="E39"/>
  <c r="E37"/>
  <c r="E31"/>
  <c r="E12"/>
  <c r="E11"/>
  <c r="E9"/>
  <c r="E8"/>
  <c r="E80" i="33"/>
  <c r="E79"/>
  <c r="E78"/>
  <c r="E77"/>
  <c r="E76"/>
  <c r="E75"/>
  <c r="E74"/>
  <c r="E72"/>
  <c r="F72"/>
  <c r="E71"/>
  <c r="E70"/>
  <c r="F70"/>
  <c r="E69"/>
  <c r="E68"/>
  <c r="F68"/>
  <c r="E67"/>
  <c r="E66"/>
  <c r="F66"/>
  <c r="E65"/>
  <c r="E64"/>
  <c r="F64"/>
  <c r="E63"/>
  <c r="E60"/>
  <c r="F60"/>
  <c r="E59"/>
  <c r="E58"/>
  <c r="F58"/>
  <c r="E57"/>
  <c r="E55"/>
  <c r="E54"/>
  <c r="E53"/>
  <c r="E52"/>
  <c r="E51"/>
  <c r="E50"/>
  <c r="E48"/>
  <c r="F48"/>
  <c r="E47"/>
  <c r="E43"/>
  <c r="E39"/>
  <c r="E37"/>
  <c r="E31"/>
  <c r="E25"/>
  <c r="E14"/>
  <c r="E12"/>
  <c r="F12"/>
  <c r="E11"/>
  <c r="E9"/>
  <c r="E8"/>
  <c r="E82" i="34"/>
  <c r="E81"/>
  <c r="E79"/>
  <c r="E78"/>
  <c r="E77"/>
  <c r="E76"/>
  <c r="E74"/>
  <c r="E73"/>
  <c r="E72"/>
  <c r="E71"/>
  <c r="E70"/>
  <c r="E69"/>
  <c r="E68"/>
  <c r="E67"/>
  <c r="E66"/>
  <c r="E65"/>
  <c r="E62"/>
  <c r="E60"/>
  <c r="E57"/>
  <c r="E56"/>
  <c r="E55"/>
  <c r="E54"/>
  <c r="E53"/>
  <c r="E52"/>
  <c r="E50"/>
  <c r="E49"/>
  <c r="E39"/>
  <c r="E12"/>
  <c r="E11"/>
  <c r="E8"/>
  <c r="E43" i="19"/>
  <c r="E80" i="20"/>
  <c r="E79"/>
  <c r="E77"/>
  <c r="E76"/>
  <c r="E75"/>
  <c r="E74"/>
  <c r="E72"/>
  <c r="E70"/>
  <c r="E69"/>
  <c r="E68"/>
  <c r="E67"/>
  <c r="E60"/>
  <c r="E59"/>
  <c r="E55"/>
  <c r="E54"/>
  <c r="E52"/>
  <c r="E50"/>
  <c r="E49"/>
  <c r="E48"/>
  <c r="E47"/>
  <c r="E43"/>
  <c r="E41"/>
  <c r="E39"/>
  <c r="E35"/>
  <c r="E31"/>
  <c r="E12"/>
  <c r="E9"/>
  <c r="E8"/>
  <c r="E80" i="21"/>
  <c r="E79"/>
  <c r="E76"/>
  <c r="E75"/>
  <c r="E74"/>
  <c r="E72"/>
  <c r="E71"/>
  <c r="E70"/>
  <c r="E69"/>
  <c r="E68"/>
  <c r="E67"/>
  <c r="E66"/>
  <c r="E65"/>
  <c r="E64"/>
  <c r="E63"/>
  <c r="E60"/>
  <c r="E55"/>
  <c r="E52"/>
  <c r="E43"/>
  <c r="E41"/>
  <c r="E39"/>
  <c r="E35"/>
  <c r="E33"/>
  <c r="E31"/>
  <c r="E25"/>
  <c r="E23"/>
  <c r="E22"/>
  <c r="E21"/>
  <c r="E11"/>
  <c r="E10"/>
  <c r="E9"/>
  <c r="E8"/>
  <c r="E10" i="34"/>
  <c r="E10" i="20"/>
  <c r="F26" i="22"/>
  <c r="B39" i="27"/>
  <c r="B38" i="31"/>
  <c r="B10" i="34"/>
  <c r="B39" i="38"/>
  <c r="B12"/>
  <c r="B39" i="51"/>
  <c r="F62" i="41"/>
  <c r="F61"/>
  <c r="F46"/>
  <c r="F45"/>
  <c r="F44"/>
  <c r="F40"/>
  <c r="F38"/>
  <c r="F36"/>
  <c r="F34"/>
  <c r="F32"/>
  <c r="F62" i="42"/>
  <c r="F61"/>
  <c r="F46"/>
  <c r="F45"/>
  <c r="F42"/>
  <c r="F40"/>
  <c r="F38"/>
  <c r="F36"/>
  <c r="F34"/>
  <c r="F32"/>
  <c r="F61" i="43"/>
  <c r="F46"/>
  <c r="F45"/>
  <c r="F44"/>
  <c r="F42"/>
  <c r="F40"/>
  <c r="F38"/>
  <c r="F36"/>
  <c r="F34"/>
  <c r="F32"/>
  <c r="F62" i="44"/>
  <c r="F61"/>
  <c r="F46"/>
  <c r="F45"/>
  <c r="F44"/>
  <c r="F42"/>
  <c r="F40"/>
  <c r="F38"/>
  <c r="F36"/>
  <c r="F34"/>
  <c r="F32"/>
  <c r="F62" i="45"/>
  <c r="F61"/>
  <c r="F46"/>
  <c r="F45"/>
  <c r="F44"/>
  <c r="F42"/>
  <c r="F40"/>
  <c r="F38"/>
  <c r="F36"/>
  <c r="F34"/>
  <c r="F32"/>
  <c r="F62" i="46"/>
  <c r="F61"/>
  <c r="F46"/>
  <c r="F45"/>
  <c r="F44"/>
  <c r="F42"/>
  <c r="F40"/>
  <c r="F38"/>
  <c r="F36"/>
  <c r="F34"/>
  <c r="F32"/>
  <c r="F62" i="47"/>
  <c r="F61"/>
  <c r="F46"/>
  <c r="F45"/>
  <c r="F44"/>
  <c r="F42"/>
  <c r="F40"/>
  <c r="F38"/>
  <c r="F36"/>
  <c r="F34"/>
  <c r="F32"/>
  <c r="F75" i="48"/>
  <c r="F74"/>
  <c r="F62"/>
  <c r="F61"/>
  <c r="F59"/>
  <c r="F57"/>
  <c r="F56"/>
  <c r="F49"/>
  <c r="F48"/>
  <c r="F46"/>
  <c r="F45"/>
  <c r="F42"/>
  <c r="F41"/>
  <c r="F40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62" i="49"/>
  <c r="F61"/>
  <c r="F46"/>
  <c r="F45"/>
  <c r="F44"/>
  <c r="F42"/>
  <c r="F40"/>
  <c r="F38"/>
  <c r="F36"/>
  <c r="F34"/>
  <c r="F32"/>
  <c r="F62" i="50"/>
  <c r="F61"/>
  <c r="F46"/>
  <c r="F45"/>
  <c r="F44"/>
  <c r="F42"/>
  <c r="F40"/>
  <c r="F38"/>
  <c r="F36"/>
  <c r="F34"/>
  <c r="F32"/>
  <c r="F61" i="51"/>
  <c r="F60"/>
  <c r="F42"/>
  <c r="F40"/>
  <c r="F38"/>
  <c r="F36"/>
  <c r="F34"/>
  <c r="F32"/>
  <c r="F64" i="24"/>
  <c r="F63"/>
  <c r="F48"/>
  <c r="F47"/>
  <c r="F46"/>
  <c r="F44"/>
  <c r="F42"/>
  <c r="F40"/>
  <c r="F38"/>
  <c r="F36"/>
  <c r="F34"/>
  <c r="F32"/>
  <c r="F60" i="40"/>
  <c r="F59"/>
  <c r="F56"/>
  <c r="F55"/>
  <c r="F54"/>
  <c r="F52"/>
  <c r="F51"/>
  <c r="F49"/>
  <c r="F48"/>
  <c r="F47"/>
  <c r="F46"/>
  <c r="F45"/>
  <c r="F44"/>
  <c r="F43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62" i="35"/>
  <c r="F61"/>
  <c r="F46"/>
  <c r="F45"/>
  <c r="F44"/>
  <c r="F40"/>
  <c r="F38"/>
  <c r="F36"/>
  <c r="F34"/>
  <c r="F32"/>
  <c r="F61" i="36"/>
  <c r="F45"/>
  <c r="F44"/>
  <c r="F42"/>
  <c r="F40"/>
  <c r="F38"/>
  <c r="F36"/>
  <c r="F34"/>
  <c r="F32"/>
  <c r="F78" i="37"/>
  <c r="F74"/>
  <c r="F64"/>
  <c r="F62"/>
  <c r="F61"/>
  <c r="F59"/>
  <c r="F58"/>
  <c r="F57"/>
  <c r="F56"/>
  <c r="F49"/>
  <c r="F48"/>
  <c r="F46"/>
  <c r="F45"/>
  <c r="F44"/>
  <c r="F42"/>
  <c r="F40"/>
  <c r="F38"/>
  <c r="F36"/>
  <c r="F34"/>
  <c r="F32"/>
  <c r="F30"/>
  <c r="F29"/>
  <c r="F28"/>
  <c r="F27"/>
  <c r="F26"/>
  <c r="F24"/>
  <c r="F23"/>
  <c r="F22"/>
  <c r="F21"/>
  <c r="F20"/>
  <c r="F19"/>
  <c r="F18"/>
  <c r="F17"/>
  <c r="F16"/>
  <c r="F15"/>
  <c r="F14"/>
  <c r="F13"/>
  <c r="F61" i="38"/>
  <c r="F60"/>
  <c r="F48"/>
  <c r="F47"/>
  <c r="F45"/>
  <c r="F44"/>
  <c r="F42"/>
  <c r="F41"/>
  <c r="F40"/>
  <c r="F38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5"/>
  <c r="F14"/>
  <c r="F13"/>
  <c r="F74" i="39"/>
  <c r="F73"/>
  <c r="F62"/>
  <c r="F61"/>
  <c r="F56"/>
  <c r="F46"/>
  <c r="F45"/>
  <c r="F44"/>
  <c r="F42"/>
  <c r="F41"/>
  <c r="F40"/>
  <c r="F38"/>
  <c r="F36"/>
  <c r="F34"/>
  <c r="F33"/>
  <c r="F32"/>
  <c r="F64" i="25"/>
  <c r="F63"/>
  <c r="F47"/>
  <c r="F46"/>
  <c r="F44"/>
  <c r="F40"/>
  <c r="F38"/>
  <c r="F36"/>
  <c r="F34"/>
  <c r="F32"/>
  <c r="F64" i="13"/>
  <c r="F63"/>
  <c r="F48"/>
  <c r="F47"/>
  <c r="F46"/>
  <c r="F44"/>
  <c r="F42"/>
  <c r="F40"/>
  <c r="F38"/>
  <c r="F36"/>
  <c r="F34"/>
  <c r="F32"/>
  <c r="F64" i="12"/>
  <c r="F63"/>
  <c r="F48"/>
  <c r="F47"/>
  <c r="F46"/>
  <c r="F44"/>
  <c r="F42"/>
  <c r="F40"/>
  <c r="F38"/>
  <c r="F36"/>
  <c r="F34"/>
  <c r="F32"/>
  <c r="F62" i="26"/>
  <c r="F61"/>
  <c r="F46"/>
  <c r="F45"/>
  <c r="F44"/>
  <c r="F42"/>
  <c r="F40"/>
  <c r="F38"/>
  <c r="F37"/>
  <c r="F36"/>
  <c r="F34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62" i="27"/>
  <c r="F61"/>
  <c r="F46"/>
  <c r="F45"/>
  <c r="F44"/>
  <c r="F42"/>
  <c r="F40"/>
  <c r="F38"/>
  <c r="F36"/>
  <c r="F34"/>
  <c r="F32"/>
  <c r="F62" i="28"/>
  <c r="F61"/>
  <c r="F46"/>
  <c r="F45"/>
  <c r="F44"/>
  <c r="F42"/>
  <c r="F38"/>
  <c r="F36"/>
  <c r="F34"/>
  <c r="F32"/>
  <c r="F62" i="29"/>
  <c r="F61"/>
  <c r="F46"/>
  <c r="F45"/>
  <c r="F44"/>
  <c r="F42"/>
  <c r="F40"/>
  <c r="F38"/>
  <c r="F36"/>
  <c r="F34"/>
  <c r="F32"/>
  <c r="F62" i="30"/>
  <c r="F61"/>
  <c r="F46"/>
  <c r="F45"/>
  <c r="F44"/>
  <c r="F42"/>
  <c r="F40"/>
  <c r="F38"/>
  <c r="F36"/>
  <c r="F35"/>
  <c r="F34"/>
  <c r="F32"/>
  <c r="F62" i="31"/>
  <c r="F61"/>
  <c r="F46"/>
  <c r="F45"/>
  <c r="F44"/>
  <c r="F42"/>
  <c r="F41"/>
  <c r="F40"/>
  <c r="F39"/>
  <c r="F37"/>
  <c r="F35"/>
  <c r="F33"/>
  <c r="F31"/>
  <c r="F62" i="32"/>
  <c r="F61"/>
  <c r="F46"/>
  <c r="F45"/>
  <c r="F44"/>
  <c r="F42"/>
  <c r="F40"/>
  <c r="F38"/>
  <c r="F36"/>
  <c r="F34"/>
  <c r="F32"/>
  <c r="F80" i="33"/>
  <c r="F79"/>
  <c r="F78"/>
  <c r="F77"/>
  <c r="F76"/>
  <c r="F75"/>
  <c r="F74"/>
  <c r="F73"/>
  <c r="F71"/>
  <c r="F69"/>
  <c r="F67"/>
  <c r="F65"/>
  <c r="F63"/>
  <c r="F62"/>
  <c r="F61"/>
  <c r="F59"/>
  <c r="F57"/>
  <c r="F56"/>
  <c r="F55"/>
  <c r="F54"/>
  <c r="F53"/>
  <c r="F52"/>
  <c r="F51"/>
  <c r="F50"/>
  <c r="F49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1"/>
  <c r="F10"/>
  <c r="F64" i="34"/>
  <c r="F63"/>
  <c r="F48"/>
  <c r="F47"/>
  <c r="F46"/>
  <c r="F44"/>
  <c r="F42"/>
  <c r="F40"/>
  <c r="F38"/>
  <c r="F36"/>
  <c r="F34"/>
  <c r="F32"/>
  <c r="F28"/>
  <c r="F26"/>
  <c r="F64" i="19"/>
  <c r="F63"/>
  <c r="F48"/>
  <c r="F47"/>
  <c r="F46"/>
  <c r="F44"/>
  <c r="F42"/>
  <c r="F40"/>
  <c r="F38"/>
  <c r="F36"/>
  <c r="F34"/>
  <c r="F32"/>
  <c r="F28"/>
  <c r="F26"/>
  <c r="F46" i="20"/>
  <c r="F44"/>
  <c r="F42"/>
  <c r="F38"/>
  <c r="F36"/>
  <c r="F34"/>
  <c r="F32"/>
  <c r="F28"/>
  <c r="F26"/>
  <c r="F46" i="21"/>
  <c r="F42"/>
  <c r="F40"/>
  <c r="F38"/>
  <c r="F36"/>
  <c r="F34"/>
  <c r="F32"/>
  <c r="F28"/>
  <c r="F26"/>
  <c r="F64" i="52"/>
  <c r="F63"/>
  <c r="F48"/>
  <c r="F47"/>
  <c r="F46"/>
  <c r="F44"/>
  <c r="F42"/>
  <c r="F40"/>
  <c r="F38"/>
  <c r="F36"/>
  <c r="F34"/>
  <c r="F32"/>
  <c r="F28"/>
  <c r="F26"/>
  <c r="F64" i="22"/>
  <c r="F63"/>
  <c r="F48"/>
  <c r="F47"/>
  <c r="F46"/>
  <c r="F44"/>
  <c r="F40"/>
  <c r="F38"/>
  <c r="F36"/>
  <c r="F34"/>
  <c r="F32"/>
  <c r="F28"/>
  <c r="F64" i="23"/>
  <c r="F63"/>
  <c r="F48"/>
  <c r="F47"/>
  <c r="F46"/>
  <c r="F44"/>
  <c r="F42"/>
  <c r="F40"/>
  <c r="F38"/>
  <c r="F36"/>
  <c r="F34"/>
  <c r="F32"/>
  <c r="F28"/>
  <c r="F26"/>
  <c r="F9" i="33"/>
  <c r="F8"/>
  <c r="C43" i="22"/>
  <c r="D43"/>
  <c r="B43"/>
  <c r="E43"/>
  <c r="F43"/>
  <c r="C12" i="19"/>
  <c r="C25"/>
  <c r="C10" i="27"/>
  <c r="C31"/>
  <c r="C43"/>
  <c r="D8" i="3"/>
  <c r="D25" i="19"/>
  <c r="D43" i="18"/>
  <c r="B43"/>
  <c r="E43"/>
  <c r="F43"/>
  <c r="C43"/>
  <c r="C50" i="24"/>
  <c r="C51"/>
  <c r="C43"/>
  <c r="C26"/>
  <c r="C27"/>
  <c r="C28"/>
  <c r="D10" i="42"/>
  <c r="D31"/>
  <c r="D43"/>
  <c r="B12" i="45"/>
  <c r="B10"/>
  <c r="B31"/>
  <c r="B43"/>
  <c r="C10"/>
  <c r="D10"/>
  <c r="C31"/>
  <c r="C43"/>
  <c r="B55"/>
  <c r="B60"/>
  <c r="C55"/>
  <c r="C60"/>
  <c r="D55"/>
  <c r="B66"/>
  <c r="C66"/>
  <c r="D66"/>
  <c r="B70"/>
  <c r="C70"/>
  <c r="C80"/>
  <c r="D70"/>
  <c r="B75"/>
  <c r="C75"/>
  <c r="D75"/>
  <c r="C76"/>
  <c r="B79"/>
  <c r="B80"/>
  <c r="C79"/>
  <c r="D79"/>
  <c r="C76" i="48"/>
  <c r="D76"/>
  <c r="E76"/>
  <c r="F76"/>
  <c r="D55"/>
  <c r="D60"/>
  <c r="C66" i="50"/>
  <c r="C75"/>
  <c r="D79"/>
  <c r="C55"/>
  <c r="C60"/>
  <c r="D55"/>
  <c r="D60"/>
  <c r="C78" i="51"/>
  <c r="C54"/>
  <c r="C59"/>
  <c r="C77" i="40"/>
  <c r="C53"/>
  <c r="C58"/>
  <c r="D53"/>
  <c r="D58"/>
  <c r="C30"/>
  <c r="C42"/>
  <c r="C66" i="35"/>
  <c r="D66"/>
  <c r="C55"/>
  <c r="C60"/>
  <c r="D55"/>
  <c r="D60"/>
  <c r="C66" i="25"/>
  <c r="C79"/>
  <c r="C80"/>
  <c r="C50"/>
  <c r="C49"/>
  <c r="C37"/>
  <c r="C35"/>
  <c r="C41"/>
  <c r="C27"/>
  <c r="C28"/>
  <c r="C29"/>
  <c r="C30"/>
  <c r="D81" i="1"/>
  <c r="C80" i="12"/>
  <c r="C75"/>
  <c r="C60"/>
  <c r="C59"/>
  <c r="C55"/>
  <c r="C43"/>
  <c r="C41"/>
  <c r="C37"/>
  <c r="C33"/>
  <c r="C30"/>
  <c r="C29"/>
  <c r="C28"/>
  <c r="C27"/>
  <c r="C26"/>
  <c r="C24"/>
  <c r="C23"/>
  <c r="C22"/>
  <c r="C21"/>
  <c r="C20"/>
  <c r="C19"/>
  <c r="C18"/>
  <c r="C17"/>
  <c r="C16"/>
  <c r="C15"/>
  <c r="C14"/>
  <c r="C13"/>
  <c r="C11"/>
  <c r="C9"/>
  <c r="D8" i="26"/>
  <c r="C10" i="28"/>
  <c r="D10"/>
  <c r="D31"/>
  <c r="C11" i="19"/>
  <c r="C9"/>
  <c r="C9" i="23"/>
  <c r="C9" i="24"/>
  <c r="C9" i="22"/>
  <c r="D8" i="19"/>
  <c r="D11"/>
  <c r="D12"/>
  <c r="D13"/>
  <c r="D14"/>
  <c r="B14"/>
  <c r="E14"/>
  <c r="F14"/>
  <c r="D15"/>
  <c r="D16"/>
  <c r="D17"/>
  <c r="D18"/>
  <c r="D19"/>
  <c r="D20"/>
  <c r="D21"/>
  <c r="D22"/>
  <c r="D23"/>
  <c r="D24"/>
  <c r="D27"/>
  <c r="D29"/>
  <c r="D30"/>
  <c r="C37"/>
  <c r="C37" i="23"/>
  <c r="C37" i="24"/>
  <c r="C37" i="22"/>
  <c r="C55" i="20"/>
  <c r="C60"/>
  <c r="D55"/>
  <c r="D60"/>
  <c r="D9" i="21"/>
  <c r="D8"/>
  <c r="B30" i="40"/>
  <c r="B42"/>
  <c r="D30"/>
  <c r="D42"/>
  <c r="C43" i="25"/>
  <c r="D10" i="36"/>
  <c r="D31"/>
  <c r="D43"/>
  <c r="C10"/>
  <c r="C31"/>
  <c r="C43"/>
  <c r="B10"/>
  <c r="B31"/>
  <c r="B43"/>
  <c r="C26" i="25"/>
  <c r="C58"/>
  <c r="C78"/>
  <c r="C81"/>
  <c r="C73"/>
  <c r="C75"/>
  <c r="C76"/>
  <c r="C69"/>
  <c r="C70"/>
  <c r="C71"/>
  <c r="C65"/>
  <c r="C67"/>
  <c r="C68"/>
  <c r="C51"/>
  <c r="C52"/>
  <c r="C53"/>
  <c r="C54"/>
  <c r="C55"/>
  <c r="C59"/>
  <c r="C60"/>
  <c r="C61"/>
  <c r="C39"/>
  <c r="C33"/>
  <c r="C8"/>
  <c r="C9"/>
  <c r="B76"/>
  <c r="D76"/>
  <c r="E76"/>
  <c r="F76"/>
  <c r="C10" i="35"/>
  <c r="C31"/>
  <c r="C43"/>
  <c r="D10"/>
  <c r="D31"/>
  <c r="C79" i="36"/>
  <c r="D79"/>
  <c r="E10"/>
  <c r="C75" i="37"/>
  <c r="C79"/>
  <c r="C66"/>
  <c r="D75"/>
  <c r="D79"/>
  <c r="D66"/>
  <c r="D75" i="38"/>
  <c r="D76"/>
  <c r="D70"/>
  <c r="D71"/>
  <c r="C71"/>
  <c r="C74" i="25"/>
  <c r="D72" i="38"/>
  <c r="D66"/>
  <c r="D67"/>
  <c r="D68"/>
  <c r="D62"/>
  <c r="D63"/>
  <c r="D64"/>
  <c r="C78"/>
  <c r="C69"/>
  <c r="C65"/>
  <c r="C50"/>
  <c r="C53"/>
  <c r="D46"/>
  <c r="D49"/>
  <c r="D50"/>
  <c r="D51"/>
  <c r="D52"/>
  <c r="C8"/>
  <c r="C10"/>
  <c r="C31"/>
  <c r="C43"/>
  <c r="D8"/>
  <c r="D10"/>
  <c r="D79" i="39"/>
  <c r="D75"/>
  <c r="D70"/>
  <c r="D66"/>
  <c r="C79"/>
  <c r="C75"/>
  <c r="C70"/>
  <c r="C66"/>
  <c r="C80"/>
  <c r="C55"/>
  <c r="C60"/>
  <c r="D55"/>
  <c r="C31"/>
  <c r="C43"/>
  <c r="D31"/>
  <c r="E10"/>
  <c r="C10" i="8"/>
  <c r="C31"/>
  <c r="C45"/>
  <c r="B21" i="19"/>
  <c r="B21" i="18"/>
  <c r="B10" i="8"/>
  <c r="B31"/>
  <c r="B45"/>
  <c r="B10" i="27"/>
  <c r="B31"/>
  <c r="B43"/>
  <c r="B33" i="19"/>
  <c r="B41"/>
  <c r="B10" i="28"/>
  <c r="B35" i="19"/>
  <c r="B9" i="34"/>
  <c r="E9"/>
  <c r="F9"/>
  <c r="B11" i="19"/>
  <c r="B12"/>
  <c r="B13"/>
  <c r="B14" i="23"/>
  <c r="B15" i="19"/>
  <c r="B16"/>
  <c r="B17"/>
  <c r="B18"/>
  <c r="B19"/>
  <c r="B20"/>
  <c r="B22"/>
  <c r="B23"/>
  <c r="B24"/>
  <c r="B25"/>
  <c r="B27"/>
  <c r="B29"/>
  <c r="B30"/>
  <c r="D10" i="27"/>
  <c r="C75" i="19"/>
  <c r="C80"/>
  <c r="D80"/>
  <c r="B80"/>
  <c r="E80"/>
  <c r="F80"/>
  <c r="D75"/>
  <c r="C58"/>
  <c r="D58"/>
  <c r="C13"/>
  <c r="C14"/>
  <c r="C14" i="23"/>
  <c r="C15" i="19"/>
  <c r="C16"/>
  <c r="C17"/>
  <c r="C18"/>
  <c r="C18" i="23"/>
  <c r="C19" i="19"/>
  <c r="C20"/>
  <c r="C20" i="23"/>
  <c r="C20" i="24"/>
  <c r="C20" i="22"/>
  <c r="C21" i="19"/>
  <c r="C22"/>
  <c r="C22" i="23"/>
  <c r="C22" i="24"/>
  <c r="C22" i="22"/>
  <c r="C23" i="19"/>
  <c r="C24"/>
  <c r="C24" i="24"/>
  <c r="C24" i="18"/>
  <c r="D24"/>
  <c r="B24"/>
  <c r="E24"/>
  <c r="F24"/>
  <c r="C27" i="19"/>
  <c r="C29"/>
  <c r="C30"/>
  <c r="C30" i="23"/>
  <c r="D30"/>
  <c r="B30"/>
  <c r="E30"/>
  <c r="F30"/>
  <c r="C41" i="19"/>
  <c r="C39"/>
  <c r="C35"/>
  <c r="C33"/>
  <c r="D41"/>
  <c r="E41"/>
  <c r="F41"/>
  <c r="D37"/>
  <c r="D35"/>
  <c r="E35"/>
  <c r="F35"/>
  <c r="D33"/>
  <c r="B75"/>
  <c r="P10" i="16"/>
  <c r="C77" i="9"/>
  <c r="D77"/>
  <c r="D62"/>
  <c r="C31"/>
  <c r="C45"/>
  <c r="D31"/>
  <c r="D77" i="4"/>
  <c r="C77"/>
  <c r="D81"/>
  <c r="C81"/>
  <c r="C72"/>
  <c r="C68"/>
  <c r="D72"/>
  <c r="D68"/>
  <c r="C57"/>
  <c r="C62"/>
  <c r="D57"/>
  <c r="C10"/>
  <c r="D10"/>
  <c r="D31"/>
  <c r="C77" i="5"/>
  <c r="C81"/>
  <c r="D77"/>
  <c r="D81"/>
  <c r="D10"/>
  <c r="B33" i="37"/>
  <c r="B39"/>
  <c r="B10"/>
  <c r="B31"/>
  <c r="B43"/>
  <c r="C81" i="2"/>
  <c r="D81"/>
  <c r="C77"/>
  <c r="C72"/>
  <c r="C68"/>
  <c r="C82"/>
  <c r="D77"/>
  <c r="D72"/>
  <c r="D68"/>
  <c r="C57"/>
  <c r="C62"/>
  <c r="D57"/>
  <c r="D62"/>
  <c r="C10"/>
  <c r="C31"/>
  <c r="C45"/>
  <c r="D10"/>
  <c r="B79" i="13"/>
  <c r="B74"/>
  <c r="B77"/>
  <c r="B69"/>
  <c r="B70"/>
  <c r="B71"/>
  <c r="B72"/>
  <c r="B65"/>
  <c r="B66"/>
  <c r="B67"/>
  <c r="B68"/>
  <c r="C79"/>
  <c r="C79" i="12"/>
  <c r="D79" i="13"/>
  <c r="C78"/>
  <c r="D78"/>
  <c r="C73"/>
  <c r="C74"/>
  <c r="C77"/>
  <c r="D74"/>
  <c r="C69"/>
  <c r="C70"/>
  <c r="C71"/>
  <c r="D70"/>
  <c r="D71"/>
  <c r="C65"/>
  <c r="C66"/>
  <c r="C67"/>
  <c r="D65"/>
  <c r="D66"/>
  <c r="D67"/>
  <c r="C49"/>
  <c r="C50"/>
  <c r="C51"/>
  <c r="C51" i="12"/>
  <c r="C52" i="13"/>
  <c r="C52" i="12"/>
  <c r="C53" i="13"/>
  <c r="C53" i="12"/>
  <c r="C54" i="13"/>
  <c r="C56"/>
  <c r="C39"/>
  <c r="C35"/>
  <c r="C12"/>
  <c r="C25"/>
  <c r="C25" i="12"/>
  <c r="C10" i="13"/>
  <c r="C31"/>
  <c r="C8"/>
  <c r="D39"/>
  <c r="D37"/>
  <c r="D11"/>
  <c r="D12"/>
  <c r="D20"/>
  <c r="D8"/>
  <c r="C79" i="26"/>
  <c r="D75"/>
  <c r="D79"/>
  <c r="C55"/>
  <c r="C60"/>
  <c r="D55"/>
  <c r="C31"/>
  <c r="C43"/>
  <c r="D31"/>
  <c r="C76" i="27"/>
  <c r="C77"/>
  <c r="C63"/>
  <c r="C65" i="19"/>
  <c r="C64" i="27"/>
  <c r="C66" i="19"/>
  <c r="C65" i="27"/>
  <c r="C67" i="19"/>
  <c r="C67" i="27"/>
  <c r="C69" i="19"/>
  <c r="C68" i="27"/>
  <c r="C70" i="19"/>
  <c r="C69" i="27"/>
  <c r="C71" i="19"/>
  <c r="C71" i="27"/>
  <c r="C75"/>
  <c r="C72"/>
  <c r="C74"/>
  <c r="D76"/>
  <c r="D77"/>
  <c r="D79" i="19"/>
  <c r="D71" i="27"/>
  <c r="D72"/>
  <c r="D74"/>
  <c r="D63"/>
  <c r="D65" i="19"/>
  <c r="D64" i="27"/>
  <c r="D66" i="19"/>
  <c r="D65" i="27"/>
  <c r="D67" i="19"/>
  <c r="D67" i="27"/>
  <c r="D68"/>
  <c r="D69"/>
  <c r="C47"/>
  <c r="C49" i="19"/>
  <c r="C48" i="27"/>
  <c r="C50" i="19"/>
  <c r="C49" i="27"/>
  <c r="C51" i="19"/>
  <c r="C50" i="27"/>
  <c r="C52" i="19"/>
  <c r="C51" i="27"/>
  <c r="C53" i="19"/>
  <c r="C52" i="27"/>
  <c r="C54" i="19"/>
  <c r="C53" i="27"/>
  <c r="C55" i="19"/>
  <c r="C54" i="27"/>
  <c r="C56" i="19"/>
  <c r="C55" i="27"/>
  <c r="C57"/>
  <c r="C58"/>
  <c r="C60" i="19"/>
  <c r="C60" i="24"/>
  <c r="C60" i="18"/>
  <c r="C59" i="27"/>
  <c r="C61" i="19"/>
  <c r="C60" i="27"/>
  <c r="D47"/>
  <c r="D49" i="19"/>
  <c r="D48" i="27"/>
  <c r="D50" i="19"/>
  <c r="D49" i="27"/>
  <c r="D51" i="19"/>
  <c r="D50" i="27"/>
  <c r="D52" i="19"/>
  <c r="D51" i="27"/>
  <c r="D53" i="19"/>
  <c r="D52" i="27"/>
  <c r="D54" i="19"/>
  <c r="D53" i="27"/>
  <c r="D55" i="19"/>
  <c r="D54" i="27"/>
  <c r="D56" i="19"/>
  <c r="D57" i="27"/>
  <c r="D58"/>
  <c r="D59"/>
  <c r="C75" i="29"/>
  <c r="D75"/>
  <c r="C10"/>
  <c r="C31"/>
  <c r="C43"/>
  <c r="C75" i="30"/>
  <c r="D75"/>
  <c r="C79" i="31"/>
  <c r="C75"/>
  <c r="C80"/>
  <c r="C70"/>
  <c r="C66"/>
  <c r="D79"/>
  <c r="D75"/>
  <c r="D70"/>
  <c r="D66"/>
  <c r="D80"/>
  <c r="C55"/>
  <c r="C60"/>
  <c r="D55"/>
  <c r="D60"/>
  <c r="C10"/>
  <c r="C30"/>
  <c r="C43"/>
  <c r="C75" i="32"/>
  <c r="C79"/>
  <c r="C70"/>
  <c r="C66"/>
  <c r="C80"/>
  <c r="D75"/>
  <c r="D79"/>
  <c r="D70"/>
  <c r="D66"/>
  <c r="C55"/>
  <c r="C60"/>
  <c r="D55"/>
  <c r="C10"/>
  <c r="D10"/>
  <c r="D31"/>
  <c r="D43"/>
  <c r="C77" i="34"/>
  <c r="C81"/>
  <c r="C72"/>
  <c r="C68"/>
  <c r="C82"/>
  <c r="D77"/>
  <c r="D81"/>
  <c r="D72"/>
  <c r="D68"/>
  <c r="C57"/>
  <c r="C62"/>
  <c r="D57"/>
  <c r="D62"/>
  <c r="C31"/>
  <c r="C45"/>
  <c r="D31"/>
  <c r="C75" i="20"/>
  <c r="C79"/>
  <c r="D75"/>
  <c r="D79"/>
  <c r="D50" i="22"/>
  <c r="B50"/>
  <c r="E50"/>
  <c r="F50"/>
  <c r="D51"/>
  <c r="C51"/>
  <c r="D58"/>
  <c r="B58"/>
  <c r="E58"/>
  <c r="F58"/>
  <c r="C58" i="24"/>
  <c r="C58" i="22"/>
  <c r="D60"/>
  <c r="C60"/>
  <c r="D43" i="23"/>
  <c r="B43"/>
  <c r="E43"/>
  <c r="F43"/>
  <c r="D41"/>
  <c r="B41"/>
  <c r="E41"/>
  <c r="F41"/>
  <c r="D41" i="22"/>
  <c r="B41"/>
  <c r="E41"/>
  <c r="F41"/>
  <c r="D35" i="23"/>
  <c r="B35"/>
  <c r="E35"/>
  <c r="F35"/>
  <c r="D35" i="22"/>
  <c r="D33" i="23"/>
  <c r="B33"/>
  <c r="E33"/>
  <c r="F33"/>
  <c r="C33"/>
  <c r="D33" i="22"/>
  <c r="B33"/>
  <c r="E33"/>
  <c r="F33"/>
  <c r="C33" i="24"/>
  <c r="C33" i="22"/>
  <c r="D13" i="23"/>
  <c r="B13"/>
  <c r="E13"/>
  <c r="F13"/>
  <c r="D13" i="22"/>
  <c r="C13" i="24"/>
  <c r="C13" i="22"/>
  <c r="D14"/>
  <c r="D15" i="23"/>
  <c r="B15"/>
  <c r="E15"/>
  <c r="F15"/>
  <c r="D15" i="22"/>
  <c r="D16"/>
  <c r="D17" i="23"/>
  <c r="B17"/>
  <c r="E17"/>
  <c r="F17"/>
  <c r="D17" i="22"/>
  <c r="C17" i="24"/>
  <c r="C17" i="22"/>
  <c r="D18"/>
  <c r="B18"/>
  <c r="E18"/>
  <c r="F18"/>
  <c r="C18" i="24"/>
  <c r="C18" i="22"/>
  <c r="D19" i="23"/>
  <c r="D19" i="22"/>
  <c r="B19"/>
  <c r="E19"/>
  <c r="F19"/>
  <c r="D20"/>
  <c r="B20"/>
  <c r="E20"/>
  <c r="F20"/>
  <c r="D21" i="23"/>
  <c r="B21"/>
  <c r="E21"/>
  <c r="F21"/>
  <c r="D21" i="22"/>
  <c r="C21" i="24"/>
  <c r="D22" i="22"/>
  <c r="B22"/>
  <c r="E22"/>
  <c r="F22"/>
  <c r="D23" i="23"/>
  <c r="B23"/>
  <c r="E23"/>
  <c r="F23"/>
  <c r="D23" i="22"/>
  <c r="B23"/>
  <c r="E23"/>
  <c r="F23"/>
  <c r="C23" i="24"/>
  <c r="C23" i="22"/>
  <c r="D24" i="23"/>
  <c r="B24"/>
  <c r="E24"/>
  <c r="F24"/>
  <c r="D24" i="22"/>
  <c r="B24"/>
  <c r="E24"/>
  <c r="F24"/>
  <c r="D27"/>
  <c r="B27"/>
  <c r="E27"/>
  <c r="F27"/>
  <c r="C27"/>
  <c r="D29"/>
  <c r="D30"/>
  <c r="D30" i="52"/>
  <c r="B30" i="22"/>
  <c r="B30" i="52"/>
  <c r="E30"/>
  <c r="F30"/>
  <c r="C75" i="23"/>
  <c r="C50" i="22"/>
  <c r="C58" i="23"/>
  <c r="C59"/>
  <c r="C43"/>
  <c r="C43" i="52"/>
  <c r="C41" i="23"/>
  <c r="C41" i="24"/>
  <c r="C35"/>
  <c r="C35" i="22"/>
  <c r="C8" i="24"/>
  <c r="C8" i="22"/>
  <c r="C11" i="24"/>
  <c r="C11" i="22"/>
  <c r="C13" i="23"/>
  <c r="C14" i="24"/>
  <c r="C14" i="22"/>
  <c r="C15" i="23"/>
  <c r="C15" i="24"/>
  <c r="C15" i="22"/>
  <c r="C15" i="52"/>
  <c r="C16" i="24"/>
  <c r="C16" i="22"/>
  <c r="C17" i="23"/>
  <c r="C19"/>
  <c r="C19" i="24"/>
  <c r="C19" i="22"/>
  <c r="C19" i="52"/>
  <c r="C21" i="23"/>
  <c r="C23"/>
  <c r="C24" i="22"/>
  <c r="C29" i="23"/>
  <c r="C29" i="24"/>
  <c r="C29" i="22"/>
  <c r="C30" i="24"/>
  <c r="C30" i="22"/>
  <c r="B60"/>
  <c r="B58" i="19"/>
  <c r="B51" i="22"/>
  <c r="B37" i="34"/>
  <c r="B35" i="22"/>
  <c r="B33" i="52"/>
  <c r="B29" i="23"/>
  <c r="B29" i="22"/>
  <c r="B21"/>
  <c r="B17"/>
  <c r="B16"/>
  <c r="B15"/>
  <c r="B14"/>
  <c r="B13"/>
  <c r="B13" i="52"/>
  <c r="B11" i="23"/>
  <c r="B11" i="22"/>
  <c r="B9"/>
  <c r="C11" i="18"/>
  <c r="C13"/>
  <c r="C15"/>
  <c r="C17"/>
  <c r="C19"/>
  <c r="C23"/>
  <c r="B14"/>
  <c r="D41"/>
  <c r="B41"/>
  <c r="E41"/>
  <c r="F41"/>
  <c r="C41" i="21"/>
  <c r="D33" i="18"/>
  <c r="B33"/>
  <c r="E33"/>
  <c r="F33"/>
  <c r="D10" i="37"/>
  <c r="D31"/>
  <c r="D43"/>
  <c r="C10"/>
  <c r="C31"/>
  <c r="C43"/>
  <c r="D70" i="20"/>
  <c r="C70"/>
  <c r="B79"/>
  <c r="B75"/>
  <c r="B70"/>
  <c r="B80"/>
  <c r="B55"/>
  <c r="B60"/>
  <c r="D10"/>
  <c r="C10"/>
  <c r="C31"/>
  <c r="B10"/>
  <c r="B31"/>
  <c r="B43"/>
  <c r="D21" i="18"/>
  <c r="E21"/>
  <c r="F21"/>
  <c r="D79" i="35"/>
  <c r="C79"/>
  <c r="B79"/>
  <c r="B80"/>
  <c r="D75"/>
  <c r="C75"/>
  <c r="B75"/>
  <c r="D70"/>
  <c r="C70"/>
  <c r="B70"/>
  <c r="B66"/>
  <c r="B55"/>
  <c r="B60"/>
  <c r="B10"/>
  <c r="B31"/>
  <c r="B43"/>
  <c r="D31" i="20"/>
  <c r="B79" i="39"/>
  <c r="B75"/>
  <c r="B80"/>
  <c r="B70"/>
  <c r="B66"/>
  <c r="B55"/>
  <c r="B60"/>
  <c r="B10"/>
  <c r="B31"/>
  <c r="B43"/>
  <c r="D79" i="46"/>
  <c r="C79"/>
  <c r="B79"/>
  <c r="B80"/>
  <c r="D75"/>
  <c r="C75"/>
  <c r="B75"/>
  <c r="B70"/>
  <c r="B66"/>
  <c r="D70"/>
  <c r="C70"/>
  <c r="D66"/>
  <c r="C66"/>
  <c r="D55"/>
  <c r="D60"/>
  <c r="C55"/>
  <c r="C60"/>
  <c r="B55"/>
  <c r="B60"/>
  <c r="D10"/>
  <c r="D31"/>
  <c r="C10"/>
  <c r="C31"/>
  <c r="C43"/>
  <c r="B10"/>
  <c r="B31"/>
  <c r="B43"/>
  <c r="D79" i="44"/>
  <c r="D75"/>
  <c r="D70"/>
  <c r="D66"/>
  <c r="C79"/>
  <c r="C75"/>
  <c r="C70"/>
  <c r="C66"/>
  <c r="B79"/>
  <c r="B80"/>
  <c r="B75"/>
  <c r="B68"/>
  <c r="B70"/>
  <c r="B66"/>
  <c r="C55"/>
  <c r="C60"/>
  <c r="D55"/>
  <c r="D60"/>
  <c r="B54"/>
  <c r="B55"/>
  <c r="B60"/>
  <c r="E51"/>
  <c r="D10"/>
  <c r="D31"/>
  <c r="C10"/>
  <c r="B10"/>
  <c r="B31"/>
  <c r="B43"/>
  <c r="B89" i="49"/>
  <c r="B90"/>
  <c r="D90"/>
  <c r="D77"/>
  <c r="C77"/>
  <c r="B77"/>
  <c r="D76"/>
  <c r="C76"/>
  <c r="C79"/>
  <c r="B76"/>
  <c r="D72"/>
  <c r="C72"/>
  <c r="B72"/>
  <c r="D71"/>
  <c r="D75"/>
  <c r="C71"/>
  <c r="C75"/>
  <c r="B71"/>
  <c r="B75"/>
  <c r="D69"/>
  <c r="C69"/>
  <c r="B69"/>
  <c r="D68"/>
  <c r="C68"/>
  <c r="B68"/>
  <c r="D67"/>
  <c r="D70"/>
  <c r="C67"/>
  <c r="C70"/>
  <c r="B67"/>
  <c r="B70"/>
  <c r="D66"/>
  <c r="C66"/>
  <c r="B66"/>
  <c r="D65"/>
  <c r="C65"/>
  <c r="B65"/>
  <c r="D64"/>
  <c r="C64"/>
  <c r="B64"/>
  <c r="D63"/>
  <c r="C63"/>
  <c r="B63"/>
  <c r="D55"/>
  <c r="D60"/>
  <c r="C55"/>
  <c r="C60"/>
  <c r="B55"/>
  <c r="B60"/>
  <c r="D54"/>
  <c r="C54"/>
  <c r="B54"/>
  <c r="D52"/>
  <c r="C52"/>
  <c r="B52"/>
  <c r="D51"/>
  <c r="C51"/>
  <c r="B51"/>
  <c r="D50"/>
  <c r="C50"/>
  <c r="B50"/>
  <c r="D47"/>
  <c r="C47"/>
  <c r="B47"/>
  <c r="D39"/>
  <c r="C39"/>
  <c r="B39"/>
  <c r="D37"/>
  <c r="D25"/>
  <c r="B25"/>
  <c r="B25" i="22"/>
  <c r="D12" i="49"/>
  <c r="C12"/>
  <c r="C12" i="24"/>
  <c r="C12" i="22"/>
  <c r="B12" i="49"/>
  <c r="D11"/>
  <c r="D11" i="22"/>
  <c r="E11"/>
  <c r="F11"/>
  <c r="D9" i="49"/>
  <c r="D8"/>
  <c r="B8"/>
  <c r="B8" i="22"/>
  <c r="B8" i="19"/>
  <c r="B8" i="23"/>
  <c r="B8" i="52"/>
  <c r="D79" i="47"/>
  <c r="C79"/>
  <c r="B79"/>
  <c r="C75"/>
  <c r="C70"/>
  <c r="C66"/>
  <c r="C80"/>
  <c r="D72"/>
  <c r="D75"/>
  <c r="B72"/>
  <c r="B75"/>
  <c r="D70"/>
  <c r="B70"/>
  <c r="D66"/>
  <c r="B66"/>
  <c r="C55"/>
  <c r="C60"/>
  <c r="D52"/>
  <c r="D55"/>
  <c r="B52"/>
  <c r="B55"/>
  <c r="B60"/>
  <c r="D10"/>
  <c r="B10"/>
  <c r="E10"/>
  <c r="C10"/>
  <c r="D31"/>
  <c r="D43"/>
  <c r="C31"/>
  <c r="C43"/>
  <c r="B31"/>
  <c r="B43"/>
  <c r="D78" i="42"/>
  <c r="D80" i="22"/>
  <c r="B80"/>
  <c r="E80"/>
  <c r="F80"/>
  <c r="C78" i="42"/>
  <c r="C80" i="24"/>
  <c r="B78" i="42"/>
  <c r="D77"/>
  <c r="C77"/>
  <c r="B77"/>
  <c r="D76"/>
  <c r="C76"/>
  <c r="C79"/>
  <c r="B76"/>
  <c r="B79"/>
  <c r="D74"/>
  <c r="C74"/>
  <c r="C74" i="41"/>
  <c r="C76" i="24"/>
  <c r="C76" i="22"/>
  <c r="B74" i="42"/>
  <c r="D73"/>
  <c r="D75" i="22"/>
  <c r="C73" i="42"/>
  <c r="C75" i="24"/>
  <c r="C75" i="22"/>
  <c r="C75" i="52"/>
  <c r="B73" i="42"/>
  <c r="D72"/>
  <c r="C72"/>
  <c r="B72"/>
  <c r="D71"/>
  <c r="D75"/>
  <c r="C71"/>
  <c r="C75"/>
  <c r="B71"/>
  <c r="B75"/>
  <c r="D69"/>
  <c r="C69"/>
  <c r="B69"/>
  <c r="D68"/>
  <c r="C68"/>
  <c r="B68"/>
  <c r="D67"/>
  <c r="D70"/>
  <c r="C67"/>
  <c r="B67"/>
  <c r="B70"/>
  <c r="D65"/>
  <c r="C65"/>
  <c r="B65"/>
  <c r="D64"/>
  <c r="C64"/>
  <c r="B64"/>
  <c r="D63"/>
  <c r="D66"/>
  <c r="C63"/>
  <c r="C65" i="24"/>
  <c r="B63" i="42"/>
  <c r="B66"/>
  <c r="D59"/>
  <c r="D59" i="41"/>
  <c r="C59" i="42"/>
  <c r="B59"/>
  <c r="B59" i="41"/>
  <c r="D57" i="42"/>
  <c r="C57"/>
  <c r="C57" i="41"/>
  <c r="C59" i="24"/>
  <c r="C59" i="22"/>
  <c r="C59" i="52"/>
  <c r="B57" i="42"/>
  <c r="D54"/>
  <c r="C54"/>
  <c r="C56" i="24"/>
  <c r="C56" i="22"/>
  <c r="B54" i="42"/>
  <c r="D53"/>
  <c r="C53"/>
  <c r="B53"/>
  <c r="D52"/>
  <c r="C52"/>
  <c r="B52"/>
  <c r="D51"/>
  <c r="C51"/>
  <c r="B51"/>
  <c r="D50"/>
  <c r="C50"/>
  <c r="B50"/>
  <c r="D47"/>
  <c r="D55"/>
  <c r="C47"/>
  <c r="C55"/>
  <c r="B47"/>
  <c r="B55"/>
  <c r="B60"/>
  <c r="C39"/>
  <c r="B39"/>
  <c r="B37"/>
  <c r="B37" i="22"/>
  <c r="C25" i="42"/>
  <c r="B12"/>
  <c r="B10"/>
  <c r="B31"/>
  <c r="D79" i="41"/>
  <c r="D75"/>
  <c r="D70"/>
  <c r="D66"/>
  <c r="C79"/>
  <c r="C75"/>
  <c r="C70"/>
  <c r="C66"/>
  <c r="C80"/>
  <c r="B79"/>
  <c r="B75"/>
  <c r="B80"/>
  <c r="B70"/>
  <c r="B66"/>
  <c r="D76"/>
  <c r="C76"/>
  <c r="B76"/>
  <c r="D74"/>
  <c r="B74"/>
  <c r="D72"/>
  <c r="C72"/>
  <c r="B72"/>
  <c r="D71"/>
  <c r="C71"/>
  <c r="B71"/>
  <c r="D69"/>
  <c r="C69"/>
  <c r="B69"/>
  <c r="D68"/>
  <c r="C68"/>
  <c r="B68"/>
  <c r="D67"/>
  <c r="C67"/>
  <c r="B67"/>
  <c r="D65"/>
  <c r="C65"/>
  <c r="B65"/>
  <c r="D64"/>
  <c r="C64"/>
  <c r="B64"/>
  <c r="D63"/>
  <c r="C63"/>
  <c r="B63"/>
  <c r="C59"/>
  <c r="D57"/>
  <c r="B57"/>
  <c r="D52"/>
  <c r="C52"/>
  <c r="B52"/>
  <c r="D47"/>
  <c r="D55"/>
  <c r="C47"/>
  <c r="C55"/>
  <c r="B47"/>
  <c r="B55"/>
  <c r="D10"/>
  <c r="D31"/>
  <c r="C10"/>
  <c r="C31"/>
  <c r="C43"/>
  <c r="B10"/>
  <c r="B31"/>
  <c r="B43"/>
  <c r="D80" i="48"/>
  <c r="B80"/>
  <c r="E79"/>
  <c r="F79"/>
  <c r="E78"/>
  <c r="F78"/>
  <c r="C77"/>
  <c r="C80"/>
  <c r="B76"/>
  <c r="E72"/>
  <c r="F72"/>
  <c r="E71"/>
  <c r="F71"/>
  <c r="D70"/>
  <c r="B70"/>
  <c r="C69"/>
  <c r="C70"/>
  <c r="E70"/>
  <c r="F70"/>
  <c r="E68"/>
  <c r="F68"/>
  <c r="E67"/>
  <c r="F67"/>
  <c r="D66"/>
  <c r="C66"/>
  <c r="B66"/>
  <c r="B81"/>
  <c r="E65"/>
  <c r="F65"/>
  <c r="E64"/>
  <c r="F64"/>
  <c r="E63"/>
  <c r="F63"/>
  <c r="E58"/>
  <c r="F58"/>
  <c r="B55"/>
  <c r="B60"/>
  <c r="E54"/>
  <c r="F54"/>
  <c r="C53"/>
  <c r="E53"/>
  <c r="F53"/>
  <c r="E52"/>
  <c r="F52"/>
  <c r="E51"/>
  <c r="F51"/>
  <c r="C50"/>
  <c r="E50"/>
  <c r="F50"/>
  <c r="C47"/>
  <c r="C55"/>
  <c r="E39"/>
  <c r="F39"/>
  <c r="E12"/>
  <c r="F12"/>
  <c r="B12"/>
  <c r="B10"/>
  <c r="B31"/>
  <c r="B43"/>
  <c r="E11"/>
  <c r="F11"/>
  <c r="C10"/>
  <c r="C31"/>
  <c r="D10"/>
  <c r="D31"/>
  <c r="E9"/>
  <c r="F9"/>
  <c r="E8"/>
  <c r="F8"/>
  <c r="C79" i="50"/>
  <c r="B76"/>
  <c r="B78" i="22"/>
  <c r="C70" i="50"/>
  <c r="D72"/>
  <c r="B72"/>
  <c r="B74" i="22"/>
  <c r="D71" i="50"/>
  <c r="D75"/>
  <c r="B71"/>
  <c r="B73" i="22"/>
  <c r="D69" i="50"/>
  <c r="B69"/>
  <c r="B71" i="22"/>
  <c r="D68" i="50"/>
  <c r="D70" i="22"/>
  <c r="B70"/>
  <c r="E70"/>
  <c r="F70"/>
  <c r="B68" i="50"/>
  <c r="D67"/>
  <c r="D70"/>
  <c r="B67"/>
  <c r="B70"/>
  <c r="D65"/>
  <c r="B65"/>
  <c r="D63"/>
  <c r="D66"/>
  <c r="B63"/>
  <c r="B55"/>
  <c r="B60"/>
  <c r="D10"/>
  <c r="D31"/>
  <c r="C10"/>
  <c r="C31"/>
  <c r="C43"/>
  <c r="B10"/>
  <c r="B31"/>
  <c r="B43"/>
  <c r="D78" i="51"/>
  <c r="D79"/>
  <c r="B78"/>
  <c r="B74"/>
  <c r="C69"/>
  <c r="B69"/>
  <c r="C65"/>
  <c r="C79"/>
  <c r="B65"/>
  <c r="E57"/>
  <c r="D54"/>
  <c r="D59"/>
  <c r="B54"/>
  <c r="B59"/>
  <c r="D31"/>
  <c r="D43"/>
  <c r="C31"/>
  <c r="C43"/>
  <c r="B31"/>
  <c r="B43"/>
  <c r="C70" i="37"/>
  <c r="C80"/>
  <c r="B79"/>
  <c r="B75"/>
  <c r="B70"/>
  <c r="B66"/>
  <c r="B80"/>
  <c r="D70"/>
  <c r="D80"/>
  <c r="D55"/>
  <c r="D60"/>
  <c r="C55"/>
  <c r="C60"/>
  <c r="B55"/>
  <c r="B60"/>
  <c r="E33"/>
  <c r="D77" i="38"/>
  <c r="B77"/>
  <c r="B76"/>
  <c r="D78"/>
  <c r="B75"/>
  <c r="B78"/>
  <c r="B72"/>
  <c r="B70"/>
  <c r="B77" i="25"/>
  <c r="B68" i="38"/>
  <c r="B67"/>
  <c r="B66"/>
  <c r="B64"/>
  <c r="B63"/>
  <c r="D65"/>
  <c r="B62"/>
  <c r="B53"/>
  <c r="B52"/>
  <c r="B51"/>
  <c r="B50"/>
  <c r="B49"/>
  <c r="B10"/>
  <c r="B31"/>
  <c r="B43"/>
  <c r="D77" i="40"/>
  <c r="B77"/>
  <c r="D73"/>
  <c r="C73"/>
  <c r="B73"/>
  <c r="D68"/>
  <c r="C68"/>
  <c r="B68"/>
  <c r="E68"/>
  <c r="D64"/>
  <c r="D78"/>
  <c r="C64"/>
  <c r="C78"/>
  <c r="B64"/>
  <c r="B78"/>
  <c r="B53"/>
  <c r="B58"/>
  <c r="B79" i="36"/>
  <c r="D75"/>
  <c r="D80"/>
  <c r="C75"/>
  <c r="B75"/>
  <c r="B70"/>
  <c r="B66"/>
  <c r="B80"/>
  <c r="D70"/>
  <c r="C70"/>
  <c r="C80"/>
  <c r="D66"/>
  <c r="C66"/>
  <c r="D55"/>
  <c r="D60"/>
  <c r="C55"/>
  <c r="C60"/>
  <c r="B55"/>
  <c r="B60"/>
  <c r="B81" i="34"/>
  <c r="B77"/>
  <c r="B82"/>
  <c r="B72"/>
  <c r="B68"/>
  <c r="B57"/>
  <c r="B62"/>
  <c r="D93" i="21"/>
  <c r="D79"/>
  <c r="C79"/>
  <c r="B79"/>
  <c r="D74"/>
  <c r="D72"/>
  <c r="D75"/>
  <c r="C72"/>
  <c r="C75"/>
  <c r="B72"/>
  <c r="B75"/>
  <c r="B80"/>
  <c r="D70"/>
  <c r="C70"/>
  <c r="B70"/>
  <c r="D66"/>
  <c r="C66"/>
  <c r="B66"/>
  <c r="D55"/>
  <c r="B52"/>
  <c r="C39"/>
  <c r="B39"/>
  <c r="C35"/>
  <c r="D11"/>
  <c r="D10"/>
  <c r="C10"/>
  <c r="C31"/>
  <c r="B10"/>
  <c r="B31"/>
  <c r="B43"/>
  <c r="C8"/>
  <c r="B79" i="26"/>
  <c r="C74"/>
  <c r="C76" i="19"/>
  <c r="C75" i="26"/>
  <c r="B72"/>
  <c r="D70"/>
  <c r="D80"/>
  <c r="C70"/>
  <c r="B70"/>
  <c r="D66"/>
  <c r="C66"/>
  <c r="B66"/>
  <c r="B55"/>
  <c r="B60"/>
  <c r="B31"/>
  <c r="B43"/>
  <c r="D76" i="28"/>
  <c r="D78" i="19"/>
  <c r="D79" i="28"/>
  <c r="C76"/>
  <c r="C78" i="19"/>
  <c r="B76" i="28"/>
  <c r="B78" i="19"/>
  <c r="B76" i="27"/>
  <c r="D74" i="28"/>
  <c r="D76" i="19"/>
  <c r="C72" i="28"/>
  <c r="C74" i="19"/>
  <c r="B72" i="28"/>
  <c r="D70"/>
  <c r="C70"/>
  <c r="B70"/>
  <c r="D66"/>
  <c r="C66"/>
  <c r="B66"/>
  <c r="D55"/>
  <c r="D60"/>
  <c r="C55"/>
  <c r="C60"/>
  <c r="B55"/>
  <c r="B60"/>
  <c r="C8"/>
  <c r="C8" i="19"/>
  <c r="B8" i="28"/>
  <c r="B39"/>
  <c r="B77" i="27"/>
  <c r="B79" i="19"/>
  <c r="B74" i="27"/>
  <c r="B72"/>
  <c r="B75"/>
  <c r="B71"/>
  <c r="B73" i="19"/>
  <c r="B69" i="27"/>
  <c r="B71" i="19"/>
  <c r="B68" i="27"/>
  <c r="B70" i="19"/>
  <c r="B67" i="27"/>
  <c r="B70"/>
  <c r="B65"/>
  <c r="B67" i="19"/>
  <c r="B64" i="27"/>
  <c r="B66" i="19"/>
  <c r="B63" i="27"/>
  <c r="B66"/>
  <c r="B80"/>
  <c r="B59"/>
  <c r="B61" i="19"/>
  <c r="B61" i="23"/>
  <c r="B58" i="27"/>
  <c r="B60" i="19"/>
  <c r="B60" i="23"/>
  <c r="B57" i="27"/>
  <c r="B59" i="19"/>
  <c r="B54" i="27"/>
  <c r="B56" i="19"/>
  <c r="B56" i="23"/>
  <c r="B53" i="27"/>
  <c r="B55" i="19"/>
  <c r="B52" i="27"/>
  <c r="B54" i="19"/>
  <c r="B54" i="23"/>
  <c r="B51" i="27"/>
  <c r="B53" i="19"/>
  <c r="B50" i="27"/>
  <c r="B52" i="19"/>
  <c r="B52" i="23"/>
  <c r="B49" i="27"/>
  <c r="B51" i="19"/>
  <c r="D50" i="23"/>
  <c r="B50" i="19"/>
  <c r="B50" i="23"/>
  <c r="E50"/>
  <c r="F50"/>
  <c r="B48" i="27"/>
  <c r="B47"/>
  <c r="B49" i="19"/>
  <c r="D39" i="27"/>
  <c r="D79" i="29"/>
  <c r="C79"/>
  <c r="B79"/>
  <c r="B75"/>
  <c r="D70"/>
  <c r="B70"/>
  <c r="B80"/>
  <c r="D66"/>
  <c r="C66"/>
  <c r="B66"/>
  <c r="D55"/>
  <c r="D60"/>
  <c r="C55"/>
  <c r="C60"/>
  <c r="B55"/>
  <c r="B60"/>
  <c r="D10"/>
  <c r="B10"/>
  <c r="B31"/>
  <c r="B43"/>
  <c r="E9"/>
  <c r="D79" i="30"/>
  <c r="D70"/>
  <c r="D66"/>
  <c r="D80"/>
  <c r="C79"/>
  <c r="C70"/>
  <c r="C66"/>
  <c r="B79"/>
  <c r="B75"/>
  <c r="B70"/>
  <c r="B66"/>
  <c r="D55"/>
  <c r="D60"/>
  <c r="C55"/>
  <c r="C60"/>
  <c r="B55"/>
  <c r="B60"/>
  <c r="D39"/>
  <c r="D39" i="19"/>
  <c r="B39" i="30"/>
  <c r="D10"/>
  <c r="E10"/>
  <c r="C10"/>
  <c r="C31"/>
  <c r="B10"/>
  <c r="B31"/>
  <c r="D9"/>
  <c r="D9" i="19"/>
  <c r="B79" i="31"/>
  <c r="B80"/>
  <c r="B75"/>
  <c r="B70"/>
  <c r="B66"/>
  <c r="B55"/>
  <c r="B60"/>
  <c r="D10"/>
  <c r="B10"/>
  <c r="B30"/>
  <c r="B43"/>
  <c r="B79" i="32"/>
  <c r="B75"/>
  <c r="B80"/>
  <c r="B70"/>
  <c r="B66"/>
  <c r="B55"/>
  <c r="B60"/>
  <c r="B10"/>
  <c r="B31"/>
  <c r="B43"/>
  <c r="B58" i="10"/>
  <c r="C76" i="1"/>
  <c r="C76" i="12"/>
  <c r="B76" i="1"/>
  <c r="B74"/>
  <c r="C74"/>
  <c r="C74" i="12"/>
  <c r="B81" i="2"/>
  <c r="B77"/>
  <c r="B72"/>
  <c r="B68"/>
  <c r="B57"/>
  <c r="B62"/>
  <c r="B10"/>
  <c r="B31"/>
  <c r="B45"/>
  <c r="B81" i="4"/>
  <c r="B74"/>
  <c r="B77"/>
  <c r="B72"/>
  <c r="B68"/>
  <c r="B57"/>
  <c r="B62"/>
  <c r="B10"/>
  <c r="B31"/>
  <c r="B45"/>
  <c r="C81" i="1"/>
  <c r="B81"/>
  <c r="D77"/>
  <c r="D72"/>
  <c r="C72"/>
  <c r="B72"/>
  <c r="C68"/>
  <c r="B68"/>
  <c r="D66"/>
  <c r="D65"/>
  <c r="D43" i="46"/>
  <c r="D43" i="44"/>
  <c r="C31"/>
  <c r="C66" i="42"/>
  <c r="C70"/>
  <c r="C60" i="41"/>
  <c r="D43" i="48"/>
  <c r="B79" i="51"/>
  <c r="D82" i="34"/>
  <c r="B74" i="26"/>
  <c r="B75"/>
  <c r="D66" i="27"/>
  <c r="B79"/>
  <c r="D79"/>
  <c r="D55"/>
  <c r="D60"/>
  <c r="D75"/>
  <c r="C43" i="30"/>
  <c r="D30" i="31"/>
  <c r="D43"/>
  <c r="D45" i="4"/>
  <c r="D81" i="14"/>
  <c r="D82"/>
  <c r="C81"/>
  <c r="B81"/>
  <c r="B77"/>
  <c r="B72"/>
  <c r="B82"/>
  <c r="B68"/>
  <c r="D77"/>
  <c r="D72"/>
  <c r="D68"/>
  <c r="C73"/>
  <c r="C77"/>
  <c r="C71"/>
  <c r="C70"/>
  <c r="C69"/>
  <c r="C72"/>
  <c r="C67"/>
  <c r="C68"/>
  <c r="D57"/>
  <c r="D62"/>
  <c r="C57"/>
  <c r="C62"/>
  <c r="B57"/>
  <c r="B62"/>
  <c r="D10"/>
  <c r="D31"/>
  <c r="C10"/>
  <c r="C31"/>
  <c r="C45"/>
  <c r="B10"/>
  <c r="B31"/>
  <c r="B45"/>
  <c r="B10" i="1"/>
  <c r="B31"/>
  <c r="D9" i="6"/>
  <c r="D81" i="3"/>
  <c r="C81"/>
  <c r="B81"/>
  <c r="D77"/>
  <c r="C77"/>
  <c r="B77"/>
  <c r="D72"/>
  <c r="C72"/>
  <c r="B72"/>
  <c r="D65"/>
  <c r="C65"/>
  <c r="B65"/>
  <c r="B65" i="22"/>
  <c r="D57" i="3"/>
  <c r="D62"/>
  <c r="C57"/>
  <c r="C62"/>
  <c r="B57"/>
  <c r="B62"/>
  <c r="D39"/>
  <c r="C39"/>
  <c r="C45"/>
  <c r="D10"/>
  <c r="D31"/>
  <c r="C10"/>
  <c r="C31"/>
  <c r="B10"/>
  <c r="B31"/>
  <c r="B45"/>
  <c r="R78" i="16"/>
  <c r="R81"/>
  <c r="Q78"/>
  <c r="Q81"/>
  <c r="Q74"/>
  <c r="Q77"/>
  <c r="Q70"/>
  <c r="Q72"/>
  <c r="Q65"/>
  <c r="Q66"/>
  <c r="Q67"/>
  <c r="Q68"/>
  <c r="P78"/>
  <c r="P81"/>
  <c r="R74"/>
  <c r="R77"/>
  <c r="P74"/>
  <c r="P77"/>
  <c r="R70"/>
  <c r="R72"/>
  <c r="P70"/>
  <c r="P69"/>
  <c r="P72"/>
  <c r="R67"/>
  <c r="P67"/>
  <c r="R66"/>
  <c r="P66"/>
  <c r="R65"/>
  <c r="R68"/>
  <c r="P65"/>
  <c r="P68"/>
  <c r="R56"/>
  <c r="Q56"/>
  <c r="P56"/>
  <c r="R54"/>
  <c r="Q54"/>
  <c r="R52"/>
  <c r="Q52"/>
  <c r="P52"/>
  <c r="R50"/>
  <c r="Q50"/>
  <c r="R49"/>
  <c r="Q49"/>
  <c r="Q57"/>
  <c r="Q62"/>
  <c r="P49"/>
  <c r="P57"/>
  <c r="P62"/>
  <c r="R39"/>
  <c r="Q39"/>
  <c r="R10"/>
  <c r="R8"/>
  <c r="Q10"/>
  <c r="Q8"/>
  <c r="Q31"/>
  <c r="P8"/>
  <c r="P31"/>
  <c r="P45"/>
  <c r="B59" i="13"/>
  <c r="B57"/>
  <c r="B62"/>
  <c r="D57"/>
  <c r="D62"/>
  <c r="B39"/>
  <c r="B20"/>
  <c r="B20" i="18"/>
  <c r="D12" i="23"/>
  <c r="B12"/>
  <c r="E12"/>
  <c r="F12"/>
  <c r="B12" i="13"/>
  <c r="B12" i="10"/>
  <c r="B10" i="13"/>
  <c r="B31"/>
  <c r="B45"/>
  <c r="C8" i="10"/>
  <c r="C8" i="12"/>
  <c r="C43" i="44"/>
  <c r="E65" i="51"/>
  <c r="D81" i="10"/>
  <c r="D77"/>
  <c r="D72"/>
  <c r="D82"/>
  <c r="D68"/>
  <c r="C81"/>
  <c r="C77"/>
  <c r="C72"/>
  <c r="C68"/>
  <c r="B81"/>
  <c r="B77"/>
  <c r="B82"/>
  <c r="B72"/>
  <c r="B68"/>
  <c r="C61"/>
  <c r="C61" i="12"/>
  <c r="C61" i="24"/>
  <c r="C61" i="22"/>
  <c r="C61" i="23"/>
  <c r="C61" i="52"/>
  <c r="C58" i="10"/>
  <c r="D57"/>
  <c r="D62"/>
  <c r="B57"/>
  <c r="C54"/>
  <c r="C50"/>
  <c r="C49"/>
  <c r="C57"/>
  <c r="B41"/>
  <c r="D39"/>
  <c r="C39"/>
  <c r="B39"/>
  <c r="D35"/>
  <c r="C35"/>
  <c r="B35"/>
  <c r="B35" i="9"/>
  <c r="C12" i="10"/>
  <c r="D10"/>
  <c r="D8"/>
  <c r="D31"/>
  <c r="C10"/>
  <c r="C31"/>
  <c r="C45"/>
  <c r="B10"/>
  <c r="B31"/>
  <c r="B8"/>
  <c r="D81" i="9"/>
  <c r="C78"/>
  <c r="C81"/>
  <c r="B78"/>
  <c r="B81"/>
  <c r="B77"/>
  <c r="D72"/>
  <c r="C71"/>
  <c r="C72"/>
  <c r="C68"/>
  <c r="B71"/>
  <c r="D68"/>
  <c r="B66"/>
  <c r="B65"/>
  <c r="B68"/>
  <c r="C58"/>
  <c r="C62"/>
  <c r="B58"/>
  <c r="B31"/>
  <c r="D81" i="7"/>
  <c r="C81"/>
  <c r="B81"/>
  <c r="D77"/>
  <c r="C77"/>
  <c r="B77"/>
  <c r="B72"/>
  <c r="B82"/>
  <c r="B68"/>
  <c r="D72"/>
  <c r="C72"/>
  <c r="D68"/>
  <c r="C68"/>
  <c r="D62"/>
  <c r="C62"/>
  <c r="B62"/>
  <c r="D31"/>
  <c r="D45"/>
  <c r="C31"/>
  <c r="C45"/>
  <c r="B31"/>
  <c r="B45"/>
  <c r="D72" i="5"/>
  <c r="D68"/>
  <c r="C72"/>
  <c r="C68"/>
  <c r="B78"/>
  <c r="B81"/>
  <c r="B74"/>
  <c r="B77"/>
  <c r="B72"/>
  <c r="B68"/>
  <c r="D57"/>
  <c r="D62"/>
  <c r="C57"/>
  <c r="C62"/>
  <c r="B55"/>
  <c r="C10"/>
  <c r="C31"/>
  <c r="C45"/>
  <c r="B10"/>
  <c r="B31"/>
  <c r="B39"/>
  <c r="B45"/>
  <c r="B81" i="11"/>
  <c r="B77"/>
  <c r="B72"/>
  <c r="B68"/>
  <c r="B82"/>
  <c r="B57"/>
  <c r="B62"/>
  <c r="B10"/>
  <c r="B31"/>
  <c r="B45"/>
  <c r="B81" i="8"/>
  <c r="B77"/>
  <c r="B72"/>
  <c r="B68"/>
  <c r="B57"/>
  <c r="B62"/>
  <c r="D10" i="1"/>
  <c r="C10"/>
  <c r="D81" i="11"/>
  <c r="D77"/>
  <c r="D72"/>
  <c r="D68"/>
  <c r="C81"/>
  <c r="C77"/>
  <c r="C72"/>
  <c r="C68"/>
  <c r="D57"/>
  <c r="D62"/>
  <c r="C57"/>
  <c r="C62"/>
  <c r="D10"/>
  <c r="D31"/>
  <c r="C10"/>
  <c r="C31"/>
  <c r="C45"/>
  <c r="F8" i="16"/>
  <c r="F10"/>
  <c r="F12"/>
  <c r="F19"/>
  <c r="F31"/>
  <c r="F39"/>
  <c r="F45"/>
  <c r="B45"/>
  <c r="B102"/>
  <c r="C45"/>
  <c r="D45"/>
  <c r="D102"/>
  <c r="E45"/>
  <c r="F49"/>
  <c r="F50"/>
  <c r="F51"/>
  <c r="F52"/>
  <c r="F53"/>
  <c r="F54"/>
  <c r="F55"/>
  <c r="F56"/>
  <c r="F57"/>
  <c r="F62"/>
  <c r="F65"/>
  <c r="F66"/>
  <c r="F67"/>
  <c r="F68"/>
  <c r="F69"/>
  <c r="F70"/>
  <c r="F71"/>
  <c r="F72"/>
  <c r="F74"/>
  <c r="F77"/>
  <c r="F78"/>
  <c r="F79"/>
  <c r="F81"/>
  <c r="F83"/>
  <c r="A97"/>
  <c r="B97"/>
  <c r="C97"/>
  <c r="D97"/>
  <c r="A98"/>
  <c r="B98"/>
  <c r="C98"/>
  <c r="D98"/>
  <c r="A99"/>
  <c r="B99"/>
  <c r="C99"/>
  <c r="D99"/>
  <c r="A100"/>
  <c r="B100"/>
  <c r="C100"/>
  <c r="D100"/>
  <c r="A101"/>
  <c r="B101"/>
  <c r="C101"/>
  <c r="D101"/>
  <c r="A102"/>
  <c r="C102"/>
  <c r="D81" i="8"/>
  <c r="D77"/>
  <c r="D72"/>
  <c r="D68"/>
  <c r="C81"/>
  <c r="C77"/>
  <c r="C72"/>
  <c r="C68"/>
  <c r="D57"/>
  <c r="D62"/>
  <c r="C57"/>
  <c r="C62"/>
  <c r="D10"/>
  <c r="D50" i="18"/>
  <c r="B50"/>
  <c r="E50"/>
  <c r="F50"/>
  <c r="B58" i="23"/>
  <c r="B58" i="52"/>
  <c r="D29" i="23"/>
  <c r="E29"/>
  <c r="F29"/>
  <c r="D14"/>
  <c r="E14"/>
  <c r="F14"/>
  <c r="D14" i="18"/>
  <c r="E14"/>
  <c r="F14"/>
  <c r="C14"/>
  <c r="D16" i="23"/>
  <c r="B16"/>
  <c r="E16"/>
  <c r="F16"/>
  <c r="D16" i="18"/>
  <c r="B16"/>
  <c r="E16"/>
  <c r="F16"/>
  <c r="D30"/>
  <c r="B30"/>
  <c r="E30"/>
  <c r="F30"/>
  <c r="C30"/>
  <c r="C22"/>
  <c r="C18"/>
  <c r="B11" i="52"/>
  <c r="B43"/>
  <c r="C29"/>
  <c r="C14"/>
  <c r="D23"/>
  <c r="D35"/>
  <c r="D41"/>
  <c r="B41"/>
  <c r="E41"/>
  <c r="F41"/>
  <c r="B13" i="18"/>
  <c r="B29"/>
  <c r="B35" i="52"/>
  <c r="C17"/>
  <c r="C33"/>
  <c r="C35" i="23"/>
  <c r="C35" i="52"/>
  <c r="D37" i="23"/>
  <c r="B57" i="5"/>
  <c r="B62"/>
  <c r="B68" i="3"/>
  <c r="D68"/>
  <c r="C25" i="23"/>
  <c r="D25"/>
  <c r="B25"/>
  <c r="E25"/>
  <c r="F25"/>
  <c r="C27"/>
  <c r="C27" i="18"/>
  <c r="D52" i="23"/>
  <c r="E52"/>
  <c r="F52"/>
  <c r="D54"/>
  <c r="E54"/>
  <c r="F54"/>
  <c r="D56"/>
  <c r="E56"/>
  <c r="F56"/>
  <c r="C66"/>
  <c r="D67"/>
  <c r="C70"/>
  <c r="B79"/>
  <c r="C80"/>
  <c r="B74" i="38"/>
  <c r="C43" i="20"/>
  <c r="C75" i="28"/>
  <c r="B79"/>
  <c r="C79"/>
  <c r="C80"/>
  <c r="B55" i="21"/>
  <c r="B60"/>
  <c r="B66" i="50"/>
  <c r="B25" i="18"/>
  <c r="B31" i="34"/>
  <c r="E31"/>
  <c r="F31"/>
  <c r="D27" i="23"/>
  <c r="B27"/>
  <c r="E27"/>
  <c r="F27"/>
  <c r="D27" i="18"/>
  <c r="B27"/>
  <c r="E27"/>
  <c r="F27"/>
  <c r="D9" i="23"/>
  <c r="C50"/>
  <c r="D51"/>
  <c r="B51"/>
  <c r="E51"/>
  <c r="F51"/>
  <c r="D51" i="18"/>
  <c r="B51"/>
  <c r="E51"/>
  <c r="F51"/>
  <c r="C52" i="23"/>
  <c r="D53"/>
  <c r="B53"/>
  <c r="E53"/>
  <c r="F53"/>
  <c r="D55"/>
  <c r="B59"/>
  <c r="B59" i="22"/>
  <c r="B59" i="52"/>
  <c r="C60" i="23"/>
  <c r="B66"/>
  <c r="B73"/>
  <c r="B80"/>
  <c r="B80" i="52"/>
  <c r="B80" i="18"/>
  <c r="D80" i="23"/>
  <c r="E80"/>
  <c r="F80"/>
  <c r="B54" i="38"/>
  <c r="B59"/>
  <c r="D75" i="23"/>
  <c r="D75" i="52"/>
  <c r="D31" i="30"/>
  <c r="C54" i="23"/>
  <c r="C74"/>
  <c r="D69" i="38"/>
  <c r="B15" i="52"/>
  <c r="B15" i="18"/>
  <c r="B17" i="52"/>
  <c r="B17" i="18"/>
  <c r="B19" i="23"/>
  <c r="B19" i="52"/>
  <c r="B19" i="18"/>
  <c r="B21" i="52"/>
  <c r="B23"/>
  <c r="B23" i="18"/>
  <c r="E69" i="48"/>
  <c r="F69"/>
  <c r="B49" i="22"/>
  <c r="B53"/>
  <c r="B55"/>
  <c r="B56"/>
  <c r="C70" i="24"/>
  <c r="C70" i="22"/>
  <c r="B76"/>
  <c r="C78" i="24"/>
  <c r="C78" i="22"/>
  <c r="C78" i="23"/>
  <c r="C78" i="52"/>
  <c r="C79" i="24"/>
  <c r="D78" i="22"/>
  <c r="E78"/>
  <c r="F78"/>
  <c r="B10" i="49"/>
  <c r="C80" i="46"/>
  <c r="B31" i="49"/>
  <c r="B43"/>
  <c r="C75" i="18"/>
  <c r="B16" i="52"/>
  <c r="B18" i="23"/>
  <c r="B18" i="52"/>
  <c r="B18" i="18"/>
  <c r="B20" i="23"/>
  <c r="B20" i="52"/>
  <c r="B22" i="23"/>
  <c r="B22" i="52"/>
  <c r="B22" i="18"/>
  <c r="B24" i="52"/>
  <c r="B67" i="22"/>
  <c r="B69"/>
  <c r="B72"/>
  <c r="B75" i="50"/>
  <c r="B79"/>
  <c r="B80"/>
  <c r="B52" i="22"/>
  <c r="B52" i="52"/>
  <c r="D52" i="22"/>
  <c r="D52" i="52"/>
  <c r="E52"/>
  <c r="F52"/>
  <c r="C53" i="24"/>
  <c r="C53" i="22"/>
  <c r="B54"/>
  <c r="B54" i="52"/>
  <c r="D55" i="18"/>
  <c r="C67" i="24"/>
  <c r="C71"/>
  <c r="C71" i="22"/>
  <c r="C69" i="24"/>
  <c r="C69" i="22"/>
  <c r="C72"/>
  <c r="C74" i="24"/>
  <c r="C74" i="18"/>
  <c r="B79" i="22"/>
  <c r="C10" i="49"/>
  <c r="C31"/>
  <c r="C43"/>
  <c r="B14" i="52"/>
  <c r="C18"/>
  <c r="D29"/>
  <c r="D8" i="23"/>
  <c r="E8"/>
  <c r="F8"/>
  <c r="B75"/>
  <c r="C39"/>
  <c r="C67" i="22"/>
  <c r="D56"/>
  <c r="D56" i="52"/>
  <c r="B56"/>
  <c r="E56"/>
  <c r="F56"/>
  <c r="C12" i="23"/>
  <c r="C12" i="52"/>
  <c r="D43" i="30"/>
  <c r="C27" i="52"/>
  <c r="D81" i="13"/>
  <c r="D65" i="22"/>
  <c r="E65"/>
  <c r="F65"/>
  <c r="D76"/>
  <c r="D80" i="52"/>
  <c r="E80"/>
  <c r="F80"/>
  <c r="B73"/>
  <c r="C60"/>
  <c r="C50"/>
  <c r="D27"/>
  <c r="B27"/>
  <c r="D39" i="23"/>
  <c r="D65" i="18"/>
  <c r="B10" i="23"/>
  <c r="C11"/>
  <c r="C16"/>
  <c r="C24"/>
  <c r="C10"/>
  <c r="E10"/>
  <c r="F10"/>
  <c r="D60" i="45"/>
  <c r="B10" i="19"/>
  <c r="C10"/>
  <c r="E10"/>
  <c r="F10"/>
  <c r="C8" i="18"/>
  <c r="D45" i="11"/>
  <c r="B49" i="23"/>
  <c r="B57" i="19"/>
  <c r="B62"/>
  <c r="B67" i="23"/>
  <c r="B67" i="52"/>
  <c r="B67" i="18"/>
  <c r="D31" i="21"/>
  <c r="D74" i="22"/>
  <c r="E74"/>
  <c r="F74"/>
  <c r="C43" i="48"/>
  <c r="E43"/>
  <c r="F43"/>
  <c r="E31"/>
  <c r="F31"/>
  <c r="D43" i="41"/>
  <c r="D60" i="42"/>
  <c r="B61" i="22"/>
  <c r="B61" i="18"/>
  <c r="D61" i="22"/>
  <c r="E61"/>
  <c r="F61"/>
  <c r="D67"/>
  <c r="E67"/>
  <c r="F67"/>
  <c r="D8"/>
  <c r="D25"/>
  <c r="C76" i="18"/>
  <c r="C76" i="23"/>
  <c r="C76" i="52"/>
  <c r="C68" i="19"/>
  <c r="C65" i="23"/>
  <c r="B61" i="52"/>
  <c r="E80" i="48"/>
  <c r="F80"/>
  <c r="B43" i="42"/>
  <c r="R82" i="16"/>
  <c r="B45" i="1"/>
  <c r="D45" i="14"/>
  <c r="B77" i="1"/>
  <c r="B50" i="52"/>
  <c r="B51"/>
  <c r="B53"/>
  <c r="B53" i="18"/>
  <c r="B71" i="23"/>
  <c r="B71" i="52"/>
  <c r="D76" i="18"/>
  <c r="D76" i="23"/>
  <c r="B81" i="19"/>
  <c r="B75" i="22"/>
  <c r="B75" i="18"/>
  <c r="C80"/>
  <c r="C80" i="22"/>
  <c r="D60" i="47"/>
  <c r="D12" i="22"/>
  <c r="D12" i="18"/>
  <c r="C55" i="23"/>
  <c r="C53" i="18"/>
  <c r="C53" i="23"/>
  <c r="C51" i="18"/>
  <c r="C51" i="23"/>
  <c r="C57" i="19"/>
  <c r="C49" i="23"/>
  <c r="C71"/>
  <c r="B75" i="52"/>
  <c r="C82" i="9"/>
  <c r="B45" i="10"/>
  <c r="D12" i="52"/>
  <c r="B80" i="42"/>
  <c r="C31" i="1"/>
  <c r="E54" i="51"/>
  <c r="E59"/>
  <c r="D80" i="50"/>
  <c r="C80"/>
  <c r="E55" i="48"/>
  <c r="F55"/>
  <c r="C60"/>
  <c r="D60" i="19"/>
  <c r="E60"/>
  <c r="F60"/>
  <c r="C56" i="12"/>
  <c r="C57" i="13"/>
  <c r="C62"/>
  <c r="C49" i="12"/>
  <c r="C68" i="13"/>
  <c r="C65" i="12"/>
  <c r="C65" i="18"/>
  <c r="D72" i="13"/>
  <c r="B79" i="18"/>
  <c r="B78" i="13"/>
  <c r="C31" i="4"/>
  <c r="C45"/>
  <c r="D62"/>
  <c r="C82"/>
  <c r="D45" i="9"/>
  <c r="C16" i="52"/>
  <c r="C16" i="18"/>
  <c r="D31" i="27"/>
  <c r="D43"/>
  <c r="E10"/>
  <c r="D43" i="39"/>
  <c r="D31" i="38"/>
  <c r="D43"/>
  <c r="E10"/>
  <c r="C56" i="25"/>
  <c r="C57"/>
  <c r="C54" i="38"/>
  <c r="C59"/>
  <c r="D43" i="35"/>
  <c r="D43" i="28"/>
  <c r="C35" i="12"/>
  <c r="B31" i="28"/>
  <c r="B43"/>
  <c r="B74" i="19"/>
  <c r="C81" i="48"/>
  <c r="C80" i="29"/>
  <c r="C35" i="18"/>
  <c r="C70" i="12"/>
  <c r="C70" i="18"/>
  <c r="C82" i="5"/>
  <c r="D82" i="4"/>
  <c r="D82" i="9"/>
  <c r="B82" i="1"/>
  <c r="B65" i="19"/>
  <c r="B69"/>
  <c r="D68"/>
  <c r="D69"/>
  <c r="E69"/>
  <c r="F69"/>
  <c r="D73"/>
  <c r="E73"/>
  <c r="F73"/>
  <c r="C72"/>
  <c r="C73"/>
  <c r="D77" i="25"/>
  <c r="C77"/>
  <c r="B82"/>
  <c r="D13" i="18"/>
  <c r="E13"/>
  <c r="F13"/>
  <c r="E74" i="51"/>
  <c r="C10" i="42"/>
  <c r="D80" i="35"/>
  <c r="C21" i="22"/>
  <c r="C21" i="18"/>
  <c r="D43" i="52"/>
  <c r="E43"/>
  <c r="F43"/>
  <c r="D80" i="32"/>
  <c r="D60" i="26"/>
  <c r="D10" i="13"/>
  <c r="C8" i="23"/>
  <c r="E77" i="40"/>
  <c r="E78" i="51"/>
  <c r="C41" i="22"/>
  <c r="C31" i="32"/>
  <c r="C43"/>
  <c r="E10"/>
  <c r="D60"/>
  <c r="D59" i="19"/>
  <c r="E59"/>
  <c r="F59"/>
  <c r="D70"/>
  <c r="E70"/>
  <c r="F70"/>
  <c r="C79"/>
  <c r="C79" i="27"/>
  <c r="D43" i="26"/>
  <c r="C39" i="12"/>
  <c r="C45" i="13"/>
  <c r="D68"/>
  <c r="D31" i="2"/>
  <c r="D82"/>
  <c r="D31" i="5"/>
  <c r="D22" i="23"/>
  <c r="E22"/>
  <c r="F22"/>
  <c r="D22" i="18"/>
  <c r="E22"/>
  <c r="F22"/>
  <c r="D18" i="23"/>
  <c r="E18"/>
  <c r="F18"/>
  <c r="D18" i="18"/>
  <c r="E18"/>
  <c r="F18"/>
  <c r="D58" i="23"/>
  <c r="E58"/>
  <c r="F58"/>
  <c r="D58" i="18"/>
  <c r="B11"/>
  <c r="D60" i="39"/>
  <c r="D80"/>
  <c r="C74" i="38"/>
  <c r="C79"/>
  <c r="C31" i="19"/>
  <c r="C31" i="28"/>
  <c r="C43"/>
  <c r="E10"/>
  <c r="D80" i="41"/>
  <c r="D79" i="42"/>
  <c r="C80" i="49"/>
  <c r="D24" i="52"/>
  <c r="E24"/>
  <c r="F24"/>
  <c r="D80" i="20"/>
  <c r="D80" i="29"/>
  <c r="C66" i="27"/>
  <c r="C80" i="26"/>
  <c r="B56" i="18"/>
  <c r="D56"/>
  <c r="E56"/>
  <c r="F56"/>
  <c r="D51" i="52"/>
  <c r="E51"/>
  <c r="F51"/>
  <c r="D78" i="23"/>
  <c r="B78"/>
  <c r="E78"/>
  <c r="F78"/>
  <c r="D55" i="22"/>
  <c r="E55"/>
  <c r="F55"/>
  <c r="C65"/>
  <c r="D49" i="18"/>
  <c r="D49" i="22"/>
  <c r="E49"/>
  <c r="F49"/>
  <c r="D80" i="18"/>
  <c r="E80"/>
  <c r="F80"/>
  <c r="D11" i="23"/>
  <c r="E11"/>
  <c r="F11"/>
  <c r="C49" i="24"/>
  <c r="C59" i="18"/>
  <c r="D80" i="46"/>
  <c r="D10" i="49"/>
  <c r="C73" i="24"/>
  <c r="C55"/>
  <c r="C52"/>
  <c r="C39"/>
  <c r="E77" i="48"/>
  <c r="F77"/>
  <c r="E47"/>
  <c r="F47"/>
  <c r="D74" i="38"/>
  <c r="D79"/>
  <c r="B73" i="18"/>
  <c r="C69" i="23"/>
  <c r="D66"/>
  <c r="E66"/>
  <c r="F66"/>
  <c r="C56"/>
  <c r="C56" i="52"/>
  <c r="D70" i="27"/>
  <c r="D80"/>
  <c r="B69" i="38"/>
  <c r="D79" i="23"/>
  <c r="E79"/>
  <c r="F79"/>
  <c r="B70"/>
  <c r="B70" i="52"/>
  <c r="D65" i="23"/>
  <c r="B60" i="18"/>
  <c r="D45" i="10"/>
  <c r="D20" i="23"/>
  <c r="E20"/>
  <c r="F20"/>
  <c r="C62" i="10"/>
  <c r="D33" i="52"/>
  <c r="E33"/>
  <c r="F33"/>
  <c r="C9" i="18"/>
  <c r="C37"/>
  <c r="D23"/>
  <c r="E23"/>
  <c r="F23"/>
  <c r="D19"/>
  <c r="E19"/>
  <c r="F19"/>
  <c r="D15"/>
  <c r="E15"/>
  <c r="F15"/>
  <c r="D29"/>
  <c r="E29"/>
  <c r="F29"/>
  <c r="D31" i="8"/>
  <c r="C82"/>
  <c r="C82" i="11"/>
  <c r="D31" i="1"/>
  <c r="C82" i="7"/>
  <c r="B62" i="10"/>
  <c r="D35" i="18"/>
  <c r="C58" i="12"/>
  <c r="E69" i="51"/>
  <c r="D60" i="41"/>
  <c r="C81" i="13"/>
  <c r="Q82" i="16"/>
  <c r="D45" i="3"/>
  <c r="C82" i="14"/>
  <c r="D45" i="34"/>
  <c r="E66" i="48"/>
  <c r="F66"/>
  <c r="B60" i="41"/>
  <c r="D68" i="1"/>
  <c r="B82" i="4"/>
  <c r="B82" i="2"/>
  <c r="C80" i="30"/>
  <c r="D31" i="29"/>
  <c r="B75" i="28"/>
  <c r="B80"/>
  <c r="D72"/>
  <c r="D60" i="21"/>
  <c r="E64" i="40"/>
  <c r="E73"/>
  <c r="E10" i="37"/>
  <c r="E31" i="51"/>
  <c r="E10" i="48"/>
  <c r="F10"/>
  <c r="D81"/>
  <c r="E81"/>
  <c r="F81"/>
  <c r="C25" i="24"/>
  <c r="D9" i="18"/>
  <c r="D79" i="49"/>
  <c r="D80"/>
  <c r="C80" i="44"/>
  <c r="C80" i="35"/>
  <c r="D17" i="18"/>
  <c r="E17"/>
  <c r="F17"/>
  <c r="C43" i="21"/>
  <c r="C52"/>
  <c r="C55"/>
  <c r="C20" i="18"/>
  <c r="B29" i="52"/>
  <c r="C24"/>
  <c r="D17"/>
  <c r="E17"/>
  <c r="F17"/>
  <c r="C80" i="20"/>
  <c r="C70" i="27"/>
  <c r="C12" i="12"/>
  <c r="C50"/>
  <c r="C71"/>
  <c r="C71" i="18"/>
  <c r="C69" i="12"/>
  <c r="C69" i="18"/>
  <c r="C72"/>
  <c r="C73" i="12"/>
  <c r="C78"/>
  <c r="C78" i="18"/>
  <c r="C79"/>
  <c r="C81"/>
  <c r="D82" i="5"/>
  <c r="C33" i="18"/>
  <c r="D61" i="19"/>
  <c r="E61"/>
  <c r="F61"/>
  <c r="D71"/>
  <c r="D81"/>
  <c r="E81"/>
  <c r="F81"/>
  <c r="C45" i="25"/>
  <c r="C72"/>
  <c r="D25" i="18"/>
  <c r="E25"/>
  <c r="F25"/>
  <c r="E60" i="48"/>
  <c r="F60"/>
  <c r="D31" i="45"/>
  <c r="D80"/>
  <c r="C12" i="18"/>
  <c r="C45" i="19"/>
  <c r="D61" i="18"/>
  <c r="E61"/>
  <c r="F61"/>
  <c r="D43" i="29"/>
  <c r="D45" i="1"/>
  <c r="D45" i="8"/>
  <c r="D20" i="52"/>
  <c r="E20"/>
  <c r="F20"/>
  <c r="C72" i="23"/>
  <c r="C69" i="52"/>
  <c r="C52" i="18"/>
  <c r="C52" i="22"/>
  <c r="C73"/>
  <c r="C77" i="24"/>
  <c r="D31" i="49"/>
  <c r="D43"/>
  <c r="D69" i="22"/>
  <c r="E69"/>
  <c r="F69"/>
  <c r="D59"/>
  <c r="E59"/>
  <c r="F59"/>
  <c r="D54"/>
  <c r="E54"/>
  <c r="F54"/>
  <c r="C72" i="24"/>
  <c r="D78" i="52"/>
  <c r="B78"/>
  <c r="E78"/>
  <c r="F78"/>
  <c r="D81" i="23"/>
  <c r="D58" i="52"/>
  <c r="E58"/>
  <c r="F58"/>
  <c r="D18"/>
  <c r="E18"/>
  <c r="F18"/>
  <c r="D22"/>
  <c r="E22"/>
  <c r="F22"/>
  <c r="D45" i="5"/>
  <c r="D45" i="2"/>
  <c r="C79" i="23"/>
  <c r="D70"/>
  <c r="E70"/>
  <c r="F70"/>
  <c r="D59"/>
  <c r="E59"/>
  <c r="F59"/>
  <c r="D59" i="18"/>
  <c r="C8" i="52"/>
  <c r="D11" i="18"/>
  <c r="E11"/>
  <c r="D20"/>
  <c r="E20"/>
  <c r="F20"/>
  <c r="C77" i="19"/>
  <c r="C73" i="18"/>
  <c r="C73" i="23"/>
  <c r="D69"/>
  <c r="D69" i="18"/>
  <c r="B69"/>
  <c r="E69"/>
  <c r="F69"/>
  <c r="B72" i="19"/>
  <c r="B69" i="23"/>
  <c r="B74"/>
  <c r="B74" i="18"/>
  <c r="D79"/>
  <c r="E79"/>
  <c r="F79"/>
  <c r="D75"/>
  <c r="E75"/>
  <c r="F75"/>
  <c r="B78"/>
  <c r="B81"/>
  <c r="B81" i="13"/>
  <c r="D78" i="18"/>
  <c r="E78"/>
  <c r="F78"/>
  <c r="C56"/>
  <c r="D60"/>
  <c r="E60"/>
  <c r="F60"/>
  <c r="D60" i="23"/>
  <c r="E60"/>
  <c r="F60"/>
  <c r="C31" i="12"/>
  <c r="C45" i="1"/>
  <c r="C57" i="23"/>
  <c r="C51" i="52"/>
  <c r="C80"/>
  <c r="D43" i="21"/>
  <c r="C10" i="24"/>
  <c r="C39" i="18"/>
  <c r="D82" i="1"/>
  <c r="C31" i="25"/>
  <c r="C21" i="52"/>
  <c r="D43" i="45"/>
  <c r="D71" i="18"/>
  <c r="D74" i="19"/>
  <c r="E74"/>
  <c r="F74"/>
  <c r="D77"/>
  <c r="C25" i="22"/>
  <c r="C31" i="24"/>
  <c r="C45"/>
  <c r="D73" i="22"/>
  <c r="E73"/>
  <c r="F73"/>
  <c r="D75" i="28"/>
  <c r="C58" i="18"/>
  <c r="D65" i="52"/>
  <c r="D68" i="23"/>
  <c r="C39" i="22"/>
  <c r="C55"/>
  <c r="C55" i="18"/>
  <c r="D71" i="22"/>
  <c r="E71"/>
  <c r="F71"/>
  <c r="C49"/>
  <c r="D66"/>
  <c r="D10" i="23"/>
  <c r="D11" i="52"/>
  <c r="E11"/>
  <c r="F11"/>
  <c r="D80" i="42"/>
  <c r="C31" i="23"/>
  <c r="C45"/>
  <c r="C11" i="52"/>
  <c r="C41"/>
  <c r="D31" i="13"/>
  <c r="D45"/>
  <c r="E10"/>
  <c r="C31" i="42"/>
  <c r="D73" i="23"/>
  <c r="E73"/>
  <c r="F73"/>
  <c r="D73" i="18"/>
  <c r="E73"/>
  <c r="F73"/>
  <c r="B68" i="19"/>
  <c r="B65" i="23"/>
  <c r="B68"/>
  <c r="D66" i="18"/>
  <c r="C62" i="19"/>
  <c r="D76" i="52"/>
  <c r="B54" i="1"/>
  <c r="C65" i="52"/>
  <c r="D25"/>
  <c r="D8"/>
  <c r="C80" i="27"/>
  <c r="C81" i="12"/>
  <c r="C81" i="19"/>
  <c r="C82"/>
  <c r="C49" i="18"/>
  <c r="D67"/>
  <c r="E67"/>
  <c r="F67"/>
  <c r="D55" i="52"/>
  <c r="D39" i="18"/>
  <c r="B65" i="52"/>
  <c r="D73"/>
  <c r="E73"/>
  <c r="F73"/>
  <c r="B81" i="23"/>
  <c r="D81" i="18"/>
  <c r="E81"/>
  <c r="F81"/>
  <c r="B82" i="13"/>
  <c r="D69" i="52"/>
  <c r="D10" i="18"/>
  <c r="D70" i="52"/>
  <c r="E70"/>
  <c r="F70"/>
  <c r="C52"/>
  <c r="D54" i="1"/>
  <c r="E80" i="49"/>
  <c r="B54" i="18"/>
  <c r="B57" i="1"/>
  <c r="D68" i="18"/>
  <c r="C43" i="42"/>
  <c r="D31" i="23"/>
  <c r="D68" i="22"/>
  <c r="C39" i="52"/>
  <c r="D80" i="28"/>
  <c r="D74" i="23"/>
  <c r="D74" i="52"/>
  <c r="B74"/>
  <c r="E74"/>
  <c r="F74"/>
  <c r="D77" i="22"/>
  <c r="C60" i="21"/>
  <c r="C62" i="23"/>
  <c r="C45" i="12"/>
  <c r="C54" i="1"/>
  <c r="D60" i="52"/>
  <c r="B69"/>
  <c r="B72"/>
  <c r="B72" i="23"/>
  <c r="C77"/>
  <c r="C73" i="52"/>
  <c r="D59"/>
  <c r="C81" i="23"/>
  <c r="D54" i="52"/>
  <c r="E54"/>
  <c r="F54"/>
  <c r="D72" i="22"/>
  <c r="E72"/>
  <c r="F72"/>
  <c r="E31" i="49"/>
  <c r="C49" i="52"/>
  <c r="D66"/>
  <c r="D57" i="1"/>
  <c r="C54" i="12"/>
  <c r="C57" i="1"/>
  <c r="D45" i="23"/>
  <c r="B62" i="1"/>
  <c r="D77" i="23"/>
  <c r="C62" i="1"/>
  <c r="C62" i="12"/>
  <c r="C57"/>
  <c r="D62" i="1"/>
  <c r="D54" i="18"/>
  <c r="E54"/>
  <c r="F54"/>
  <c r="E79" i="51"/>
  <c r="E78" i="40"/>
  <c r="E30"/>
  <c r="E74" i="38"/>
  <c r="F74"/>
  <c r="E77" i="25"/>
  <c r="F77"/>
  <c r="F11" i="18"/>
  <c r="C62" i="25"/>
  <c r="B79" i="52"/>
  <c r="B81"/>
  <c r="B81" i="22"/>
  <c r="E21"/>
  <c r="F21"/>
  <c r="D21" i="52"/>
  <c r="E21"/>
  <c r="F21"/>
  <c r="E16" i="22"/>
  <c r="F16"/>
  <c r="D16" i="52"/>
  <c r="E16"/>
  <c r="F16"/>
  <c r="C10" i="22"/>
  <c r="C31"/>
  <c r="C45"/>
  <c r="C13" i="52"/>
  <c r="E60" i="22"/>
  <c r="F60"/>
  <c r="D14" i="52"/>
  <c r="E14"/>
  <c r="F14"/>
  <c r="E14" i="22"/>
  <c r="F14"/>
  <c r="E13"/>
  <c r="F13"/>
  <c r="D13" i="52"/>
  <c r="E13"/>
  <c r="F13"/>
  <c r="D10" i="22"/>
  <c r="E68" i="23"/>
  <c r="F68"/>
  <c r="E27" i="52"/>
  <c r="F27"/>
  <c r="E76" i="22"/>
  <c r="F76"/>
  <c r="D72" i="19"/>
  <c r="E72"/>
  <c r="F72"/>
  <c r="E71"/>
  <c r="F71"/>
  <c r="E59" i="52"/>
  <c r="F59"/>
  <c r="E69"/>
  <c r="F69"/>
  <c r="E65"/>
  <c r="F65"/>
  <c r="E69" i="23"/>
  <c r="F69"/>
  <c r="C77" i="18"/>
  <c r="D9" i="22"/>
  <c r="C50" i="18"/>
  <c r="D61" i="23"/>
  <c r="C82" i="25"/>
  <c r="C53" i="52"/>
  <c r="B77" i="22"/>
  <c r="E77"/>
  <c r="F77"/>
  <c r="E25"/>
  <c r="F25"/>
  <c r="E8"/>
  <c r="F8"/>
  <c r="C74"/>
  <c r="C74" i="52"/>
  <c r="C77"/>
  <c r="E29"/>
  <c r="F29"/>
  <c r="C81" i="24"/>
  <c r="E75" i="23"/>
  <c r="F75"/>
  <c r="B45" i="34"/>
  <c r="E45"/>
  <c r="F45"/>
  <c r="D50" i="52"/>
  <c r="E50"/>
  <c r="F50"/>
  <c r="B70" i="18"/>
  <c r="E78" i="19"/>
  <c r="F78"/>
  <c r="E75" i="22"/>
  <c r="F75"/>
  <c r="C41" i="18"/>
  <c r="C23" i="52"/>
  <c r="C58"/>
  <c r="D19"/>
  <c r="E19"/>
  <c r="F19"/>
  <c r="E17" i="22"/>
  <c r="F17"/>
  <c r="E15"/>
  <c r="F15"/>
  <c r="E51"/>
  <c r="F51"/>
  <c r="E55" i="19"/>
  <c r="F55"/>
  <c r="E53"/>
  <c r="F53"/>
  <c r="E51"/>
  <c r="F51"/>
  <c r="E49"/>
  <c r="F49"/>
  <c r="E67"/>
  <c r="F67"/>
  <c r="E65"/>
  <c r="F65"/>
  <c r="E33"/>
  <c r="F33"/>
  <c r="C22" i="52"/>
  <c r="E58" i="19"/>
  <c r="F58"/>
  <c r="E75"/>
  <c r="F75"/>
  <c r="B9"/>
  <c r="E29"/>
  <c r="F29"/>
  <c r="E24"/>
  <c r="F24"/>
  <c r="E22"/>
  <c r="F22"/>
  <c r="E20"/>
  <c r="F20"/>
  <c r="E18"/>
  <c r="F18"/>
  <c r="E16"/>
  <c r="F16"/>
  <c r="D10"/>
  <c r="D31"/>
  <c r="E8"/>
  <c r="F8"/>
  <c r="E25"/>
  <c r="F25"/>
  <c r="E19" i="23"/>
  <c r="F19"/>
  <c r="E9" i="19"/>
  <c r="F9"/>
  <c r="D82"/>
  <c r="B37"/>
  <c r="E37" i="34"/>
  <c r="F37"/>
  <c r="E8" i="52"/>
  <c r="F8"/>
  <c r="E81" i="23"/>
  <c r="F81"/>
  <c r="E65"/>
  <c r="F65"/>
  <c r="E68" i="19"/>
  <c r="F68"/>
  <c r="C71" i="52"/>
  <c r="E75"/>
  <c r="F75"/>
  <c r="B25"/>
  <c r="E25"/>
  <c r="F25"/>
  <c r="E67" i="23"/>
  <c r="F67"/>
  <c r="E35" i="52"/>
  <c r="F35"/>
  <c r="E23"/>
  <c r="F23"/>
  <c r="B60"/>
  <c r="E60"/>
  <c r="F60"/>
  <c r="E29" i="22"/>
  <c r="F29"/>
  <c r="E35"/>
  <c r="F35"/>
  <c r="E56" i="19"/>
  <c r="F56"/>
  <c r="E54"/>
  <c r="F54"/>
  <c r="E52"/>
  <c r="F52"/>
  <c r="E50"/>
  <c r="F50"/>
  <c r="E66"/>
  <c r="F66"/>
  <c r="E79"/>
  <c r="F79"/>
  <c r="E30"/>
  <c r="F30"/>
  <c r="E27"/>
  <c r="F27"/>
  <c r="E23"/>
  <c r="F23"/>
  <c r="E21"/>
  <c r="F21"/>
  <c r="E19"/>
  <c r="F19"/>
  <c r="E17"/>
  <c r="F17"/>
  <c r="E15"/>
  <c r="F15"/>
  <c r="E13"/>
  <c r="F13"/>
  <c r="E11"/>
  <c r="F11"/>
  <c r="E74" i="23"/>
  <c r="F74"/>
  <c r="E30" i="22"/>
  <c r="F30"/>
  <c r="E52"/>
  <c r="F52"/>
  <c r="E56"/>
  <c r="F56"/>
  <c r="E12" i="19"/>
  <c r="F12"/>
  <c r="D77" i="52"/>
  <c r="C55"/>
  <c r="C70"/>
  <c r="C72"/>
  <c r="B49"/>
  <c r="B57" i="22"/>
  <c r="B62"/>
  <c r="C25" i="52"/>
  <c r="D31" i="22"/>
  <c r="D82" i="7"/>
  <c r="B58" i="18"/>
  <c r="E58"/>
  <c r="F58"/>
  <c r="B62" i="9"/>
  <c r="B71" i="18"/>
  <c r="B72"/>
  <c r="B72" i="9"/>
  <c r="B82"/>
  <c r="B35" i="18"/>
  <c r="E35"/>
  <c r="F35"/>
  <c r="B45" i="9"/>
  <c r="D43" i="50"/>
  <c r="D82" i="8"/>
  <c r="D82" i="11"/>
  <c r="C82" i="10"/>
  <c r="B55" i="23"/>
  <c r="E55"/>
  <c r="F55"/>
  <c r="B59" i="18"/>
  <c r="E59"/>
  <c r="F59"/>
  <c r="B80" i="26"/>
  <c r="R31" i="16"/>
  <c r="R45"/>
  <c r="D39" i="22"/>
  <c r="C68" i="3"/>
  <c r="D80" i="21"/>
  <c r="D71" i="23"/>
  <c r="E71"/>
  <c r="F71"/>
  <c r="D52" i="18"/>
  <c r="D8"/>
  <c r="B8"/>
  <c r="C25"/>
  <c r="D67" i="52"/>
  <c r="E67"/>
  <c r="F67"/>
  <c r="B49" i="18"/>
  <c r="E49"/>
  <c r="F49"/>
  <c r="B52"/>
  <c r="B55"/>
  <c r="E55"/>
  <c r="F55"/>
  <c r="D79" i="22"/>
  <c r="E79"/>
  <c r="F79"/>
  <c r="C79"/>
  <c r="B82" i="8"/>
  <c r="B82" i="5"/>
  <c r="C61" i="18"/>
  <c r="Q45" i="16"/>
  <c r="R57"/>
  <c r="R62"/>
  <c r="P82"/>
  <c r="B82" i="3"/>
  <c r="D82"/>
  <c r="C80" i="21"/>
  <c r="C80" i="42"/>
  <c r="D15" i="52"/>
  <c r="E15"/>
  <c r="F15"/>
  <c r="C77" i="1"/>
  <c r="B43" i="30"/>
  <c r="B55" i="27"/>
  <c r="B60"/>
  <c r="B65" i="38"/>
  <c r="B79"/>
  <c r="E79"/>
  <c r="F79"/>
  <c r="C60" i="42"/>
  <c r="B80" i="47"/>
  <c r="D80"/>
  <c r="C66" i="24"/>
  <c r="B79" i="49"/>
  <c r="B80"/>
  <c r="D80" i="44"/>
  <c r="C67" i="23"/>
  <c r="C30" i="52"/>
  <c r="B80" i="30"/>
  <c r="B76" i="19"/>
  <c r="E76"/>
  <c r="F76"/>
  <c r="C54" i="24"/>
  <c r="D49" i="23"/>
  <c r="E49"/>
  <c r="F49"/>
  <c r="D57" i="19"/>
  <c r="E57"/>
  <c r="F57"/>
  <c r="D77" i="13"/>
  <c r="D53" i="18"/>
  <c r="E53"/>
  <c r="F53"/>
  <c r="D43" i="20"/>
  <c r="C29" i="18"/>
  <c r="C67" i="12"/>
  <c r="B65" i="18"/>
  <c r="E65"/>
  <c r="F65"/>
  <c r="C20" i="52"/>
  <c r="C37"/>
  <c r="C9"/>
  <c r="C66" i="12"/>
  <c r="C72" i="13"/>
  <c r="B66" i="18"/>
  <c r="E66"/>
  <c r="F66"/>
  <c r="B39" i="22"/>
  <c r="B39" i="19"/>
  <c r="B39" i="18"/>
  <c r="E39"/>
  <c r="F39"/>
  <c r="D54" i="38"/>
  <c r="D59"/>
  <c r="E10" i="35"/>
  <c r="E42" i="40"/>
  <c r="D45" i="19"/>
  <c r="B37" i="23"/>
  <c r="B37" i="18"/>
  <c r="C77" i="22"/>
  <c r="E71" i="18"/>
  <c r="F71"/>
  <c r="D39" i="52"/>
  <c r="E39" i="22"/>
  <c r="F39"/>
  <c r="B9" i="23"/>
  <c r="B9" i="18"/>
  <c r="E9"/>
  <c r="F9"/>
  <c r="E61" i="23"/>
  <c r="F61"/>
  <c r="D61" i="52"/>
  <c r="E61"/>
  <c r="F61"/>
  <c r="D9"/>
  <c r="E9" i="22"/>
  <c r="F9"/>
  <c r="E8" i="18"/>
  <c r="F8"/>
  <c r="E52"/>
  <c r="F52"/>
  <c r="E39" i="19"/>
  <c r="F39"/>
  <c r="E37"/>
  <c r="F37"/>
  <c r="B31"/>
  <c r="E31"/>
  <c r="F31"/>
  <c r="C10" i="52"/>
  <c r="D70" i="18"/>
  <c r="E70"/>
  <c r="F70"/>
  <c r="D57" i="23"/>
  <c r="D49" i="52"/>
  <c r="E49"/>
  <c r="F49"/>
  <c r="B66" i="22"/>
  <c r="E66"/>
  <c r="F66"/>
  <c r="B76" i="18"/>
  <c r="B76" i="23"/>
  <c r="E76"/>
  <c r="F76"/>
  <c r="B77" i="19"/>
  <c r="C67" i="52"/>
  <c r="C68" i="23"/>
  <c r="B12" i="22"/>
  <c r="E12"/>
  <c r="F12"/>
  <c r="B12" i="18"/>
  <c r="D37" i="22"/>
  <c r="E37"/>
  <c r="F37"/>
  <c r="D37" i="18"/>
  <c r="E37"/>
  <c r="F37"/>
  <c r="D79" i="52"/>
  <c r="E79"/>
  <c r="F79"/>
  <c r="D31" i="18"/>
  <c r="D57"/>
  <c r="C72" i="12"/>
  <c r="C82" i="13"/>
  <c r="D74" i="18"/>
  <c r="E74"/>
  <c r="F74"/>
  <c r="B39" i="23"/>
  <c r="E39"/>
  <c r="F39"/>
  <c r="B45" i="19"/>
  <c r="C67" i="18"/>
  <c r="D53" i="22"/>
  <c r="E53"/>
  <c r="F53"/>
  <c r="D82" i="13"/>
  <c r="D62" i="19"/>
  <c r="E62"/>
  <c r="F62"/>
  <c r="C54" i="22"/>
  <c r="C54" i="18"/>
  <c r="C57" i="24"/>
  <c r="C62"/>
  <c r="C66" i="22"/>
  <c r="C68" i="24"/>
  <c r="C82" i="1"/>
  <c r="C77" i="12"/>
  <c r="D10" i="52"/>
  <c r="C79"/>
  <c r="C81"/>
  <c r="C81" i="22"/>
  <c r="D71" i="52"/>
  <c r="E71"/>
  <c r="F71"/>
  <c r="D72" i="23"/>
  <c r="E72"/>
  <c r="F72"/>
  <c r="C82" i="3"/>
  <c r="C68" i="12"/>
  <c r="D45" i="22"/>
  <c r="B55" i="52"/>
  <c r="B57" i="23"/>
  <c r="B62"/>
  <c r="B68" i="18"/>
  <c r="E68"/>
  <c r="F68"/>
  <c r="C31" i="52"/>
  <c r="C45"/>
  <c r="C66" i="18"/>
  <c r="B57"/>
  <c r="B62"/>
  <c r="C10"/>
  <c r="D81" i="22"/>
  <c r="E81"/>
  <c r="F81"/>
  <c r="D68" i="52"/>
  <c r="E43" i="49"/>
  <c r="B9" i="52"/>
  <c r="B31" i="23"/>
  <c r="E31"/>
  <c r="F31"/>
  <c r="E9"/>
  <c r="F9"/>
  <c r="B37" i="52"/>
  <c r="E37" i="23"/>
  <c r="F37"/>
  <c r="E57" i="18"/>
  <c r="F57"/>
  <c r="E9" i="52"/>
  <c r="F9"/>
  <c r="B57"/>
  <c r="B62"/>
  <c r="E55"/>
  <c r="F55"/>
  <c r="B10" i="18"/>
  <c r="B31"/>
  <c r="B45"/>
  <c r="E12"/>
  <c r="B82" i="19"/>
  <c r="E82"/>
  <c r="F82"/>
  <c r="E77"/>
  <c r="F77"/>
  <c r="B77" i="18"/>
  <c r="E76"/>
  <c r="F76"/>
  <c r="E31"/>
  <c r="F31"/>
  <c r="E57" i="23"/>
  <c r="F57"/>
  <c r="E45" i="19"/>
  <c r="F45"/>
  <c r="D82" i="22"/>
  <c r="D82" i="23"/>
  <c r="C82" i="24"/>
  <c r="C66" i="52"/>
  <c r="C68" i="22"/>
  <c r="C57" i="18"/>
  <c r="C62"/>
  <c r="C57" i="22"/>
  <c r="C62"/>
  <c r="C54" i="52"/>
  <c r="D53"/>
  <c r="E53"/>
  <c r="F53"/>
  <c r="D57" i="22"/>
  <c r="E57"/>
  <c r="F57"/>
  <c r="B45" i="23"/>
  <c r="E45"/>
  <c r="F45"/>
  <c r="B39" i="52"/>
  <c r="E39"/>
  <c r="F39"/>
  <c r="D82" i="25"/>
  <c r="E82"/>
  <c r="F82"/>
  <c r="D81" i="52"/>
  <c r="E81"/>
  <c r="F81"/>
  <c r="D45" i="18"/>
  <c r="E45"/>
  <c r="F45"/>
  <c r="D37" i="52"/>
  <c r="E37"/>
  <c r="F37"/>
  <c r="B10" i="22"/>
  <c r="B12" i="52"/>
  <c r="D57"/>
  <c r="E57"/>
  <c r="F57"/>
  <c r="B82" i="18"/>
  <c r="C31"/>
  <c r="C45"/>
  <c r="C68"/>
  <c r="D72" i="52"/>
  <c r="E72"/>
  <c r="F72"/>
  <c r="D31"/>
  <c r="D77" i="18"/>
  <c r="E77"/>
  <c r="F77"/>
  <c r="D62"/>
  <c r="E62"/>
  <c r="F62"/>
  <c r="C82" i="23"/>
  <c r="B76" i="52"/>
  <c r="B77" i="23"/>
  <c r="B66" i="52"/>
  <c r="B68" i="22"/>
  <c r="D62" i="23"/>
  <c r="E62"/>
  <c r="F62"/>
  <c r="D72" i="18"/>
  <c r="E72"/>
  <c r="F72"/>
  <c r="C82" i="22"/>
  <c r="C82" i="12"/>
  <c r="B82" i="22"/>
  <c r="E68"/>
  <c r="F68"/>
  <c r="B82" i="23"/>
  <c r="E77"/>
  <c r="F77"/>
  <c r="B10" i="52"/>
  <c r="E12"/>
  <c r="F12"/>
  <c r="E82" i="23"/>
  <c r="F82"/>
  <c r="B68" i="52"/>
  <c r="E68"/>
  <c r="F68"/>
  <c r="E66"/>
  <c r="F66"/>
  <c r="B77"/>
  <c r="E77"/>
  <c r="F77"/>
  <c r="E76"/>
  <c r="F76"/>
  <c r="B31" i="22"/>
  <c r="E10"/>
  <c r="F10"/>
  <c r="F12" i="18"/>
  <c r="E10"/>
  <c r="F10"/>
  <c r="E82" i="22"/>
  <c r="F82"/>
  <c r="D82" i="18"/>
  <c r="E82"/>
  <c r="F82"/>
  <c r="D62" i="52"/>
  <c r="E62"/>
  <c r="F62"/>
  <c r="D45"/>
  <c r="D82"/>
  <c r="D62" i="22"/>
  <c r="E62"/>
  <c r="F62"/>
  <c r="C68" i="52"/>
  <c r="B82"/>
  <c r="C82" i="18"/>
  <c r="C57" i="52"/>
  <c r="C62"/>
  <c r="B31"/>
  <c r="E10"/>
  <c r="F10"/>
  <c r="E82"/>
  <c r="F82"/>
  <c r="B45" i="22"/>
  <c r="E45"/>
  <c r="F45"/>
  <c r="E31"/>
  <c r="F31"/>
  <c r="C82" i="52"/>
  <c r="E31"/>
  <c r="F31"/>
  <c r="B45"/>
  <c r="E45"/>
  <c r="F45"/>
</calcChain>
</file>

<file path=xl/comments1.xml><?xml version="1.0" encoding="utf-8"?>
<comments xmlns="http://schemas.openxmlformats.org/spreadsheetml/2006/main">
  <authors>
    <author>staff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Due to treasury collected and not spent by 6/30/09.</t>
        </r>
      </text>
    </comment>
  </commentList>
</comments>
</file>

<file path=xl/comments2.xml><?xml version="1.0" encoding="utf-8"?>
<comments xmlns="http://schemas.openxmlformats.org/spreadsheetml/2006/main">
  <authors>
    <author>scrawford</author>
  </authors>
  <commentList>
    <comment ref="B5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>write offs included here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write offs included here
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write-offs included here
</t>
        </r>
      </text>
    </comment>
    <comment ref="B56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legislative auditor, civil service, and risk management fees</t>
        </r>
      </text>
    </comment>
    <comment ref="C56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legislative auditor, civil service, and risk management fees
</t>
        </r>
      </text>
    </comment>
    <comment ref="D56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legislative auditor, civil service, and risk management fees
</t>
        </r>
      </text>
    </comment>
    <comment ref="B57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athletic transfers only</t>
        </r>
      </text>
    </comment>
    <comment ref="C57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athletic transfers only
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athletic transfers only
</t>
        </r>
      </text>
    </comment>
    <comment ref="B70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should agree with BOR-6</t>
        </r>
      </text>
    </comment>
    <comment ref="C70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>should agree with BOR-6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should agree with BOR-6
</t>
        </r>
      </text>
    </comment>
    <comment ref="B7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includes scholarships &amp; write offs
</t>
        </r>
      </text>
    </comment>
    <comment ref="C7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includes scholarships &amp; write offs
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 xml:space="preserve">includes scholaships &amp; write offs
</t>
        </r>
      </text>
    </comment>
    <comment ref="B73" authorId="0">
      <text>
        <r>
          <rPr>
            <b/>
            <sz val="8"/>
            <color indexed="81"/>
            <rFont val="Tahoma"/>
            <family val="2"/>
          </rPr>
          <t>scrawford:</t>
        </r>
        <r>
          <rPr>
            <sz val="8"/>
            <color indexed="81"/>
            <rFont val="Tahoma"/>
            <family val="2"/>
          </rPr>
          <t xml:space="preserve">
includes legislative auditor fees, civil service yearly fees, risk management fees, and athletic transfers</t>
        </r>
      </text>
    </comment>
    <comment ref="C73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>includes legislative auditor fees, civil service yearly fees, risk management fees, and athletic transfers</t>
        </r>
      </text>
    </comment>
    <comment ref="D73" authorId="0">
      <text>
        <r>
          <rPr>
            <b/>
            <sz val="8"/>
            <color indexed="81"/>
            <rFont val="Tahoma"/>
            <family val="2"/>
          </rPr>
          <t xml:space="preserve">scrawford:
</t>
        </r>
        <r>
          <rPr>
            <sz val="8"/>
            <color indexed="81"/>
            <rFont val="Tahoma"/>
            <family val="2"/>
          </rPr>
          <t>includes legislative auditor fees, civil service yearly fees, risk management fees, and athletic transfers</t>
        </r>
      </text>
    </comment>
  </commentList>
</comments>
</file>

<file path=xl/sharedStrings.xml><?xml version="1.0" encoding="utf-8"?>
<sst xmlns="http://schemas.openxmlformats.org/spreadsheetml/2006/main" count="4515" uniqueCount="317">
  <si>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</si>
  <si>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</si>
  <si>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</si>
  <si>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</si>
  <si>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</si>
  <si>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</si>
  <si>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</si>
  <si>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</si>
  <si>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</si>
  <si>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2006-07</t>
  </si>
  <si>
    <t>2007-08</t>
  </si>
  <si>
    <t>Change</t>
  </si>
  <si>
    <t>Revenues By Source:</t>
  </si>
  <si>
    <t>State Funds:</t>
  </si>
  <si>
    <t xml:space="preserve">     General Fund Direct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</si>
  <si>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</si>
  <si>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</si>
  <si>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</si>
  <si>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</si>
  <si>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</si>
  <si>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</si>
  <si>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</si>
  <si>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</si>
  <si>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</si>
  <si>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</si>
  <si>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</si>
  <si>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</si>
  <si>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</si>
  <si>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</si>
  <si>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Funds Due From Management Board or Regents:</t>
  </si>
  <si>
    <t xml:space="preserve">          Other (List)</t>
  </si>
  <si>
    <t xml:space="preserve">    Funds Due to Institutions:</t>
  </si>
  <si>
    <t xml:space="preserve">    Other (List)</t>
  </si>
  <si>
    <t>Total State Funds</t>
  </si>
  <si>
    <t>Revenue Over Expenditures - (List MOF)</t>
  </si>
  <si>
    <t xml:space="preserve"> </t>
  </si>
  <si>
    <t>Interagency Transfers</t>
  </si>
  <si>
    <t>Self Generated Funds</t>
  </si>
  <si>
    <t>Federal Funds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</si>
  <si>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</si>
  <si>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</si>
  <si>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</si>
  <si>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</si>
  <si>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</si>
  <si>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</si>
  <si>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</si>
  <si>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</si>
  <si>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</si>
  <si>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</si>
  <si>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</si>
  <si>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</si>
  <si>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</si>
  <si>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</si>
  <si>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</si>
  <si>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</si>
  <si>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</si>
  <si>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</si>
  <si>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</si>
  <si>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</si>
  <si>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</si>
  <si>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</si>
  <si>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</si>
  <si>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</si>
  <si>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</si>
  <si>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</si>
  <si>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</si>
  <si>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</si>
  <si>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</si>
  <si>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</si>
  <si>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</si>
  <si>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</si>
  <si>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</si>
  <si>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>**Library costs are included in the function of academic support and are detailed on the BOR-4A.</t>
  </si>
  <si>
    <t>Pennington Biomedical Research Center</t>
  </si>
  <si>
    <t xml:space="preserve">  Institutional Services</t>
  </si>
  <si>
    <t>Interim Emergency Board</t>
  </si>
  <si>
    <t>University of New Orleans</t>
  </si>
  <si>
    <t>LSU School of Veterinary Medicine</t>
  </si>
  <si>
    <t>Louisiana State University</t>
  </si>
  <si>
    <t>2008-09</t>
  </si>
  <si>
    <t xml:space="preserve">           Overcollections Fund</t>
  </si>
  <si>
    <t xml:space="preserve">           Overcollections Fund (Read to Succeed Initiative)</t>
  </si>
  <si>
    <t xml:space="preserve">           Higher Education Initiative Fund</t>
  </si>
  <si>
    <t xml:space="preserve">           Tobacco Tax Fund</t>
  </si>
  <si>
    <t xml:space="preserve">           Southern University Ag Center Fund</t>
  </si>
  <si>
    <t xml:space="preserve">  Transfers</t>
  </si>
  <si>
    <t>** Library costs are included in the function of academic support and are detailed on the BOR-4A.</t>
  </si>
  <si>
    <t xml:space="preserve">     General Fund  - Restoration Amount</t>
  </si>
  <si>
    <t xml:space="preserve">Interagency Transfers - ARRA </t>
  </si>
  <si>
    <t>2009-10</t>
  </si>
  <si>
    <t xml:space="preserve">           Workforce Rapid Response</t>
  </si>
  <si>
    <t xml:space="preserve">          Workforce Rapid Response</t>
  </si>
  <si>
    <t>Louisiana State University Shreveport</t>
  </si>
  <si>
    <t>2008-09*</t>
  </si>
  <si>
    <t xml:space="preserve">           Pari-Mutuel Live Racing Facility Gaming Control Fund</t>
  </si>
  <si>
    <t xml:space="preserve">          Other: (List)</t>
  </si>
  <si>
    <t xml:space="preserve">* This column should reflect the last approved BA-7 in FY 08-09.  </t>
  </si>
  <si>
    <t xml:space="preserve">Interagency Transfere - ARRA </t>
  </si>
  <si>
    <t xml:space="preserve">  Other (Transferred to Plant Fund Projects)</t>
  </si>
  <si>
    <t>* This column should reflect the last approved BA-7 in FY 08-09.</t>
  </si>
  <si>
    <t xml:space="preserve">     General Fund Direct (FY 2009 includes LaRHIX $1,926,185)</t>
  </si>
  <si>
    <t xml:space="preserve">           Higher Education Initiatives Fund (HB881 Restoration Funds)</t>
  </si>
  <si>
    <t xml:space="preserve">1) FY 2009 Public Service includes Rural Health Initiative of $1,926,185 and Read to Succeed Initiative of $23,750; FY2010 includes Rural Health </t>
  </si>
  <si>
    <t>Initiative of $1,926,185</t>
  </si>
  <si>
    <t xml:space="preserve">2) FY 2009 Other Function includes transfers for the NDSL Loan Fund for $15,000 (budget) and $4,200 (actuals) &amp; Plant Fund transfer balances by funding source - Hospital $496,551; Instruction $82.399; Public Service $12,662; Academic $43,408; O&amp;M $25,358; Institutional $324,975 </t>
  </si>
  <si>
    <t>McNeese State University</t>
  </si>
  <si>
    <t xml:space="preserve">     General Fund - Restoration Amount</t>
  </si>
  <si>
    <t>Interagency Transfers - ARRA</t>
  </si>
  <si>
    <t>* This column should reflect the last approved BA-7 in FY 08-09</t>
  </si>
  <si>
    <t>Northwestern State University</t>
  </si>
  <si>
    <t xml:space="preserve">      General Fund - Restoration Amount</t>
  </si>
  <si>
    <t xml:space="preserve">           Pari-Mutiel Fund Live Racing Facility Gaming Control Fund</t>
  </si>
  <si>
    <t>Southeastern Louisiana University</t>
  </si>
  <si>
    <t xml:space="preserve">Interagency Transfer - ARRA </t>
  </si>
  <si>
    <t>Budget</t>
  </si>
  <si>
    <t xml:space="preserve">     Statutory Dedicated:</t>
  </si>
  <si>
    <t xml:space="preserve">         Higher Education Initiative Fund</t>
  </si>
  <si>
    <t xml:space="preserve">         Support Education in La. First (SELF)</t>
  </si>
  <si>
    <t xml:space="preserve">         Tobacca Tax Health Care Fund</t>
  </si>
  <si>
    <t xml:space="preserve">         Calcasieu Parish Fund</t>
  </si>
  <si>
    <t xml:space="preserve">         Calcasieu Parish Higher Educ Improve. Fund</t>
  </si>
  <si>
    <t xml:space="preserve">         Pari-Mutiel Live Racing Facility Gaming Control Fund</t>
  </si>
  <si>
    <t xml:space="preserve">         Southern University Ag Center Fund</t>
  </si>
  <si>
    <t xml:space="preserve">         Equine Fund</t>
  </si>
  <si>
    <t xml:space="preserve">         Fireman Training Fund</t>
  </si>
  <si>
    <t xml:space="preserve">         Two Percent Fire Insurance Fund</t>
  </si>
  <si>
    <t xml:space="preserve">         Health Excellence Fund</t>
  </si>
  <si>
    <t xml:space="preserve">         La. Educational Quality Support Fund (LEQSF)</t>
  </si>
  <si>
    <t xml:space="preserve">         Proprietary School Fund</t>
  </si>
  <si>
    <t xml:space="preserve">         Overcollections Fund</t>
  </si>
  <si>
    <t xml:space="preserve">    Funds Due from Management Board or Regents:</t>
  </si>
  <si>
    <t xml:space="preserve">         Other (List)</t>
  </si>
  <si>
    <t xml:space="preserve">        Other (List)</t>
  </si>
  <si>
    <t>Revenue Over Expenditures</t>
  </si>
  <si>
    <t>Self-Generated Funds</t>
  </si>
  <si>
    <t xml:space="preserve">   Instruction</t>
  </si>
  <si>
    <t xml:space="preserve">   Research</t>
  </si>
  <si>
    <t xml:space="preserve">   Public Service</t>
  </si>
  <si>
    <t xml:space="preserve">   Academic Support (incl Libr)</t>
  </si>
  <si>
    <t xml:space="preserve">   Student Services</t>
  </si>
  <si>
    <t xml:space="preserve">   Institutional Services</t>
  </si>
  <si>
    <t xml:space="preserve">   Scholarships/Fellowships</t>
  </si>
  <si>
    <t xml:space="preserve">   Plant Operations/Maintenance</t>
  </si>
  <si>
    <t>Total E &amp; G Expenditures</t>
  </si>
  <si>
    <t xml:space="preserve">   Hospital</t>
  </si>
  <si>
    <t xml:space="preserve">   Transfers Out of Agency</t>
  </si>
  <si>
    <t xml:space="preserve">   Athletics</t>
  </si>
  <si>
    <t xml:space="preserve">   Other </t>
  </si>
  <si>
    <t xml:space="preserve">  Debt Service</t>
  </si>
  <si>
    <t>Total Acquisition and Major Repairs</t>
  </si>
  <si>
    <t>University of Louisiana at Lafayette</t>
  </si>
  <si>
    <t xml:space="preserve">Revenue Over Expenditures - (List MOF) Self Generated Act 129 </t>
  </si>
  <si>
    <t>Grambling State University</t>
  </si>
  <si>
    <t>ARRA Interagency Transfers</t>
  </si>
  <si>
    <t>Board of Rgents</t>
  </si>
  <si>
    <t xml:space="preserve">  General Fund Direct</t>
  </si>
  <si>
    <t xml:space="preserve">  General Fund - Restoration Amount</t>
  </si>
  <si>
    <t xml:space="preserve">  Statutory Dedicated: </t>
  </si>
  <si>
    <t xml:space="preserve">          Higher Education Initiatives Fund</t>
  </si>
  <si>
    <t xml:space="preserve">          Support Education in Louisiana First (SELF)</t>
  </si>
  <si>
    <t xml:space="preserve">          Tobacco Tax Health Care Fund</t>
  </si>
  <si>
    <t xml:space="preserve">          Calcasieu Parish Fund</t>
  </si>
  <si>
    <t xml:space="preserve">          Calcasieu Parish Higher Education Improvement Fund</t>
  </si>
  <si>
    <t xml:space="preserve">          Pari-Mutiel Live Racing Facility Gaming Control Fund</t>
  </si>
  <si>
    <t xml:space="preserve">          Southern University Agricultural Program Fund</t>
  </si>
  <si>
    <t xml:space="preserve">          Equine Fund</t>
  </si>
  <si>
    <t xml:space="preserve">          Fireman Training Fund</t>
  </si>
  <si>
    <t xml:space="preserve">          Two Percent Fire Insurance Fund</t>
  </si>
  <si>
    <t xml:space="preserve">          Health Excellence Fund</t>
  </si>
  <si>
    <t xml:space="preserve">          LA. Educational Quality Support Fund (LEQSF) </t>
  </si>
  <si>
    <t xml:space="preserve">          Proprietary School Fund</t>
  </si>
  <si>
    <t xml:space="preserve">          Overcollections Fund</t>
  </si>
  <si>
    <t xml:space="preserve">    Funds Due From Management Boards or Regents:</t>
  </si>
  <si>
    <t xml:space="preserve">  Revenue/Expenditures</t>
  </si>
  <si>
    <t xml:space="preserve">  Interagency / Intra-agency Non-Mandatory Transfers </t>
  </si>
  <si>
    <t xml:space="preserve">*   This column should reflect the last approved BA-7 in FY 08-09. </t>
  </si>
  <si>
    <t>** Library costs are included in the function of academic suppport and are detailed on the BOR-4A.</t>
  </si>
  <si>
    <t>Southern University at New Orleans</t>
  </si>
  <si>
    <t xml:space="preserve">           Firemen Training Fund</t>
  </si>
  <si>
    <t xml:space="preserve">           Health Excellent Fund</t>
  </si>
  <si>
    <t xml:space="preserve">          Other  (List)</t>
  </si>
  <si>
    <t xml:space="preserve">          Other:  </t>
  </si>
  <si>
    <t xml:space="preserve">Interagency Transfers           </t>
  </si>
  <si>
    <t>`</t>
  </si>
  <si>
    <t>Interagency Transfers - ARRA Swap</t>
  </si>
  <si>
    <t xml:space="preserve">  Transfers out of agency  </t>
  </si>
  <si>
    <t xml:space="preserve">  Other :  </t>
  </si>
  <si>
    <t xml:space="preserve">  Inter-Agency Transfers</t>
  </si>
  <si>
    <t xml:space="preserve">  Scholarships</t>
  </si>
  <si>
    <t>2008-2009</t>
  </si>
  <si>
    <t>2008-2009*</t>
  </si>
  <si>
    <t>2009-2010</t>
  </si>
  <si>
    <t xml:space="preserve">          Overcollection Fund</t>
  </si>
  <si>
    <t>Other (List)</t>
  </si>
  <si>
    <t>Revenue Over Expenditures - (Self - Generated)</t>
  </si>
  <si>
    <t xml:space="preserve">  Other - ACT -971</t>
  </si>
  <si>
    <t>*  This column should reflect the last approved BA-7 in FY 08-09</t>
  </si>
  <si>
    <t>**  Library costs are included in the function of academic support and are detailed on the BOR-4A.</t>
  </si>
  <si>
    <t xml:space="preserve">Revenue/Expenditure </t>
  </si>
  <si>
    <t xml:space="preserve">        Higher Education Initiatives Fund</t>
  </si>
  <si>
    <t xml:space="preserve">        Support Education in Louisiana First (SELF)</t>
  </si>
  <si>
    <t xml:space="preserve">        Tobacco Tax Health Care Fund</t>
  </si>
  <si>
    <t xml:space="preserve">        Calcasieu Parish Fund</t>
  </si>
  <si>
    <t xml:space="preserve">        Calcasieu Parish Higher Ed. Improvement Fund</t>
  </si>
  <si>
    <t xml:space="preserve">        Pari-Mutiel Live Racing Facility Gaming Control Fund</t>
  </si>
  <si>
    <t xml:space="preserve">        Southern University Agricultural Program Fund</t>
  </si>
  <si>
    <t xml:space="preserve">        Equine Fund</t>
  </si>
  <si>
    <t xml:space="preserve">        Fireman Training Fund</t>
  </si>
  <si>
    <t xml:space="preserve">        Two Percent Fire Insurance Fund</t>
  </si>
  <si>
    <t xml:space="preserve">        Health Excellence Fund</t>
  </si>
  <si>
    <t xml:space="preserve">        La. Educational Quality Support Fund (LEQSF)</t>
  </si>
  <si>
    <t xml:space="preserve">        Proprietary School Fund</t>
  </si>
  <si>
    <t xml:space="preserve">        Workforce Rapid Response</t>
  </si>
  <si>
    <t xml:space="preserve">        Overcollections Fund</t>
  </si>
  <si>
    <t xml:space="preserve">  Funds Due From Management Board or Regents:</t>
  </si>
  <si>
    <t xml:space="preserve">      Other (List)</t>
  </si>
  <si>
    <t xml:space="preserve">  Funds Due To Institutions:</t>
  </si>
  <si>
    <t xml:space="preserve">  Other (List)</t>
  </si>
  <si>
    <t>Funds Due From Management Board or Regents:</t>
  </si>
  <si>
    <t xml:space="preserve">     Other (List)</t>
  </si>
  <si>
    <t>Funds Due to Institutions:</t>
  </si>
  <si>
    <t xml:space="preserve">     Instruction</t>
  </si>
  <si>
    <t xml:space="preserve">     Research</t>
  </si>
  <si>
    <t xml:space="preserve">     Public Service</t>
  </si>
  <si>
    <t xml:space="preserve">     Academic Support**</t>
  </si>
  <si>
    <t xml:space="preserve">     Student Services</t>
  </si>
  <si>
    <t xml:space="preserve">     Institutional Services</t>
  </si>
  <si>
    <t xml:space="preserve">     Scholarships/Fellowships</t>
  </si>
  <si>
    <t xml:space="preserve">     Plant Operations/Maintenance</t>
  </si>
  <si>
    <t>Total E AND G Expenditures</t>
  </si>
  <si>
    <t xml:space="preserve">     Hospital</t>
  </si>
  <si>
    <t xml:space="preserve">     Transfers out of agency</t>
  </si>
  <si>
    <t xml:space="preserve">     Athletics</t>
  </si>
  <si>
    <t xml:space="preserve">     Other</t>
  </si>
  <si>
    <t xml:space="preserve">     Salaries</t>
  </si>
  <si>
    <t xml:space="preserve">     Other Compensation</t>
  </si>
  <si>
    <t xml:space="preserve">     Related Benefits</t>
  </si>
  <si>
    <t xml:space="preserve">     Travel</t>
  </si>
  <si>
    <t xml:space="preserve">     Operating Services</t>
  </si>
  <si>
    <t xml:space="preserve">     Supplies</t>
  </si>
  <si>
    <t xml:space="preserve">     Professional Services</t>
  </si>
  <si>
    <t xml:space="preserve">     Other Charges</t>
  </si>
  <si>
    <t xml:space="preserve">     Debt Services</t>
  </si>
  <si>
    <t xml:space="preserve">     Interagency Transfers</t>
  </si>
  <si>
    <t xml:space="preserve">     General Acquisitions</t>
  </si>
  <si>
    <t xml:space="preserve">     Library Acquisitions</t>
  </si>
  <si>
    <t xml:space="preserve">     Major Repairs</t>
  </si>
  <si>
    <t xml:space="preserve">           Pari-Mutiel Fund</t>
  </si>
  <si>
    <t xml:space="preserve">           Equine Health Studies Program Fund</t>
  </si>
  <si>
    <t xml:space="preserve">  Other </t>
  </si>
  <si>
    <t>Professional Services</t>
  </si>
  <si>
    <t xml:space="preserve">  Intragency Transfers</t>
  </si>
  <si>
    <t>LCTCS Board of Supervisors</t>
  </si>
  <si>
    <t xml:space="preserve">           Workforce Rapid Response *</t>
  </si>
  <si>
    <t>*</t>
  </si>
  <si>
    <t>*  Workforce Rapid Response funds are included the LCTCS Board Budget but are used to provide funding to colleges for rapid response workforce training needs throughout the state.</t>
  </si>
  <si>
    <t xml:space="preserve">Institution:  </t>
  </si>
  <si>
    <t>Louisiana Technical College</t>
  </si>
  <si>
    <t xml:space="preserve">          Other</t>
  </si>
  <si>
    <t xml:space="preserve">Revenue Over Expenditures </t>
  </si>
  <si>
    <t>Louisiana Delta Community College</t>
  </si>
  <si>
    <t xml:space="preserve">     General Fund Restoration Amount</t>
  </si>
  <si>
    <t>Revenue Over Expenditures -  (List MOF)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</si>
  <si>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</si>
  <si>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NOTE:  While the FY 10 Self-Generated revenue is budgeted for $3,150,268, only $2,296,697 in tuition revenues are projected to be realized </t>
  </si>
  <si>
    <t>from anticipated student enrollment.  $853,571 is reported as contingent revenue, which we do not expect to realize in 2009-2010.</t>
  </si>
  <si>
    <t>Total Revenue for 2009-2010 is projected to be $7,309,572, which is $615,094 or a 7.76% decrease from last year's budget.</t>
  </si>
  <si>
    <t>total per bor 2 and 3</t>
  </si>
  <si>
    <t>Difference</t>
  </si>
  <si>
    <t>Rev over Exp</t>
  </si>
  <si>
    <t>We kept Act 971 money but did not show on BOR 1, 2 or 3</t>
  </si>
  <si>
    <t>Talked to Joe Marin about this and he agreed not to show</t>
  </si>
  <si>
    <t>jms 9-2-09</t>
  </si>
  <si>
    <t>River Parishes Community College</t>
  </si>
  <si>
    <t>Revenue Over Expenditures - (Self-Generated Funds)</t>
  </si>
  <si>
    <t xml:space="preserve">Interagency Transfers- ARRA </t>
  </si>
  <si>
    <t xml:space="preserve">  Transfers out of agency (ORM, AUDITOR, ETC)</t>
  </si>
  <si>
    <t>Total 2 Year Institutions</t>
  </si>
  <si>
    <t>Total 4 Year Institutions</t>
  </si>
  <si>
    <t xml:space="preserve"> Other (List)</t>
  </si>
  <si>
    <t>Total PSE</t>
  </si>
  <si>
    <t xml:space="preserve">  Other -AUXILLIARY "VESSELS/CAFETERIA/DORMS"</t>
  </si>
  <si>
    <t>Revenue Over Expenditures - (Self Generated)</t>
  </si>
  <si>
    <t>Louisiana Universities Marine Consortium</t>
  </si>
  <si>
    <t>Nicholls State University</t>
  </si>
  <si>
    <t>Louisiana Tech University</t>
  </si>
  <si>
    <t>University of Louisiana at Monroe</t>
  </si>
  <si>
    <t xml:space="preserve">         Workforce Rapid Response</t>
  </si>
  <si>
    <t>UL System BOS</t>
  </si>
  <si>
    <t>Paul M. Hebert Law Center</t>
  </si>
  <si>
    <t>LSU Agricultural Center</t>
  </si>
  <si>
    <t>Louisiana State University Alexandria</t>
  </si>
  <si>
    <t>Louisiana State University Eunice</t>
  </si>
  <si>
    <t>LSUHSC-New Orleans</t>
  </si>
  <si>
    <t>LSUHSC-Shreveport</t>
  </si>
  <si>
    <t>LSUHSC-EA Conway</t>
  </si>
  <si>
    <t>LSUHSC-Huey P. Long</t>
  </si>
  <si>
    <t>Louisiana State University BOS</t>
  </si>
  <si>
    <t>University of Louisiana Sytem Totals</t>
  </si>
  <si>
    <t>Louisiana State University System Total</t>
  </si>
  <si>
    <t>Includes Vet School</t>
  </si>
  <si>
    <t>Southern University at Baton Rouge</t>
  </si>
  <si>
    <t>Southern University at Shreveport</t>
  </si>
  <si>
    <t>Southern University Agricultural Center</t>
  </si>
  <si>
    <t>Southern University Law Center</t>
  </si>
  <si>
    <t>Southern University BOS</t>
  </si>
  <si>
    <t>Southern University System Total</t>
  </si>
  <si>
    <t>Bossier Parish Community College</t>
  </si>
  <si>
    <t>Baton Rouge Community College</t>
  </si>
  <si>
    <t>Nunez Community College</t>
  </si>
  <si>
    <t>Delgado Community College</t>
  </si>
  <si>
    <t>South Louisiana Community College</t>
  </si>
  <si>
    <t>L.E. Fletcher Technical Community College</t>
  </si>
  <si>
    <t>Sowela Technical Community College</t>
  </si>
  <si>
    <t>LCTC System Total</t>
  </si>
  <si>
    <t>Total 2 Year and 4 Year Institutions</t>
  </si>
  <si>
    <t>* This column should reflect the last approved BA-7 in FY  08-09.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</si>
</sst>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%;\(0.00%\)"/>
  </numFmts>
  <fonts count="4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36"/>
      <color indexed="8"/>
      <name val="Arial"/>
      <family val="2"/>
    </font>
    <font>
      <sz val="18"/>
      <color indexed="8"/>
      <name val="Arial"/>
      <family val="2"/>
    </font>
    <font>
      <b/>
      <sz val="24"/>
      <color indexed="8"/>
      <name val="Arial"/>
      <family val="2"/>
    </font>
    <font>
      <u/>
      <sz val="12"/>
      <name val="Arial"/>
      <family val="2"/>
    </font>
    <font>
      <b/>
      <sz val="28"/>
      <color indexed="8"/>
      <name val="Arial"/>
      <family val="2"/>
    </font>
    <font>
      <sz val="12"/>
      <color indexed="8"/>
      <name val="Arial"/>
      <family val="2"/>
    </font>
    <font>
      <sz val="28"/>
      <color indexed="8"/>
      <name val="Arial"/>
      <family val="2"/>
    </font>
    <font>
      <sz val="20"/>
      <color indexed="8"/>
      <name val="Arial"/>
      <family val="2"/>
    </font>
    <font>
      <sz val="24"/>
      <color indexed="8"/>
      <name val="Arial"/>
      <family val="2"/>
    </font>
    <font>
      <sz val="36"/>
      <color indexed="8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3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36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36"/>
      <color indexed="8"/>
      <name val="Arial"/>
      <family val="2"/>
    </font>
    <font>
      <b/>
      <sz val="28"/>
      <color indexed="8"/>
      <name val="Arial"/>
      <family val="2"/>
    </font>
    <font>
      <b/>
      <sz val="36"/>
      <color indexed="8"/>
      <name val="Arial"/>
      <family val="2"/>
    </font>
    <font>
      <sz val="28"/>
      <color indexed="8"/>
      <name val="Arial"/>
      <family val="2"/>
    </font>
    <font>
      <sz val="22"/>
      <name val="Arial"/>
      <family val="2"/>
    </font>
    <font>
      <sz val="18"/>
      <name val="Arial"/>
      <family val="2"/>
    </font>
    <font>
      <sz val="12"/>
      <color indexed="8"/>
      <name val="Arial"/>
      <family val="2"/>
    </font>
    <font>
      <sz val="22"/>
      <name val="Arial"/>
      <family val="2"/>
    </font>
    <font>
      <sz val="36"/>
      <name val="36"/>
    </font>
    <font>
      <sz val="12"/>
      <name val="36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9">
    <xf numFmtId="0" fontId="0" fillId="0" borderId="0" xfId="0"/>
    <xf numFmtId="3" fontId="6" fillId="0" borderId="0" xfId="0" applyNumberFormat="1" applyFont="1" applyBorder="1" applyAlignment="1"/>
    <xf numFmtId="3" fontId="6" fillId="0" borderId="0" xfId="0" applyNumberFormat="1" applyFont="1" applyAlignment="1"/>
    <xf numFmtId="10" fontId="6" fillId="0" borderId="0" xfId="0" applyNumberFormat="1" applyFont="1" applyAlignment="1"/>
    <xf numFmtId="10" fontId="6" fillId="0" borderId="0" xfId="0" applyNumberFormat="1" applyFont="1" applyBorder="1" applyAlignment="1"/>
    <xf numFmtId="10" fontId="6" fillId="0" borderId="0" xfId="0" applyNumberFormat="1" applyFont="1" applyAlignment="1" applyProtection="1">
      <protection locked="0"/>
    </xf>
    <xf numFmtId="0" fontId="6" fillId="0" borderId="0" xfId="0" applyNumberFormat="1" applyFont="1" applyAlignment="1" applyProtection="1">
      <protection locked="0"/>
    </xf>
    <xf numFmtId="38" fontId="6" fillId="0" borderId="0" xfId="0" applyNumberFormat="1" applyFont="1" applyAlignment="1"/>
    <xf numFmtId="38" fontId="6" fillId="0" borderId="0" xfId="0" applyNumberFormat="1" applyFont="1" applyBorder="1" applyAlignment="1"/>
    <xf numFmtId="38" fontId="6" fillId="0" borderId="1" xfId="0" applyNumberFormat="1" applyFont="1" applyBorder="1" applyAlignment="1" applyProtection="1">
      <protection locked="0"/>
    </xf>
    <xf numFmtId="10" fontId="6" fillId="0" borderId="1" xfId="0" applyNumberFormat="1" applyFont="1" applyBorder="1" applyAlignment="1" applyProtection="1">
      <protection locked="0"/>
    </xf>
    <xf numFmtId="3" fontId="6" fillId="0" borderId="2" xfId="0" applyNumberFormat="1" applyFont="1" applyBorder="1"/>
    <xf numFmtId="38" fontId="1" fillId="0" borderId="0" xfId="0" applyNumberFormat="1" applyFont="1" applyAlignment="1"/>
    <xf numFmtId="38" fontId="1" fillId="0" borderId="0" xfId="0" applyNumberFormat="1" applyFont="1" applyBorder="1" applyAlignment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0" fontId="8" fillId="0" borderId="0" xfId="0" applyNumberFormat="1" applyFont="1" applyAlignment="1"/>
    <xf numFmtId="3" fontId="9" fillId="0" borderId="0" xfId="0" applyNumberFormat="1" applyFont="1" applyAlignment="1"/>
    <xf numFmtId="3" fontId="10" fillId="0" borderId="0" xfId="0" applyNumberFormat="1" applyFont="1" applyAlignment="1"/>
    <xf numFmtId="3" fontId="11" fillId="0" borderId="0" xfId="0" applyNumberFormat="1" applyFont="1" applyAlignment="1"/>
    <xf numFmtId="3" fontId="10" fillId="0" borderId="3" xfId="0" applyNumberFormat="1" applyFont="1" applyBorder="1" applyAlignment="1"/>
    <xf numFmtId="3" fontId="13" fillId="0" borderId="4" xfId="0" applyNumberFormat="1" applyFont="1" applyBorder="1" applyAlignment="1"/>
    <xf numFmtId="3" fontId="13" fillId="0" borderId="4" xfId="0" applyNumberFormat="1" applyFont="1" applyBorder="1" applyAlignment="1">
      <alignment horizontal="center"/>
    </xf>
    <xf numFmtId="0" fontId="13" fillId="0" borderId="4" xfId="0" applyNumberFormat="1" applyFont="1" applyBorder="1" applyAlignment="1" applyProtection="1">
      <alignment horizontal="center"/>
      <protection locked="0"/>
    </xf>
    <xf numFmtId="3" fontId="14" fillId="0" borderId="0" xfId="0" applyNumberFormat="1" applyFont="1" applyAlignment="1"/>
    <xf numFmtId="3" fontId="15" fillId="0" borderId="5" xfId="0" applyNumberFormat="1" applyFont="1" applyBorder="1" applyAlignment="1"/>
    <xf numFmtId="3" fontId="13" fillId="0" borderId="5" xfId="0" applyNumberFormat="1" applyFont="1" applyBorder="1" applyAlignment="1">
      <alignment horizontal="center"/>
    </xf>
    <xf numFmtId="3" fontId="13" fillId="0" borderId="6" xfId="0" applyNumberFormat="1" applyFont="1" applyBorder="1" applyAlignment="1"/>
    <xf numFmtId="3" fontId="15" fillId="0" borderId="6" xfId="0" applyNumberFormat="1" applyFont="1" applyBorder="1" applyAlignment="1"/>
    <xf numFmtId="3" fontId="13" fillId="0" borderId="5" xfId="0" applyNumberFormat="1" applyFont="1" applyBorder="1" applyAlignment="1"/>
    <xf numFmtId="0" fontId="15" fillId="0" borderId="5" xfId="0" applyNumberFormat="1" applyFont="1" applyBorder="1" applyAlignment="1" applyProtection="1">
      <protection locked="0"/>
    </xf>
    <xf numFmtId="0" fontId="15" fillId="0" borderId="6" xfId="0" applyNumberFormat="1" applyFont="1" applyBorder="1" applyAlignment="1" applyProtection="1">
      <protection locked="0"/>
    </xf>
    <xf numFmtId="0" fontId="13" fillId="0" borderId="6" xfId="0" applyNumberFormat="1" applyFont="1" applyBorder="1" applyAlignment="1" applyProtection="1">
      <protection locked="0"/>
    </xf>
    <xf numFmtId="0" fontId="13" fillId="0" borderId="5" xfId="0" applyNumberFormat="1" applyFont="1" applyBorder="1" applyAlignment="1" applyProtection="1">
      <protection locked="0"/>
    </xf>
    <xf numFmtId="3" fontId="16" fillId="0" borderId="7" xfId="0" applyNumberFormat="1" applyFont="1" applyBorder="1" applyAlignment="1"/>
    <xf numFmtId="3" fontId="17" fillId="0" borderId="0" xfId="0" applyNumberFormat="1" applyFont="1" applyAlignment="1"/>
    <xf numFmtId="3" fontId="18" fillId="0" borderId="0" xfId="0" applyNumberFormat="1" applyFont="1" applyAlignment="1"/>
    <xf numFmtId="3" fontId="16" fillId="0" borderId="0" xfId="0" applyNumberFormat="1" applyFont="1" applyAlignment="1"/>
    <xf numFmtId="3" fontId="19" fillId="0" borderId="0" xfId="0" applyNumberFormat="1" applyFont="1" applyAlignment="1"/>
    <xf numFmtId="3" fontId="20" fillId="0" borderId="0" xfId="0" applyNumberFormat="1" applyFont="1" applyAlignment="1"/>
    <xf numFmtId="3" fontId="19" fillId="0" borderId="0" xfId="0" applyNumberFormat="1" applyFont="1" applyBorder="1" applyAlignment="1"/>
    <xf numFmtId="3" fontId="20" fillId="0" borderId="8" xfId="0" applyNumberFormat="1" applyFont="1" applyBorder="1" applyAlignment="1"/>
    <xf numFmtId="37" fontId="23" fillId="0" borderId="9" xfId="0" applyNumberFormat="1" applyFont="1" applyBorder="1" applyAlignment="1"/>
    <xf numFmtId="3" fontId="23" fillId="0" borderId="0" xfId="0" applyNumberFormat="1" applyFont="1" applyBorder="1" applyAlignment="1"/>
    <xf numFmtId="3" fontId="24" fillId="0" borderId="0" xfId="0" applyNumberFormat="1" applyFont="1" applyAlignment="1"/>
    <xf numFmtId="10" fontId="24" fillId="0" borderId="0" xfId="0" applyNumberFormat="1" applyFont="1" applyAlignment="1"/>
    <xf numFmtId="3" fontId="8" fillId="0" borderId="0" xfId="0" applyNumberFormat="1" applyFont="1" applyAlignment="1"/>
    <xf numFmtId="3" fontId="19" fillId="0" borderId="8" xfId="0" applyNumberFormat="1" applyFont="1" applyBorder="1" applyAlignment="1"/>
    <xf numFmtId="3" fontId="23" fillId="0" borderId="0" xfId="0" applyNumberFormat="1" applyFont="1" applyAlignment="1"/>
    <xf numFmtId="3" fontId="21" fillId="0" borderId="10" xfId="0" applyNumberFormat="1" applyFont="1" applyBorder="1" applyAlignment="1"/>
    <xf numFmtId="3" fontId="21" fillId="0" borderId="9" xfId="0" applyNumberFormat="1" applyFont="1" applyBorder="1" applyAlignment="1">
      <alignment horizontal="center"/>
    </xf>
    <xf numFmtId="0" fontId="21" fillId="0" borderId="11" xfId="0" applyNumberFormat="1" applyFont="1" applyBorder="1" applyAlignment="1" applyProtection="1">
      <alignment horizontal="center"/>
      <protection locked="0"/>
    </xf>
    <xf numFmtId="3" fontId="21" fillId="0" borderId="11" xfId="0" applyNumberFormat="1" applyFont="1" applyBorder="1" applyAlignment="1">
      <alignment horizontal="center"/>
    </xf>
    <xf numFmtId="3" fontId="22" fillId="0" borderId="12" xfId="0" applyNumberFormat="1" applyFont="1" applyBorder="1" applyAlignment="1"/>
    <xf numFmtId="3" fontId="21" fillId="0" borderId="1" xfId="0" applyNumberFormat="1" applyFont="1" applyBorder="1" applyAlignment="1">
      <alignment horizontal="center"/>
    </xf>
    <xf numFmtId="3" fontId="21" fillId="0" borderId="13" xfId="0" applyNumberFormat="1" applyFont="1" applyBorder="1" applyAlignment="1"/>
    <xf numFmtId="0" fontId="22" fillId="0" borderId="12" xfId="0" applyNumberFormat="1" applyFont="1" applyBorder="1" applyAlignment="1" applyProtection="1">
      <protection locked="0"/>
    </xf>
    <xf numFmtId="0" fontId="22" fillId="0" borderId="14" xfId="0" applyNumberFormat="1" applyFont="1" applyBorder="1" applyAlignment="1" applyProtection="1">
      <protection locked="0"/>
    </xf>
    <xf numFmtId="10" fontId="8" fillId="0" borderId="0" xfId="0" applyNumberFormat="1" applyFont="1" applyAlignment="1"/>
    <xf numFmtId="3" fontId="23" fillId="0" borderId="9" xfId="0" applyNumberFormat="1" applyFont="1" applyBorder="1" applyAlignment="1"/>
    <xf numFmtId="0" fontId="22" fillId="0" borderId="13" xfId="0" applyNumberFormat="1" applyFont="1" applyBorder="1" applyAlignment="1" applyProtection="1">
      <protection locked="0"/>
    </xf>
    <xf numFmtId="0" fontId="22" fillId="0" borderId="15" xfId="0" applyNumberFormat="1" applyFont="1" applyBorder="1" applyAlignment="1" applyProtection="1">
      <protection locked="0"/>
    </xf>
    <xf numFmtId="0" fontId="21" fillId="0" borderId="13" xfId="0" applyNumberFormat="1" applyFont="1" applyBorder="1" applyAlignment="1" applyProtection="1">
      <protection locked="0"/>
    </xf>
    <xf numFmtId="0" fontId="21" fillId="0" borderId="14" xfId="0" applyNumberFormat="1" applyFont="1" applyBorder="1" applyAlignment="1" applyProtection="1">
      <protection locked="0"/>
    </xf>
    <xf numFmtId="0" fontId="21" fillId="0" borderId="12" xfId="0" applyNumberFormat="1" applyFont="1" applyBorder="1" applyAlignment="1" applyProtection="1">
      <protection locked="0"/>
    </xf>
    <xf numFmtId="3" fontId="22" fillId="0" borderId="14" xfId="0" applyNumberFormat="1" applyFont="1" applyBorder="1" applyAlignment="1"/>
    <xf numFmtId="3" fontId="22" fillId="0" borderId="13" xfId="0" applyNumberFormat="1" applyFont="1" applyBorder="1" applyAlignment="1"/>
    <xf numFmtId="3" fontId="21" fillId="0" borderId="14" xfId="0" applyNumberFormat="1" applyFont="1" applyBorder="1" applyAlignment="1"/>
    <xf numFmtId="3" fontId="21" fillId="0" borderId="16" xfId="0" applyNumberFormat="1" applyFont="1" applyBorder="1" applyAlignment="1"/>
    <xf numFmtId="0" fontId="22" fillId="0" borderId="16" xfId="0" applyNumberFormat="1" applyFont="1" applyBorder="1" applyAlignment="1" applyProtection="1">
      <protection locked="0"/>
    </xf>
    <xf numFmtId="0" fontId="21" fillId="0" borderId="16" xfId="0" applyNumberFormat="1" applyFont="1" applyBorder="1" applyAlignment="1" applyProtection="1">
      <protection locked="0"/>
    </xf>
    <xf numFmtId="3" fontId="1" fillId="0" borderId="17" xfId="0" applyNumberFormat="1" applyFont="1" applyBorder="1" applyAlignment="1"/>
    <xf numFmtId="10" fontId="24" fillId="0" borderId="17" xfId="0" applyNumberFormat="1" applyFont="1" applyBorder="1" applyAlignment="1"/>
    <xf numFmtId="3" fontId="24" fillId="0" borderId="0" xfId="0" applyNumberFormat="1" applyFont="1" applyBorder="1" applyAlignment="1"/>
    <xf numFmtId="3" fontId="22" fillId="0" borderId="0" xfId="0" applyNumberFormat="1" applyFont="1" applyBorder="1" applyAlignment="1"/>
    <xf numFmtId="3" fontId="22" fillId="0" borderId="0" xfId="0" applyNumberFormat="1" applyFont="1" applyAlignment="1"/>
    <xf numFmtId="3" fontId="24" fillId="0" borderId="17" xfId="0" applyNumberFormat="1" applyFont="1" applyBorder="1" applyAlignment="1"/>
    <xf numFmtId="3" fontId="29" fillId="0" borderId="0" xfId="0" applyNumberFormat="1" applyFont="1" applyAlignment="1"/>
    <xf numFmtId="10" fontId="12" fillId="0" borderId="0" xfId="0" applyNumberFormat="1" applyFont="1" applyAlignment="1"/>
    <xf numFmtId="37" fontId="22" fillId="0" borderId="1" xfId="0" applyNumberFormat="1" applyFont="1" applyBorder="1" applyAlignment="1" applyProtection="1">
      <protection locked="0"/>
    </xf>
    <xf numFmtId="37" fontId="22" fillId="0" borderId="18" xfId="0" applyNumberFormat="1" applyFont="1" applyBorder="1" applyAlignment="1" applyProtection="1">
      <protection locked="0"/>
    </xf>
    <xf numFmtId="37" fontId="22" fillId="0" borderId="19" xfId="0" applyNumberFormat="1" applyFont="1" applyBorder="1" applyAlignment="1" applyProtection="1">
      <protection locked="0"/>
    </xf>
    <xf numFmtId="37" fontId="22" fillId="0" borderId="9" xfId="0" applyNumberFormat="1" applyFont="1" applyBorder="1" applyAlignment="1" applyProtection="1">
      <protection locked="0"/>
    </xf>
    <xf numFmtId="37" fontId="21" fillId="0" borderId="19" xfId="0" applyNumberFormat="1" applyFont="1" applyBorder="1" applyAlignment="1" applyProtection="1">
      <protection locked="0"/>
    </xf>
    <xf numFmtId="37" fontId="21" fillId="0" borderId="9" xfId="0" applyNumberFormat="1" applyFont="1" applyBorder="1" applyAlignment="1" applyProtection="1">
      <protection locked="0"/>
    </xf>
    <xf numFmtId="37" fontId="21" fillId="0" borderId="1" xfId="0" applyNumberFormat="1" applyFont="1" applyBorder="1" applyAlignment="1" applyProtection="1">
      <protection locked="0"/>
    </xf>
    <xf numFmtId="37" fontId="21" fillId="0" borderId="9" xfId="0" applyNumberFormat="1" applyFont="1" applyBorder="1" applyAlignment="1"/>
    <xf numFmtId="37" fontId="22" fillId="0" borderId="19" xfId="0" applyNumberFormat="1" applyFont="1" applyBorder="1" applyAlignment="1"/>
    <xf numFmtId="37" fontId="22" fillId="0" borderId="9" xfId="0" applyNumberFormat="1" applyFont="1" applyBorder="1" applyAlignment="1"/>
    <xf numFmtId="37" fontId="22" fillId="0" borderId="0" xfId="0" applyNumberFormat="1" applyFont="1" applyAlignment="1"/>
    <xf numFmtId="37" fontId="21" fillId="0" borderId="19" xfId="0" applyNumberFormat="1" applyFont="1" applyBorder="1" applyAlignment="1"/>
    <xf numFmtId="37" fontId="21" fillId="0" borderId="18" xfId="0" applyNumberFormat="1" applyFont="1" applyBorder="1" applyAlignment="1" applyProtection="1">
      <protection locked="0"/>
    </xf>
    <xf numFmtId="37" fontId="15" fillId="0" borderId="5" xfId="0" applyNumberFormat="1" applyFont="1" applyBorder="1" applyAlignment="1" applyProtection="1">
      <protection locked="0"/>
    </xf>
    <xf numFmtId="37" fontId="15" fillId="0" borderId="6" xfId="0" applyNumberFormat="1" applyFont="1" applyBorder="1" applyAlignment="1" applyProtection="1">
      <protection locked="0"/>
    </xf>
    <xf numFmtId="37" fontId="13" fillId="0" borderId="6" xfId="0" applyNumberFormat="1" applyFont="1" applyBorder="1" applyAlignment="1" applyProtection="1">
      <protection locked="0"/>
    </xf>
    <xf numFmtId="37" fontId="13" fillId="0" borderId="5" xfId="0" applyNumberFormat="1" applyFont="1" applyBorder="1" applyAlignment="1" applyProtection="1">
      <protection locked="0"/>
    </xf>
    <xf numFmtId="37" fontId="13" fillId="0" borderId="5" xfId="0" applyNumberFormat="1" applyFont="1" applyBorder="1" applyAlignment="1"/>
    <xf numFmtId="37" fontId="15" fillId="0" borderId="6" xfId="0" applyNumberFormat="1" applyFont="1" applyBorder="1" applyAlignment="1"/>
    <xf numFmtId="37" fontId="15" fillId="0" borderId="5" xfId="0" applyNumberFormat="1" applyFont="1" applyBorder="1" applyAlignment="1"/>
    <xf numFmtId="37" fontId="13" fillId="0" borderId="6" xfId="0" applyNumberFormat="1" applyFont="1" applyBorder="1" applyAlignment="1"/>
    <xf numFmtId="3" fontId="21" fillId="0" borderId="20" xfId="0" applyNumberFormat="1" applyFont="1" applyBorder="1" applyAlignment="1"/>
    <xf numFmtId="0" fontId="21" fillId="0" borderId="21" xfId="0" applyNumberFormat="1" applyFont="1" applyBorder="1" applyAlignment="1" applyProtection="1">
      <protection locked="0"/>
    </xf>
    <xf numFmtId="37" fontId="22" fillId="0" borderId="21" xfId="0" applyNumberFormat="1" applyFont="1" applyBorder="1" applyAlignment="1" applyProtection="1">
      <protection locked="0"/>
    </xf>
    <xf numFmtId="3" fontId="22" fillId="0" borderId="16" xfId="0" applyNumberFormat="1" applyFont="1" applyBorder="1" applyAlignment="1"/>
    <xf numFmtId="3" fontId="22" fillId="0" borderId="22" xfId="0" applyNumberFormat="1" applyFont="1" applyBorder="1" applyAlignment="1"/>
    <xf numFmtId="37" fontId="22" fillId="0" borderId="22" xfId="0" applyNumberFormat="1" applyFont="1" applyBorder="1" applyAlignment="1"/>
    <xf numFmtId="3" fontId="21" fillId="0" borderId="23" xfId="0" applyNumberFormat="1" applyFont="1" applyBorder="1" applyAlignment="1"/>
    <xf numFmtId="0" fontId="22" fillId="0" borderId="24" xfId="0" applyNumberFormat="1" applyFont="1" applyBorder="1" applyAlignment="1" applyProtection="1">
      <protection locked="0"/>
    </xf>
    <xf numFmtId="37" fontId="22" fillId="0" borderId="25" xfId="0" applyNumberFormat="1" applyFont="1" applyBorder="1" applyAlignment="1" applyProtection="1">
      <protection locked="0"/>
    </xf>
    <xf numFmtId="37" fontId="21" fillId="0" borderId="26" xfId="0" applyNumberFormat="1" applyFont="1" applyBorder="1" applyAlignment="1"/>
    <xf numFmtId="37" fontId="21" fillId="0" borderId="27" xfId="0" applyNumberFormat="1" applyFont="1" applyBorder="1" applyAlignment="1"/>
    <xf numFmtId="3" fontId="22" fillId="0" borderId="15" xfId="0" applyNumberFormat="1" applyFont="1" applyBorder="1" applyAlignment="1"/>
    <xf numFmtId="37" fontId="22" fillId="0" borderId="28" xfId="0" applyNumberFormat="1" applyFont="1" applyBorder="1" applyAlignment="1" applyProtection="1">
      <protection locked="0"/>
    </xf>
    <xf numFmtId="3" fontId="30" fillId="0" borderId="0" xfId="0" applyNumberFormat="1" applyFont="1" applyAlignment="1"/>
    <xf numFmtId="0" fontId="31" fillId="0" borderId="6" xfId="0" applyNumberFormat="1" applyFont="1" applyBorder="1" applyAlignment="1" applyProtection="1">
      <protection locked="0"/>
    </xf>
    <xf numFmtId="3" fontId="32" fillId="0" borderId="0" xfId="0" applyNumberFormat="1" applyFont="1" applyAlignment="1"/>
    <xf numFmtId="37" fontId="31" fillId="0" borderId="6" xfId="0" applyNumberFormat="1" applyFont="1" applyBorder="1" applyAlignment="1" applyProtection="1">
      <protection locked="0"/>
    </xf>
    <xf numFmtId="0" fontId="33" fillId="0" borderId="6" xfId="0" applyNumberFormat="1" applyFont="1" applyBorder="1" applyAlignment="1" applyProtection="1">
      <protection locked="0"/>
    </xf>
    <xf numFmtId="37" fontId="33" fillId="0" borderId="6" xfId="0" applyNumberFormat="1" applyFont="1" applyBorder="1" applyAlignment="1" applyProtection="1">
      <protection locked="0"/>
    </xf>
    <xf numFmtId="0" fontId="31" fillId="0" borderId="5" xfId="0" applyNumberFormat="1" applyFont="1" applyBorder="1" applyAlignment="1" applyProtection="1">
      <protection locked="0"/>
    </xf>
    <xf numFmtId="37" fontId="31" fillId="0" borderId="5" xfId="0" applyNumberFormat="1" applyFont="1" applyBorder="1" applyAlignment="1" applyProtection="1">
      <protection locked="0"/>
    </xf>
    <xf numFmtId="0" fontId="31" fillId="0" borderId="29" xfId="0" applyNumberFormat="1" applyFont="1" applyBorder="1" applyAlignment="1" applyProtection="1">
      <protection locked="0"/>
    </xf>
    <xf numFmtId="37" fontId="31" fillId="0" borderId="29" xfId="0" applyNumberFormat="1" applyFont="1" applyBorder="1" applyAlignment="1" applyProtection="1">
      <protection locked="0"/>
    </xf>
    <xf numFmtId="3" fontId="13" fillId="0" borderId="30" xfId="0" applyNumberFormat="1" applyFont="1" applyBorder="1" applyAlignment="1"/>
    <xf numFmtId="37" fontId="13" fillId="0" borderId="30" xfId="0" applyNumberFormat="1" applyFont="1" applyBorder="1" applyAlignment="1"/>
    <xf numFmtId="3" fontId="31" fillId="0" borderId="5" xfId="0" applyNumberFormat="1" applyFont="1" applyBorder="1" applyAlignment="1"/>
    <xf numFmtId="3" fontId="33" fillId="0" borderId="6" xfId="0" applyNumberFormat="1" applyFont="1" applyBorder="1" applyAlignment="1"/>
    <xf numFmtId="37" fontId="31" fillId="0" borderId="6" xfId="0" applyNumberFormat="1" applyFont="1" applyBorder="1" applyAlignment="1"/>
    <xf numFmtId="37" fontId="33" fillId="0" borderId="6" xfId="0" applyNumberFormat="1" applyFont="1" applyBorder="1" applyAlignment="1"/>
    <xf numFmtId="37" fontId="13" fillId="0" borderId="30" xfId="0" applyNumberFormat="1" applyFont="1" applyBorder="1" applyAlignment="1" applyProtection="1">
      <protection locked="0"/>
    </xf>
    <xf numFmtId="0" fontId="13" fillId="0" borderId="31" xfId="0" applyNumberFormat="1" applyFont="1" applyBorder="1" applyAlignment="1" applyProtection="1">
      <protection locked="0"/>
    </xf>
    <xf numFmtId="37" fontId="15" fillId="0" borderId="31" xfId="0" applyNumberFormat="1" applyFont="1" applyBorder="1" applyAlignment="1" applyProtection="1">
      <protection locked="0"/>
    </xf>
    <xf numFmtId="0" fontId="13" fillId="0" borderId="32" xfId="0" applyNumberFormat="1" applyFont="1" applyBorder="1" applyAlignment="1" applyProtection="1">
      <protection locked="0"/>
    </xf>
    <xf numFmtId="37" fontId="13" fillId="0" borderId="32" xfId="0" applyNumberFormat="1" applyFont="1" applyBorder="1" applyAlignment="1" applyProtection="1">
      <protection locked="0"/>
    </xf>
    <xf numFmtId="37" fontId="31" fillId="0" borderId="29" xfId="0" applyNumberFormat="1" applyFont="1" applyBorder="1" applyAlignment="1"/>
    <xf numFmtId="3" fontId="33" fillId="0" borderId="31" xfId="0" applyNumberFormat="1" applyFont="1" applyBorder="1" applyAlignment="1"/>
    <xf numFmtId="37" fontId="15" fillId="0" borderId="31" xfId="0" applyNumberFormat="1" applyFont="1" applyBorder="1" applyAlignment="1"/>
    <xf numFmtId="0" fontId="31" fillId="0" borderId="31" xfId="0" applyNumberFormat="1" applyFont="1" applyBorder="1" applyAlignment="1" applyProtection="1">
      <protection locked="0"/>
    </xf>
    <xf numFmtId="37" fontId="31" fillId="0" borderId="31" xfId="0" applyNumberFormat="1" applyFont="1" applyBorder="1" applyAlignment="1" applyProtection="1">
      <protection locked="0"/>
    </xf>
    <xf numFmtId="0" fontId="31" fillId="0" borderId="32" xfId="0" applyNumberFormat="1" applyFont="1" applyBorder="1" applyAlignment="1" applyProtection="1">
      <protection locked="0"/>
    </xf>
    <xf numFmtId="37" fontId="31" fillId="0" borderId="32" xfId="0" applyNumberFormat="1" applyFont="1" applyBorder="1" applyAlignment="1" applyProtection="1">
      <protection locked="0"/>
    </xf>
    <xf numFmtId="3" fontId="30" fillId="0" borderId="17" xfId="0" applyNumberFormat="1" applyFont="1" applyBorder="1" applyAlignment="1"/>
    <xf numFmtId="3" fontId="32" fillId="0" borderId="17" xfId="0" applyNumberFormat="1" applyFont="1" applyBorder="1" applyAlignment="1"/>
    <xf numFmtId="10" fontId="12" fillId="0" borderId="0" xfId="0" applyNumberFormat="1" applyFont="1" applyBorder="1" applyAlignment="1"/>
    <xf numFmtId="3" fontId="15" fillId="0" borderId="31" xfId="0" applyNumberFormat="1" applyFont="1" applyBorder="1" applyAlignment="1"/>
    <xf numFmtId="3" fontId="13" fillId="0" borderId="31" xfId="0" applyNumberFormat="1" applyFont="1" applyBorder="1" applyAlignment="1">
      <alignment horizontal="center"/>
    </xf>
    <xf numFmtId="0" fontId="13" fillId="0" borderId="29" xfId="0" applyNumberFormat="1" applyFont="1" applyBorder="1" applyAlignment="1" applyProtection="1">
      <protection locked="0"/>
    </xf>
    <xf numFmtId="37" fontId="13" fillId="0" borderId="31" xfId="0" applyNumberFormat="1" applyFont="1" applyBorder="1" applyAlignment="1" applyProtection="1">
      <protection locked="0"/>
    </xf>
    <xf numFmtId="37" fontId="15" fillId="0" borderId="33" xfId="0" applyNumberFormat="1" applyFont="1" applyBorder="1" applyAlignment="1" applyProtection="1">
      <protection locked="0"/>
    </xf>
    <xf numFmtId="0" fontId="15" fillId="0" borderId="34" xfId="0" applyNumberFormat="1" applyFont="1" applyBorder="1" applyAlignment="1" applyProtection="1">
      <protection locked="0"/>
    </xf>
    <xf numFmtId="0" fontId="33" fillId="0" borderId="34" xfId="0" applyNumberFormat="1" applyFont="1" applyBorder="1" applyAlignment="1" applyProtection="1">
      <protection locked="0"/>
    </xf>
    <xf numFmtId="3" fontId="33" fillId="0" borderId="34" xfId="0" applyNumberFormat="1" applyFont="1" applyBorder="1" applyAlignment="1"/>
    <xf numFmtId="3" fontId="15" fillId="0" borderId="34" xfId="0" applyNumberFormat="1" applyFont="1" applyBorder="1" applyAlignment="1"/>
    <xf numFmtId="0" fontId="15" fillId="0" borderId="35" xfId="0" applyNumberFormat="1" applyFont="1" applyBorder="1" applyAlignment="1" applyProtection="1">
      <protection locked="0"/>
    </xf>
    <xf numFmtId="37" fontId="33" fillId="0" borderId="35" xfId="0" applyNumberFormat="1" applyFont="1" applyBorder="1" applyAlignment="1" applyProtection="1">
      <protection locked="0"/>
    </xf>
    <xf numFmtId="0" fontId="33" fillId="0" borderId="35" xfId="0" applyNumberFormat="1" applyFont="1" applyBorder="1" applyAlignment="1" applyProtection="1">
      <protection locked="0"/>
    </xf>
    <xf numFmtId="3" fontId="33" fillId="0" borderId="35" xfId="0" applyNumberFormat="1" applyFont="1" applyBorder="1" applyAlignment="1"/>
    <xf numFmtId="37" fontId="33" fillId="0" borderId="35" xfId="0" applyNumberFormat="1" applyFont="1" applyBorder="1" applyAlignment="1"/>
    <xf numFmtId="3" fontId="15" fillId="0" borderId="35" xfId="0" applyNumberFormat="1" applyFont="1" applyBorder="1" applyAlignment="1"/>
    <xf numFmtId="37" fontId="15" fillId="0" borderId="35" xfId="0" applyNumberFormat="1" applyFont="1" applyBorder="1" applyAlignment="1"/>
    <xf numFmtId="37" fontId="15" fillId="0" borderId="35" xfId="0" applyNumberFormat="1" applyFont="1" applyBorder="1" applyAlignment="1" applyProtection="1">
      <protection locked="0"/>
    </xf>
    <xf numFmtId="37" fontId="31" fillId="0" borderId="5" xfId="0" applyNumberFormat="1" applyFont="1" applyBorder="1" applyAlignment="1"/>
    <xf numFmtId="37" fontId="15" fillId="0" borderId="34" xfId="0" applyNumberFormat="1" applyFont="1" applyBorder="1" applyAlignment="1"/>
    <xf numFmtId="0" fontId="27" fillId="0" borderId="0" xfId="0" applyNumberFormat="1" applyFont="1" applyAlignment="1"/>
    <xf numFmtId="0" fontId="31" fillId="0" borderId="36" xfId="0" applyNumberFormat="1" applyFont="1" applyBorder="1" applyAlignment="1" applyProtection="1">
      <protection locked="0"/>
    </xf>
    <xf numFmtId="37" fontId="31" fillId="0" borderId="36" xfId="0" applyNumberFormat="1" applyFont="1" applyBorder="1" applyAlignment="1" applyProtection="1">
      <protection locked="0"/>
    </xf>
    <xf numFmtId="37" fontId="33" fillId="0" borderId="34" xfId="0" applyNumberFormat="1" applyFont="1" applyBorder="1" applyAlignment="1"/>
    <xf numFmtId="37" fontId="33" fillId="0" borderId="5" xfId="0" applyNumberFormat="1" applyFont="1" applyBorder="1" applyAlignment="1"/>
    <xf numFmtId="0" fontId="33" fillId="0" borderId="37" xfId="0" applyNumberFormat="1" applyFont="1" applyBorder="1" applyAlignment="1" applyProtection="1">
      <protection locked="0"/>
    </xf>
    <xf numFmtId="37" fontId="33" fillId="0" borderId="37" xfId="0" applyNumberFormat="1" applyFont="1" applyBorder="1" applyAlignment="1" applyProtection="1">
      <protection locked="0"/>
    </xf>
    <xf numFmtId="0" fontId="15" fillId="0" borderId="38" xfId="0" applyNumberFormat="1" applyFont="1" applyBorder="1" applyAlignment="1" applyProtection="1">
      <protection locked="0"/>
    </xf>
    <xf numFmtId="37" fontId="33" fillId="0" borderId="38" xfId="0" applyNumberFormat="1" applyFont="1" applyBorder="1" applyAlignment="1" applyProtection="1">
      <protection locked="0"/>
    </xf>
    <xf numFmtId="0" fontId="31" fillId="0" borderId="37" xfId="0" applyNumberFormat="1" applyFont="1" applyBorder="1" applyAlignment="1" applyProtection="1">
      <protection locked="0"/>
    </xf>
    <xf numFmtId="37" fontId="31" fillId="0" borderId="34" xfId="0" applyNumberFormat="1" applyFont="1" applyBorder="1" applyAlignment="1" applyProtection="1">
      <protection locked="0"/>
    </xf>
    <xf numFmtId="37" fontId="31" fillId="0" borderId="34" xfId="0" applyNumberFormat="1" applyFont="1" applyBorder="1" applyAlignment="1"/>
    <xf numFmtId="3" fontId="31" fillId="0" borderId="6" xfId="0" applyNumberFormat="1" applyFont="1" applyBorder="1" applyAlignment="1"/>
    <xf numFmtId="0" fontId="33" fillId="0" borderId="5" xfId="0" applyNumberFormat="1" applyFont="1" applyBorder="1" applyAlignment="1" applyProtection="1">
      <protection locked="0"/>
    </xf>
    <xf numFmtId="37" fontId="33" fillId="0" borderId="5" xfId="0" applyNumberFormat="1" applyFont="1" applyBorder="1" applyAlignment="1" applyProtection="1">
      <protection locked="0"/>
    </xf>
    <xf numFmtId="37" fontId="15" fillId="0" borderId="39" xfId="0" applyNumberFormat="1" applyFont="1" applyBorder="1" applyAlignment="1" applyProtection="1">
      <protection locked="0"/>
    </xf>
    <xf numFmtId="0" fontId="34" fillId="0" borderId="0" xfId="0" applyNumberFormat="1" applyFont="1" applyAlignment="1"/>
    <xf numFmtId="38" fontId="24" fillId="0" borderId="0" xfId="0" applyNumberFormat="1" applyFont="1" applyAlignment="1"/>
    <xf numFmtId="38" fontId="19" fillId="0" borderId="0" xfId="0" applyNumberFormat="1" applyFont="1" applyBorder="1" applyAlignment="1"/>
    <xf numFmtId="38" fontId="24" fillId="0" borderId="0" xfId="0" applyNumberFormat="1" applyFont="1" applyBorder="1" applyAlignment="1"/>
    <xf numFmtId="10" fontId="24" fillId="0" borderId="0" xfId="0" applyNumberFormat="1" applyFont="1" applyBorder="1" applyAlignment="1"/>
    <xf numFmtId="38" fontId="24" fillId="0" borderId="8" xfId="0" applyNumberFormat="1" applyFont="1" applyBorder="1" applyAlignment="1"/>
    <xf numFmtId="38" fontId="21" fillId="0" borderId="40" xfId="0" applyNumberFormat="1" applyFont="1" applyBorder="1" applyAlignment="1" applyProtection="1">
      <alignment horizontal="center"/>
      <protection locked="0"/>
    </xf>
    <xf numFmtId="38" fontId="21" fillId="0" borderId="41" xfId="0" applyNumberFormat="1" applyFont="1" applyBorder="1" applyAlignment="1" applyProtection="1">
      <alignment horizontal="center"/>
      <protection locked="0"/>
    </xf>
    <xf numFmtId="38" fontId="21" fillId="0" borderId="40" xfId="0" applyNumberFormat="1" applyFont="1" applyBorder="1" applyAlignment="1">
      <alignment horizontal="center"/>
    </xf>
    <xf numFmtId="10" fontId="21" fillId="0" borderId="41" xfId="0" applyNumberFormat="1" applyFont="1" applyBorder="1" applyAlignment="1">
      <alignment horizontal="center"/>
    </xf>
    <xf numFmtId="3" fontId="22" fillId="0" borderId="0" xfId="0" applyNumberFormat="1" applyFont="1" applyBorder="1"/>
    <xf numFmtId="38" fontId="21" fillId="0" borderId="9" xfId="0" applyNumberFormat="1" applyFont="1" applyBorder="1" applyAlignment="1">
      <alignment horizontal="center"/>
    </xf>
    <xf numFmtId="38" fontId="21" fillId="0" borderId="11" xfId="0" applyNumberFormat="1" applyFont="1" applyBorder="1" applyAlignment="1" applyProtection="1">
      <alignment horizontal="center"/>
      <protection locked="0"/>
    </xf>
    <xf numFmtId="38" fontId="21" fillId="0" borderId="42" xfId="0" applyNumberFormat="1" applyFont="1" applyBorder="1" applyAlignment="1">
      <alignment horizontal="center"/>
    </xf>
    <xf numFmtId="38" fontId="21" fillId="0" borderId="43" xfId="0" applyNumberFormat="1" applyFont="1" applyBorder="1" applyAlignment="1">
      <alignment horizontal="center"/>
    </xf>
    <xf numFmtId="10" fontId="21" fillId="0" borderId="42" xfId="0" applyNumberFormat="1" applyFont="1" applyBorder="1" applyAlignment="1">
      <alignment horizontal="center"/>
    </xf>
    <xf numFmtId="38" fontId="21" fillId="0" borderId="1" xfId="0" applyNumberFormat="1" applyFont="1" applyBorder="1" applyAlignment="1">
      <alignment horizontal="center"/>
    </xf>
    <xf numFmtId="38" fontId="22" fillId="0" borderId="30" xfId="0" applyNumberFormat="1" applyFont="1" applyBorder="1" applyAlignment="1"/>
    <xf numFmtId="38" fontId="22" fillId="0" borderId="0" xfId="0" applyNumberFormat="1" applyFont="1" applyBorder="1" applyAlignment="1"/>
    <xf numFmtId="10" fontId="22" fillId="0" borderId="30" xfId="0" applyNumberFormat="1" applyFont="1" applyBorder="1" applyAlignment="1"/>
    <xf numFmtId="38" fontId="22" fillId="0" borderId="9" xfId="0" applyNumberFormat="1" applyFont="1" applyBorder="1" applyAlignment="1"/>
    <xf numFmtId="38" fontId="22" fillId="0" borderId="44" xfId="0" applyNumberFormat="1" applyFont="1" applyBorder="1" applyAlignment="1" applyProtection="1">
      <protection locked="0"/>
    </xf>
    <xf numFmtId="38" fontId="22" fillId="0" borderId="45" xfId="0" applyNumberFormat="1" applyFont="1" applyBorder="1" applyAlignment="1" applyProtection="1">
      <protection locked="0"/>
    </xf>
    <xf numFmtId="10" fontId="22" fillId="0" borderId="44" xfId="0" applyNumberFormat="1" applyFont="1" applyBorder="1" applyAlignment="1" applyProtection="1">
      <protection locked="0"/>
    </xf>
    <xf numFmtId="38" fontId="22" fillId="0" borderId="1" xfId="0" applyNumberFormat="1" applyFont="1" applyBorder="1" applyAlignment="1" applyProtection="1">
      <protection locked="0"/>
    </xf>
    <xf numFmtId="38" fontId="22" fillId="0" borderId="18" xfId="0" applyNumberFormat="1" applyFont="1" applyBorder="1" applyAlignment="1" applyProtection="1">
      <protection locked="0"/>
    </xf>
    <xf numFmtId="38" fontId="22" fillId="0" borderId="19" xfId="0" applyNumberFormat="1" applyFont="1" applyBorder="1" applyAlignment="1" applyProtection="1">
      <protection locked="0"/>
    </xf>
    <xf numFmtId="38" fontId="22" fillId="0" borderId="9" xfId="0" applyNumberFormat="1" applyFont="1" applyBorder="1" applyAlignment="1" applyProtection="1">
      <protection locked="0"/>
    </xf>
    <xf numFmtId="38" fontId="22" fillId="0" borderId="30" xfId="0" applyNumberFormat="1" applyFont="1" applyBorder="1" applyAlignment="1" applyProtection="1">
      <protection locked="0"/>
    </xf>
    <xf numFmtId="38" fontId="22" fillId="0" borderId="0" xfId="0" applyNumberFormat="1" applyFont="1" applyBorder="1" applyAlignment="1" applyProtection="1">
      <protection locked="0"/>
    </xf>
    <xf numFmtId="10" fontId="22" fillId="0" borderId="30" xfId="0" applyNumberFormat="1" applyFont="1" applyBorder="1" applyAlignment="1" applyProtection="1">
      <protection locked="0"/>
    </xf>
    <xf numFmtId="38" fontId="22" fillId="0" borderId="25" xfId="0" applyNumberFormat="1" applyFont="1" applyBorder="1" applyAlignment="1" applyProtection="1">
      <protection locked="0"/>
    </xf>
    <xf numFmtId="38" fontId="22" fillId="0" borderId="46" xfId="0" applyNumberFormat="1" applyFont="1" applyBorder="1" applyAlignment="1"/>
    <xf numFmtId="38" fontId="22" fillId="0" borderId="47" xfId="0" applyNumberFormat="1" applyFont="1" applyBorder="1" applyAlignment="1"/>
    <xf numFmtId="10" fontId="22" fillId="0" borderId="48" xfId="0" applyNumberFormat="1" applyFont="1" applyBorder="1" applyAlignment="1"/>
    <xf numFmtId="38" fontId="22" fillId="0" borderId="19" xfId="0" applyNumberFormat="1" applyFont="1" applyBorder="1" applyAlignment="1"/>
    <xf numFmtId="38" fontId="22" fillId="0" borderId="49" xfId="0" applyNumberFormat="1" applyFont="1" applyBorder="1" applyAlignment="1" applyProtection="1">
      <protection locked="0"/>
    </xf>
    <xf numFmtId="38" fontId="22" fillId="0" borderId="50" xfId="0" applyNumberFormat="1" applyFont="1" applyBorder="1" applyAlignment="1" applyProtection="1">
      <protection locked="0"/>
    </xf>
    <xf numFmtId="10" fontId="22" fillId="0" borderId="51" xfId="0" applyNumberFormat="1" applyFont="1" applyBorder="1" applyAlignment="1" applyProtection="1">
      <protection locked="0"/>
    </xf>
    <xf numFmtId="10" fontId="22" fillId="0" borderId="52" xfId="0" applyNumberFormat="1" applyFont="1" applyBorder="1" applyAlignment="1" applyProtection="1">
      <protection locked="0"/>
    </xf>
    <xf numFmtId="38" fontId="22" fillId="0" borderId="46" xfId="0" applyNumberFormat="1" applyFont="1" applyBorder="1" applyAlignment="1" applyProtection="1">
      <protection locked="0"/>
    </xf>
    <xf numFmtId="38" fontId="22" fillId="0" borderId="47" xfId="0" applyNumberFormat="1" applyFont="1" applyBorder="1" applyAlignment="1" applyProtection="1">
      <protection locked="0"/>
    </xf>
    <xf numFmtId="10" fontId="22" fillId="0" borderId="53" xfId="0" applyNumberFormat="1" applyFont="1" applyBorder="1" applyAlignment="1" applyProtection="1">
      <protection locked="0"/>
    </xf>
    <xf numFmtId="10" fontId="22" fillId="0" borderId="49" xfId="0" applyNumberFormat="1" applyFont="1" applyBorder="1" applyAlignment="1" applyProtection="1">
      <protection locked="0"/>
    </xf>
    <xf numFmtId="38" fontId="22" fillId="0" borderId="44" xfId="0" applyNumberFormat="1" applyFont="1" applyBorder="1" applyAlignment="1"/>
    <xf numFmtId="38" fontId="22" fillId="0" borderId="45" xfId="0" applyNumberFormat="1" applyFont="1" applyBorder="1" applyAlignment="1"/>
    <xf numFmtId="10" fontId="22" fillId="0" borderId="44" xfId="0" applyNumberFormat="1" applyFont="1" applyBorder="1" applyAlignment="1"/>
    <xf numFmtId="10" fontId="22" fillId="0" borderId="44" xfId="7" applyNumberFormat="1" applyFont="1" applyBorder="1" applyAlignment="1">
      <alignment horizontal="right"/>
    </xf>
    <xf numFmtId="38" fontId="22" fillId="0" borderId="54" xfId="0" applyNumberFormat="1" applyFont="1" applyBorder="1" applyAlignment="1" applyProtection="1">
      <protection locked="0"/>
    </xf>
    <xf numFmtId="38" fontId="22" fillId="0" borderId="55" xfId="0" applyNumberFormat="1" applyFont="1" applyBorder="1" applyAlignment="1" applyProtection="1">
      <protection locked="0"/>
    </xf>
    <xf numFmtId="38" fontId="22" fillId="0" borderId="56" xfId="0" applyNumberFormat="1" applyFont="1" applyBorder="1" applyAlignment="1" applyProtection="1">
      <protection locked="0"/>
    </xf>
    <xf numFmtId="10" fontId="22" fillId="0" borderId="46" xfId="0" applyNumberFormat="1" applyFont="1" applyBorder="1" applyAlignment="1" applyProtection="1">
      <protection locked="0"/>
    </xf>
    <xf numFmtId="38" fontId="21" fillId="0" borderId="57" xfId="0" applyNumberFormat="1" applyFont="1" applyBorder="1" applyAlignment="1">
      <alignment horizontal="center"/>
    </xf>
    <xf numFmtId="38" fontId="21" fillId="0" borderId="58" xfId="0" applyNumberFormat="1" applyFont="1" applyBorder="1" applyAlignment="1">
      <alignment horizontal="center"/>
    </xf>
    <xf numFmtId="38" fontId="22" fillId="0" borderId="48" xfId="0" applyNumberFormat="1" applyFont="1" applyBorder="1" applyAlignment="1"/>
    <xf numFmtId="38" fontId="22" fillId="0" borderId="52" xfId="0" applyNumberFormat="1" applyFont="1" applyBorder="1" applyAlignment="1" applyProtection="1">
      <protection locked="0"/>
    </xf>
    <xf numFmtId="38" fontId="22" fillId="0" borderId="48" xfId="0" applyNumberFormat="1" applyFont="1" applyBorder="1" applyAlignment="1" applyProtection="1">
      <protection locked="0"/>
    </xf>
    <xf numFmtId="38" fontId="22" fillId="0" borderId="53" xfId="0" applyNumberFormat="1" applyFont="1" applyBorder="1" applyAlignment="1"/>
    <xf numFmtId="38" fontId="22" fillId="0" borderId="51" xfId="0" applyNumberFormat="1" applyFont="1" applyBorder="1" applyAlignment="1" applyProtection="1">
      <protection locked="0"/>
    </xf>
    <xf numFmtId="38" fontId="22" fillId="0" borderId="53" xfId="0" applyNumberFormat="1" applyFont="1" applyBorder="1" applyAlignment="1" applyProtection="1">
      <protection locked="0"/>
    </xf>
    <xf numFmtId="38" fontId="22" fillId="0" borderId="52" xfId="0" applyNumberFormat="1" applyFont="1" applyBorder="1" applyAlignment="1"/>
    <xf numFmtId="0" fontId="31" fillId="0" borderId="59" xfId="0" applyNumberFormat="1" applyFont="1" applyBorder="1" applyAlignment="1" applyProtection="1">
      <protection locked="0"/>
    </xf>
    <xf numFmtId="38" fontId="22" fillId="0" borderId="28" xfId="0" applyNumberFormat="1" applyFont="1" applyBorder="1" applyAlignment="1" applyProtection="1">
      <protection locked="0"/>
    </xf>
    <xf numFmtId="38" fontId="6" fillId="0" borderId="60" xfId="0" applyNumberFormat="1" applyFont="1" applyBorder="1" applyAlignment="1" applyProtection="1">
      <protection locked="0"/>
    </xf>
    <xf numFmtId="38" fontId="21" fillId="0" borderId="18" xfId="0" applyNumberFormat="1" applyFont="1" applyBorder="1" applyAlignment="1" applyProtection="1">
      <protection locked="0"/>
    </xf>
    <xf numFmtId="38" fontId="21" fillId="0" borderId="19" xfId="0" applyNumberFormat="1" applyFont="1" applyBorder="1" applyAlignment="1" applyProtection="1">
      <protection locked="0"/>
    </xf>
    <xf numFmtId="38" fontId="21" fillId="0" borderId="19" xfId="0" applyNumberFormat="1" applyFont="1" applyBorder="1" applyAlignment="1"/>
    <xf numFmtId="38" fontId="22" fillId="0" borderId="26" xfId="0" applyNumberFormat="1" applyFont="1" applyBorder="1" applyAlignment="1"/>
    <xf numFmtId="38" fontId="21" fillId="0" borderId="9" xfId="0" applyNumberFormat="1" applyFont="1" applyBorder="1" applyAlignment="1"/>
    <xf numFmtId="38" fontId="21" fillId="0" borderId="9" xfId="0" applyNumberFormat="1" applyFont="1" applyBorder="1" applyAlignment="1" applyProtection="1">
      <protection locked="0"/>
    </xf>
    <xf numFmtId="38" fontId="21" fillId="0" borderId="25" xfId="0" applyNumberFormat="1" applyFont="1" applyBorder="1" applyAlignment="1" applyProtection="1">
      <protection locked="0"/>
    </xf>
    <xf numFmtId="3" fontId="19" fillId="0" borderId="17" xfId="0" applyNumberFormat="1" applyFont="1" applyBorder="1" applyAlignment="1"/>
    <xf numFmtId="3" fontId="7" fillId="0" borderId="7" xfId="0" applyNumberFormat="1" applyFont="1" applyBorder="1" applyAlignment="1"/>
    <xf numFmtId="0" fontId="15" fillId="0" borderId="61" xfId="0" applyNumberFormat="1" applyFont="1" applyBorder="1" applyAlignment="1" applyProtection="1">
      <protection locked="0"/>
    </xf>
    <xf numFmtId="3" fontId="31" fillId="0" borderId="29" xfId="0" applyNumberFormat="1" applyFont="1" applyBorder="1" applyAlignment="1"/>
    <xf numFmtId="37" fontId="33" fillId="0" borderId="34" xfId="0" applyNumberFormat="1" applyFont="1" applyBorder="1" applyAlignment="1" applyProtection="1">
      <protection locked="0"/>
    </xf>
    <xf numFmtId="0" fontId="15" fillId="0" borderId="62" xfId="0" applyNumberFormat="1" applyFont="1" applyBorder="1" applyAlignment="1" applyProtection="1">
      <protection locked="0"/>
    </xf>
    <xf numFmtId="37" fontId="15" fillId="0" borderId="34" xfId="0" applyNumberFormat="1" applyFont="1" applyBorder="1" applyAlignment="1" applyProtection="1">
      <protection locked="0"/>
    </xf>
    <xf numFmtId="0" fontId="31" fillId="0" borderId="7" xfId="0" applyNumberFormat="1" applyFont="1" applyBorder="1" applyAlignment="1" applyProtection="1">
      <protection locked="0"/>
    </xf>
    <xf numFmtId="37" fontId="31" fillId="0" borderId="7" xfId="0" applyNumberFormat="1" applyFont="1" applyBorder="1" applyAlignment="1" applyProtection="1">
      <protection locked="0"/>
    </xf>
    <xf numFmtId="0" fontId="31" fillId="0" borderId="0" xfId="0" applyNumberFormat="1" applyFont="1" applyBorder="1" applyAlignment="1" applyProtection="1">
      <protection locked="0"/>
    </xf>
    <xf numFmtId="37" fontId="31" fillId="0" borderId="0" xfId="0" applyNumberFormat="1" applyFont="1" applyBorder="1" applyAlignment="1" applyProtection="1">
      <protection locked="0"/>
    </xf>
    <xf numFmtId="0" fontId="27" fillId="0" borderId="0" xfId="0" applyNumberFormat="1" applyFont="1" applyBorder="1" applyAlignment="1"/>
    <xf numFmtId="0" fontId="30" fillId="0" borderId="0" xfId="0" applyNumberFormat="1" applyFont="1" applyBorder="1" applyAlignment="1" applyProtection="1">
      <protection locked="0"/>
    </xf>
    <xf numFmtId="0" fontId="15" fillId="0" borderId="39" xfId="0" applyNumberFormat="1" applyFont="1" applyBorder="1" applyAlignment="1" applyProtection="1">
      <protection locked="0"/>
    </xf>
    <xf numFmtId="37" fontId="33" fillId="0" borderId="39" xfId="0" applyNumberFormat="1" applyFont="1" applyBorder="1" applyAlignment="1" applyProtection="1">
      <protection locked="0"/>
    </xf>
    <xf numFmtId="3" fontId="31" fillId="0" borderId="34" xfId="0" applyNumberFormat="1" applyFont="1" applyBorder="1" applyAlignment="1"/>
    <xf numFmtId="0" fontId="31" fillId="0" borderId="35" xfId="0" applyNumberFormat="1" applyFont="1" applyBorder="1" applyAlignment="1" applyProtection="1">
      <protection locked="0"/>
    </xf>
    <xf numFmtId="37" fontId="31" fillId="0" borderId="35" xfId="0" applyNumberFormat="1" applyFont="1" applyBorder="1" applyAlignment="1" applyProtection="1">
      <protection locked="0"/>
    </xf>
    <xf numFmtId="37" fontId="31" fillId="0" borderId="35" xfId="0" applyNumberFormat="1" applyFont="1" applyBorder="1" applyAlignment="1"/>
    <xf numFmtId="0" fontId="33" fillId="0" borderId="59" xfId="0" applyNumberFormat="1" applyFont="1" applyBorder="1" applyAlignment="1" applyProtection="1">
      <protection locked="0"/>
    </xf>
    <xf numFmtId="37" fontId="33" fillId="0" borderId="59" xfId="0" applyNumberFormat="1" applyFont="1" applyBorder="1" applyAlignment="1" applyProtection="1">
      <protection locked="0"/>
    </xf>
    <xf numFmtId="0" fontId="27" fillId="0" borderId="17" xfId="0" applyNumberFormat="1" applyFont="1" applyBorder="1" applyAlignment="1"/>
    <xf numFmtId="0" fontId="31" fillId="0" borderId="63" xfId="0" applyNumberFormat="1" applyFont="1" applyBorder="1" applyAlignment="1" applyProtection="1">
      <protection locked="0"/>
    </xf>
    <xf numFmtId="37" fontId="31" fillId="0" borderId="64" xfId="0" applyNumberFormat="1" applyFont="1" applyBorder="1" applyAlignment="1" applyProtection="1">
      <protection locked="0"/>
    </xf>
    <xf numFmtId="0" fontId="31" fillId="0" borderId="61" xfId="0" applyNumberFormat="1" applyFont="1" applyBorder="1" applyAlignment="1" applyProtection="1">
      <protection locked="0"/>
    </xf>
    <xf numFmtId="37" fontId="31" fillId="0" borderId="61" xfId="0" applyNumberFormat="1" applyFont="1" applyBorder="1" applyAlignment="1" applyProtection="1">
      <protection locked="0"/>
    </xf>
    <xf numFmtId="3" fontId="32" fillId="0" borderId="0" xfId="0" applyNumberFormat="1" applyFont="1" applyBorder="1" applyAlignment="1"/>
    <xf numFmtId="0" fontId="33" fillId="0" borderId="0" xfId="0" applyNumberFormat="1" applyFont="1" applyBorder="1" applyAlignment="1" applyProtection="1">
      <protection locked="0"/>
    </xf>
    <xf numFmtId="37" fontId="33" fillId="0" borderId="0" xfId="0" applyNumberFormat="1" applyFont="1" applyBorder="1" applyAlignment="1" applyProtection="1">
      <protection locked="0"/>
    </xf>
    <xf numFmtId="0" fontId="33" fillId="0" borderId="29" xfId="0" applyNumberFormat="1" applyFont="1" applyBorder="1" applyAlignment="1" applyProtection="1">
      <protection locked="0"/>
    </xf>
    <xf numFmtId="37" fontId="33" fillId="0" borderId="29" xfId="0" applyNumberFormat="1" applyFont="1" applyBorder="1" applyAlignment="1" applyProtection="1">
      <protection locked="0"/>
    </xf>
    <xf numFmtId="37" fontId="33" fillId="0" borderId="29" xfId="0" applyNumberFormat="1" applyFont="1" applyBorder="1" applyAlignment="1"/>
    <xf numFmtId="3" fontId="31" fillId="0" borderId="35" xfId="0" applyNumberFormat="1" applyFont="1" applyBorder="1" applyAlignment="1"/>
    <xf numFmtId="0" fontId="33" fillId="0" borderId="65" xfId="0" applyNumberFormat="1" applyFont="1" applyBorder="1" applyAlignment="1" applyProtection="1">
      <protection locked="0"/>
    </xf>
    <xf numFmtId="37" fontId="13" fillId="0" borderId="35" xfId="0" applyNumberFormat="1" applyFont="1" applyBorder="1" applyAlignment="1" applyProtection="1">
      <protection locked="0"/>
    </xf>
    <xf numFmtId="37" fontId="33" fillId="0" borderId="65" xfId="0" applyNumberFormat="1" applyFont="1" applyBorder="1" applyAlignment="1" applyProtection="1">
      <protection locked="0"/>
    </xf>
    <xf numFmtId="37" fontId="30" fillId="0" borderId="0" xfId="0" applyNumberFormat="1" applyFont="1" applyBorder="1" applyAlignment="1" applyProtection="1">
      <protection locked="0"/>
    </xf>
    <xf numFmtId="37" fontId="31" fillId="0" borderId="65" xfId="0" applyNumberFormat="1" applyFont="1" applyBorder="1" applyAlignment="1" applyProtection="1">
      <protection locked="0"/>
    </xf>
    <xf numFmtId="3" fontId="31" fillId="0" borderId="59" xfId="0" applyNumberFormat="1" applyFont="1" applyBorder="1" applyAlignment="1"/>
    <xf numFmtId="37" fontId="31" fillId="0" borderId="59" xfId="0" applyNumberFormat="1" applyFont="1" applyBorder="1" applyAlignment="1" applyProtection="1">
      <protection locked="0"/>
    </xf>
    <xf numFmtId="37" fontId="31" fillId="0" borderId="59" xfId="0" applyNumberFormat="1" applyFont="1" applyBorder="1" applyAlignment="1"/>
    <xf numFmtId="0" fontId="33" fillId="0" borderId="32" xfId="0" applyNumberFormat="1" applyFont="1" applyBorder="1" applyAlignment="1" applyProtection="1">
      <protection locked="0"/>
    </xf>
    <xf numFmtId="37" fontId="33" fillId="0" borderId="32" xfId="0" applyNumberFormat="1" applyFont="1" applyBorder="1" applyAlignment="1" applyProtection="1">
      <protection locked="0"/>
    </xf>
    <xf numFmtId="37" fontId="33" fillId="0" borderId="32" xfId="0" applyNumberFormat="1" applyFont="1" applyBorder="1" applyAlignment="1"/>
    <xf numFmtId="0" fontId="13" fillId="0" borderId="59" xfId="0" applyNumberFormat="1" applyFont="1" applyBorder="1" applyAlignment="1" applyProtection="1">
      <protection locked="0"/>
    </xf>
    <xf numFmtId="37" fontId="31" fillId="0" borderId="37" xfId="0" applyNumberFormat="1" applyFont="1" applyBorder="1" applyAlignment="1" applyProtection="1">
      <protection locked="0"/>
    </xf>
    <xf numFmtId="0" fontId="33" fillId="0" borderId="62" xfId="0" applyNumberFormat="1" applyFont="1" applyBorder="1" applyAlignment="1" applyProtection="1">
      <protection locked="0"/>
    </xf>
    <xf numFmtId="37" fontId="13" fillId="0" borderId="62" xfId="0" applyNumberFormat="1" applyFont="1" applyBorder="1" applyAlignment="1" applyProtection="1">
      <protection locked="0"/>
    </xf>
    <xf numFmtId="0" fontId="33" fillId="0" borderId="38" xfId="0" applyNumberFormat="1" applyFont="1" applyBorder="1" applyAlignment="1" applyProtection="1">
      <protection locked="0"/>
    </xf>
    <xf numFmtId="37" fontId="13" fillId="0" borderId="38" xfId="0" applyNumberFormat="1" applyFont="1" applyBorder="1" applyAlignment="1" applyProtection="1">
      <protection locked="0"/>
    </xf>
    <xf numFmtId="0" fontId="31" fillId="0" borderId="39" xfId="0" applyNumberFormat="1" applyFont="1" applyBorder="1" applyAlignment="1" applyProtection="1">
      <protection locked="0"/>
    </xf>
    <xf numFmtId="37" fontId="15" fillId="0" borderId="29" xfId="0" applyNumberFormat="1" applyFont="1" applyBorder="1" applyAlignment="1" applyProtection="1">
      <protection locked="0"/>
    </xf>
    <xf numFmtId="37" fontId="35" fillId="0" borderId="0" xfId="0" applyNumberFormat="1" applyFont="1" applyAlignment="1"/>
    <xf numFmtId="164" fontId="24" fillId="0" borderId="17" xfId="0" applyNumberFormat="1" applyFont="1" applyBorder="1" applyAlignment="1"/>
    <xf numFmtId="164" fontId="20" fillId="0" borderId="0" xfId="0" applyNumberFormat="1" applyFont="1" applyAlignment="1"/>
    <xf numFmtId="164" fontId="20" fillId="0" borderId="8" xfId="0" applyNumberFormat="1" applyFont="1" applyBorder="1" applyAlignment="1"/>
    <xf numFmtId="164" fontId="21" fillId="0" borderId="1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23" fillId="0" borderId="19" xfId="0" applyNumberFormat="1" applyFont="1" applyBorder="1" applyAlignment="1"/>
    <xf numFmtId="164" fontId="23" fillId="0" borderId="9" xfId="0" applyNumberFormat="1" applyFont="1" applyBorder="1" applyAlignment="1"/>
    <xf numFmtId="164" fontId="22" fillId="0" borderId="26" xfId="0" applyNumberFormat="1" applyFont="1" applyBorder="1" applyAlignment="1" applyProtection="1">
      <alignment horizontal="right"/>
      <protection locked="0"/>
    </xf>
    <xf numFmtId="164" fontId="22" fillId="0" borderId="19" xfId="0" applyNumberFormat="1" applyFont="1" applyBorder="1" applyAlignment="1" applyProtection="1">
      <alignment horizontal="right"/>
      <protection locked="0"/>
    </xf>
    <xf numFmtId="164" fontId="21" fillId="0" borderId="26" xfId="0" applyNumberFormat="1" applyFont="1" applyBorder="1" applyAlignment="1" applyProtection="1">
      <alignment horizontal="right"/>
      <protection locked="0"/>
    </xf>
    <xf numFmtId="164" fontId="21" fillId="0" borderId="19" xfId="0" applyNumberFormat="1" applyFont="1" applyBorder="1" applyAlignment="1" applyProtection="1">
      <alignment horizontal="right"/>
      <protection locked="0"/>
    </xf>
    <xf numFmtId="164" fontId="22" fillId="0" borderId="19" xfId="0" applyNumberFormat="1" applyFont="1" applyBorder="1" applyAlignment="1">
      <alignment horizontal="right"/>
    </xf>
    <xf numFmtId="164" fontId="22" fillId="0" borderId="9" xfId="0" applyNumberFormat="1" applyFont="1" applyBorder="1" applyAlignment="1">
      <alignment horizontal="right"/>
    </xf>
    <xf numFmtId="164" fontId="23" fillId="0" borderId="0" xfId="0" applyNumberFormat="1" applyFont="1" applyBorder="1" applyAlignment="1"/>
    <xf numFmtId="164" fontId="24" fillId="0" borderId="0" xfId="0" applyNumberFormat="1" applyFont="1" applyAlignment="1"/>
    <xf numFmtId="164" fontId="24" fillId="0" borderId="0" xfId="0" applyNumberFormat="1" applyFont="1" applyAlignment="1" applyProtection="1">
      <protection locked="0"/>
    </xf>
    <xf numFmtId="164" fontId="23" fillId="0" borderId="0" xfId="0" applyNumberFormat="1" applyFont="1" applyAlignment="1" applyProtection="1">
      <protection locked="0"/>
    </xf>
    <xf numFmtId="164" fontId="1" fillId="0" borderId="0" xfId="0" applyNumberFormat="1" applyFont="1" applyAlignment="1" applyProtection="1">
      <protection locked="0"/>
    </xf>
    <xf numFmtId="164" fontId="1" fillId="0" borderId="0" xfId="0" applyNumberFormat="1" applyFont="1" applyAlignment="1"/>
    <xf numFmtId="164" fontId="29" fillId="0" borderId="17" xfId="0" applyNumberFormat="1" applyFont="1" applyBorder="1" applyAlignment="1"/>
    <xf numFmtId="164" fontId="22" fillId="0" borderId="1" xfId="0" applyNumberFormat="1" applyFont="1" applyBorder="1" applyAlignment="1" applyProtection="1">
      <protection locked="0"/>
    </xf>
    <xf numFmtId="164" fontId="22" fillId="0" borderId="18" xfId="0" applyNumberFormat="1" applyFont="1" applyBorder="1" applyAlignment="1" applyProtection="1">
      <protection locked="0"/>
    </xf>
    <xf numFmtId="164" fontId="22" fillId="0" borderId="19" xfId="0" applyNumberFormat="1" applyFont="1" applyBorder="1" applyAlignment="1" applyProtection="1">
      <protection locked="0"/>
    </xf>
    <xf numFmtId="164" fontId="21" fillId="0" borderId="19" xfId="0" applyNumberFormat="1" applyFont="1" applyBorder="1" applyAlignment="1" applyProtection="1">
      <protection locked="0"/>
    </xf>
    <xf numFmtId="164" fontId="21" fillId="0" borderId="1" xfId="0" applyNumberFormat="1" applyFont="1" applyBorder="1" applyAlignment="1" applyProtection="1">
      <protection locked="0"/>
    </xf>
    <xf numFmtId="164" fontId="22" fillId="0" borderId="19" xfId="0" applyNumberFormat="1" applyFont="1" applyBorder="1" applyAlignment="1"/>
    <xf numFmtId="164" fontId="22" fillId="0" borderId="9" xfId="0" applyNumberFormat="1" applyFont="1" applyBorder="1" applyAlignment="1"/>
    <xf numFmtId="164" fontId="22" fillId="0" borderId="9" xfId="0" applyNumberFormat="1" applyFont="1" applyBorder="1" applyAlignment="1" applyProtection="1">
      <protection locked="0"/>
    </xf>
    <xf numFmtId="164" fontId="8" fillId="0" borderId="0" xfId="0" applyNumberFormat="1" applyFont="1" applyAlignment="1" applyProtection="1">
      <protection locked="0"/>
    </xf>
    <xf numFmtId="164" fontId="8" fillId="0" borderId="0" xfId="0" applyNumberFormat="1" applyFont="1" applyAlignment="1"/>
    <xf numFmtId="164" fontId="22" fillId="0" borderId="21" xfId="0" applyNumberFormat="1" applyFont="1" applyBorder="1" applyAlignment="1" applyProtection="1">
      <protection locked="0"/>
    </xf>
    <xf numFmtId="164" fontId="22" fillId="0" borderId="25" xfId="0" applyNumberFormat="1" applyFont="1" applyBorder="1" applyAlignment="1" applyProtection="1">
      <protection locked="0"/>
    </xf>
    <xf numFmtId="164" fontId="1" fillId="0" borderId="17" xfId="0" applyNumberFormat="1" applyFont="1" applyBorder="1" applyAlignment="1"/>
    <xf numFmtId="164" fontId="10" fillId="0" borderId="3" xfId="0" applyNumberFormat="1" applyFont="1" applyBorder="1" applyAlignment="1"/>
    <xf numFmtId="164" fontId="10" fillId="0" borderId="0" xfId="0" applyNumberFormat="1" applyFont="1" applyAlignment="1"/>
    <xf numFmtId="164" fontId="13" fillId="0" borderId="66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164" fontId="16" fillId="0" borderId="62" xfId="0" applyNumberFormat="1" applyFont="1" applyBorder="1" applyAlignment="1"/>
    <xf numFmtId="164" fontId="16" fillId="0" borderId="38" xfId="0" applyNumberFormat="1" applyFont="1" applyBorder="1" applyAlignment="1"/>
    <xf numFmtId="164" fontId="15" fillId="0" borderId="38" xfId="0" applyNumberFormat="1" applyFont="1" applyBorder="1" applyAlignment="1" applyProtection="1">
      <protection locked="0"/>
    </xf>
    <xf numFmtId="164" fontId="15" fillId="0" borderId="62" xfId="0" applyNumberFormat="1" applyFont="1" applyBorder="1" applyAlignment="1" applyProtection="1">
      <protection locked="0"/>
    </xf>
    <xf numFmtId="164" fontId="13" fillId="0" borderId="62" xfId="0" applyNumberFormat="1" applyFont="1" applyBorder="1" applyAlignment="1" applyProtection="1">
      <protection locked="0"/>
    </xf>
    <xf numFmtId="164" fontId="13" fillId="0" borderId="38" xfId="0" applyNumberFormat="1" applyFont="1" applyBorder="1" applyAlignment="1" applyProtection="1">
      <protection locked="0"/>
    </xf>
    <xf numFmtId="164" fontId="15" fillId="0" borderId="62" xfId="0" applyNumberFormat="1" applyFont="1" applyBorder="1" applyAlignment="1"/>
    <xf numFmtId="164" fontId="15" fillId="0" borderId="38" xfId="0" applyNumberFormat="1" applyFont="1" applyBorder="1" applyAlignment="1"/>
    <xf numFmtId="164" fontId="13" fillId="0" borderId="67" xfId="0" applyNumberFormat="1" applyFont="1" applyBorder="1" applyAlignment="1" applyProtection="1">
      <protection locked="0"/>
    </xf>
    <xf numFmtId="164" fontId="16" fillId="0" borderId="7" xfId="0" applyNumberFormat="1" applyFont="1" applyBorder="1" applyAlignment="1"/>
    <xf numFmtId="164" fontId="18" fillId="0" borderId="0" xfId="0" applyNumberFormat="1" applyFont="1" applyAlignment="1"/>
    <xf numFmtId="164" fontId="18" fillId="0" borderId="0" xfId="0" applyNumberFormat="1" applyFont="1" applyAlignment="1" applyProtection="1">
      <protection locked="0"/>
    </xf>
    <xf numFmtId="164" fontId="16" fillId="0" borderId="0" xfId="0" applyNumberFormat="1" applyFont="1" applyAlignment="1" applyProtection="1">
      <protection locked="0"/>
    </xf>
    <xf numFmtId="164" fontId="14" fillId="0" borderId="0" xfId="0" applyNumberFormat="1" applyFont="1" applyAlignment="1" applyProtection="1">
      <protection locked="0"/>
    </xf>
    <xf numFmtId="164" fontId="31" fillId="0" borderId="62" xfId="0" applyNumberFormat="1" applyFont="1" applyBorder="1" applyAlignment="1" applyProtection="1">
      <protection locked="0"/>
    </xf>
    <xf numFmtId="164" fontId="15" fillId="0" borderId="39" xfId="0" applyNumberFormat="1" applyFont="1" applyBorder="1" applyAlignment="1" applyProtection="1">
      <protection locked="0"/>
    </xf>
    <xf numFmtId="164" fontId="13" fillId="0" borderId="33" xfId="0" applyNumberFormat="1" applyFont="1" applyBorder="1" applyAlignment="1" applyProtection="1">
      <protection locked="0"/>
    </xf>
    <xf numFmtId="164" fontId="31" fillId="0" borderId="38" xfId="0" applyNumberFormat="1" applyFont="1" applyBorder="1" applyAlignment="1" applyProtection="1">
      <protection locked="0"/>
    </xf>
    <xf numFmtId="164" fontId="31" fillId="0" borderId="39" xfId="0" applyNumberFormat="1" applyFont="1" applyBorder="1" applyAlignment="1" applyProtection="1">
      <protection locked="0"/>
    </xf>
    <xf numFmtId="164" fontId="31" fillId="0" borderId="33" xfId="0" applyNumberFormat="1" applyFont="1" applyBorder="1" applyAlignment="1" applyProtection="1">
      <protection locked="0"/>
    </xf>
    <xf numFmtId="164" fontId="13" fillId="0" borderId="30" xfId="0" applyNumberFormat="1" applyFont="1" applyBorder="1" applyAlignment="1" applyProtection="1">
      <protection locked="0"/>
    </xf>
    <xf numFmtId="164" fontId="33" fillId="0" borderId="62" xfId="0" applyNumberFormat="1" applyFont="1" applyBorder="1" applyAlignment="1" applyProtection="1">
      <protection locked="0"/>
    </xf>
    <xf numFmtId="164" fontId="31" fillId="0" borderId="61" xfId="0" applyNumberFormat="1" applyFont="1" applyBorder="1" applyAlignment="1" applyProtection="1">
      <protection locked="0"/>
    </xf>
    <xf numFmtId="0" fontId="15" fillId="0" borderId="33" xfId="0" applyNumberFormat="1" applyFont="1" applyBorder="1" applyAlignment="1" applyProtection="1">
      <protection locked="0"/>
    </xf>
    <xf numFmtId="164" fontId="12" fillId="0" borderId="0" xfId="0" applyNumberFormat="1" applyFont="1" applyBorder="1" applyAlignment="1"/>
    <xf numFmtId="164" fontId="13" fillId="0" borderId="39" xfId="0" applyNumberFormat="1" applyFont="1" applyBorder="1" applyAlignment="1">
      <alignment horizontal="center"/>
    </xf>
    <xf numFmtId="164" fontId="13" fillId="0" borderId="39" xfId="0" applyNumberFormat="1" applyFont="1" applyBorder="1" applyAlignment="1" applyProtection="1">
      <protection locked="0"/>
    </xf>
    <xf numFmtId="164" fontId="33" fillId="0" borderId="35" xfId="0" applyNumberFormat="1" applyFont="1" applyBorder="1" applyAlignment="1" applyProtection="1">
      <protection locked="0"/>
    </xf>
    <xf numFmtId="164" fontId="15" fillId="0" borderId="35" xfId="0" applyNumberFormat="1" applyFont="1" applyBorder="1" applyAlignment="1"/>
    <xf numFmtId="164" fontId="15" fillId="0" borderId="35" xfId="0" applyNumberFormat="1" applyFont="1" applyBorder="1" applyAlignment="1" applyProtection="1">
      <protection locked="0"/>
    </xf>
    <xf numFmtId="164" fontId="30" fillId="0" borderId="17" xfId="0" applyNumberFormat="1" applyFont="1" applyBorder="1" applyAlignment="1"/>
    <xf numFmtId="164" fontId="33" fillId="0" borderId="38" xfId="0" applyNumberFormat="1" applyFont="1" applyBorder="1" applyAlignment="1" applyProtection="1">
      <protection locked="0"/>
    </xf>
    <xf numFmtId="164" fontId="33" fillId="0" borderId="37" xfId="0" applyNumberFormat="1" applyFont="1" applyBorder="1" applyAlignment="1" applyProtection="1">
      <protection locked="0"/>
    </xf>
    <xf numFmtId="164" fontId="33" fillId="0" borderId="35" xfId="0" applyNumberFormat="1" applyFont="1" applyBorder="1" applyAlignment="1"/>
    <xf numFmtId="164" fontId="31" fillId="0" borderId="67" xfId="0" applyNumberFormat="1" applyFont="1" applyBorder="1" applyAlignment="1" applyProtection="1">
      <protection locked="0"/>
    </xf>
    <xf numFmtId="164" fontId="27" fillId="0" borderId="0" xfId="0" applyNumberFormat="1" applyFont="1" applyAlignment="1"/>
    <xf numFmtId="164" fontId="34" fillId="0" borderId="0" xfId="0" applyNumberFormat="1" applyFont="1" applyAlignment="1"/>
    <xf numFmtId="164" fontId="10" fillId="0" borderId="68" xfId="0" applyNumberFormat="1" applyFont="1" applyBorder="1" applyAlignment="1"/>
    <xf numFmtId="164" fontId="31" fillId="0" borderId="35" xfId="0" applyNumberFormat="1" applyFont="1" applyBorder="1" applyAlignment="1" applyProtection="1">
      <protection locked="0"/>
    </xf>
    <xf numFmtId="164" fontId="24" fillId="0" borderId="8" xfId="0" applyNumberFormat="1" applyFont="1" applyBorder="1" applyAlignment="1"/>
    <xf numFmtId="164" fontId="1" fillId="0" borderId="0" xfId="0" applyNumberFormat="1" applyFont="1" applyBorder="1" applyAlignment="1"/>
    <xf numFmtId="164" fontId="31" fillId="0" borderId="37" xfId="0" applyNumberFormat="1" applyFont="1" applyBorder="1" applyAlignment="1" applyProtection="1">
      <protection locked="0"/>
    </xf>
    <xf numFmtId="164" fontId="33" fillId="0" borderId="39" xfId="0" applyNumberFormat="1" applyFont="1" applyBorder="1" applyAlignment="1" applyProtection="1">
      <protection locked="0"/>
    </xf>
    <xf numFmtId="164" fontId="33" fillId="0" borderId="33" xfId="0" applyNumberFormat="1" applyFont="1" applyBorder="1" applyAlignment="1" applyProtection="1">
      <protection locked="0"/>
    </xf>
    <xf numFmtId="164" fontId="27" fillId="0" borderId="0" xfId="0" applyNumberFormat="1" applyFont="1" applyBorder="1" applyAlignment="1"/>
    <xf numFmtId="164" fontId="31" fillId="0" borderId="35" xfId="0" applyNumberFormat="1" applyFont="1" applyBorder="1" applyAlignment="1"/>
    <xf numFmtId="164" fontId="31" fillId="0" borderId="7" xfId="0" applyNumberFormat="1" applyFont="1" applyBorder="1" applyAlignment="1" applyProtection="1">
      <protection locked="0"/>
    </xf>
    <xf numFmtId="164" fontId="31" fillId="0" borderId="0" xfId="0" applyNumberFormat="1" applyFont="1" applyBorder="1" applyAlignment="1" applyProtection="1">
      <protection locked="0"/>
    </xf>
    <xf numFmtId="164" fontId="31" fillId="0" borderId="64" xfId="0" applyNumberFormat="1" applyFont="1" applyBorder="1" applyAlignment="1" applyProtection="1">
      <protection locked="0"/>
    </xf>
    <xf numFmtId="164" fontId="33" fillId="0" borderId="65" xfId="0" applyNumberFormat="1" applyFont="1" applyBorder="1" applyAlignment="1" applyProtection="1">
      <protection locked="0"/>
    </xf>
    <xf numFmtId="164" fontId="13" fillId="0" borderId="35" xfId="0" applyNumberFormat="1" applyFont="1" applyBorder="1" applyAlignment="1" applyProtection="1">
      <protection locked="0"/>
    </xf>
    <xf numFmtId="164" fontId="33" fillId="0" borderId="61" xfId="0" applyNumberFormat="1" applyFont="1" applyBorder="1" applyAlignment="1" applyProtection="1">
      <protection locked="0"/>
    </xf>
    <xf numFmtId="164" fontId="33" fillId="0" borderId="0" xfId="0" applyNumberFormat="1" applyFont="1" applyBorder="1" applyAlignment="1" applyProtection="1">
      <protection locked="0"/>
    </xf>
    <xf numFmtId="37" fontId="13" fillId="0" borderId="29" xfId="0" applyNumberFormat="1" applyFont="1" applyBorder="1" applyAlignment="1" applyProtection="1">
      <protection locked="0"/>
    </xf>
    <xf numFmtId="164" fontId="13" fillId="0" borderId="61" xfId="0" applyNumberFormat="1" applyFont="1" applyBorder="1" applyAlignment="1" applyProtection="1">
      <protection locked="0"/>
    </xf>
    <xf numFmtId="37" fontId="15" fillId="0" borderId="59" xfId="0" applyNumberFormat="1" applyFont="1" applyBorder="1" applyAlignment="1" applyProtection="1">
      <protection locked="0"/>
    </xf>
    <xf numFmtId="37" fontId="15" fillId="0" borderId="37" xfId="0" applyNumberFormat="1" applyFont="1" applyBorder="1" applyAlignment="1" applyProtection="1">
      <protection locked="0"/>
    </xf>
    <xf numFmtId="164" fontId="15" fillId="0" borderId="37" xfId="0" applyNumberFormat="1" applyFont="1" applyBorder="1" applyAlignment="1" applyProtection="1">
      <protection locked="0"/>
    </xf>
    <xf numFmtId="37" fontId="13" fillId="0" borderId="59" xfId="0" applyNumberFormat="1" applyFont="1" applyBorder="1" applyAlignment="1" applyProtection="1">
      <protection locked="0"/>
    </xf>
    <xf numFmtId="164" fontId="13" fillId="0" borderId="37" xfId="0" applyNumberFormat="1" applyFont="1" applyBorder="1" applyAlignment="1" applyProtection="1">
      <protection locked="0"/>
    </xf>
    <xf numFmtId="0" fontId="31" fillId="0" borderId="34" xfId="0" applyNumberFormat="1" applyFont="1" applyBorder="1" applyAlignment="1" applyProtection="1">
      <protection locked="0"/>
    </xf>
    <xf numFmtId="37" fontId="13" fillId="0" borderId="37" xfId="0" applyNumberFormat="1" applyFont="1" applyBorder="1" applyAlignment="1" applyProtection="1">
      <protection locked="0"/>
    </xf>
    <xf numFmtId="0" fontId="13" fillId="0" borderId="69" xfId="0" applyNumberFormat="1" applyFont="1" applyBorder="1" applyAlignment="1" applyProtection="1">
      <protection locked="0"/>
    </xf>
    <xf numFmtId="37" fontId="31" fillId="0" borderId="69" xfId="0" applyNumberFormat="1" applyFont="1" applyBorder="1" applyAlignment="1" applyProtection="1">
      <protection locked="0"/>
    </xf>
    <xf numFmtId="164" fontId="31" fillId="0" borderId="70" xfId="0" applyNumberFormat="1" applyFont="1" applyBorder="1" applyAlignment="1" applyProtection="1">
      <protection locked="0"/>
    </xf>
    <xf numFmtId="37" fontId="15" fillId="0" borderId="32" xfId="0" applyNumberFormat="1" applyFont="1" applyBorder="1" applyAlignment="1" applyProtection="1">
      <protection locked="0"/>
    </xf>
    <xf numFmtId="164" fontId="15" fillId="0" borderId="33" xfId="0" applyNumberFormat="1" applyFont="1" applyBorder="1" applyAlignment="1" applyProtection="1">
      <protection locked="0"/>
    </xf>
    <xf numFmtId="0" fontId="31" fillId="0" borderId="33" xfId="0" applyNumberFormat="1" applyFont="1" applyBorder="1" applyAlignment="1" applyProtection="1">
      <protection locked="0"/>
    </xf>
    <xf numFmtId="37" fontId="33" fillId="0" borderId="33" xfId="0" applyNumberFormat="1" applyFont="1" applyBorder="1" applyAlignment="1" applyProtection="1">
      <protection locked="0"/>
    </xf>
    <xf numFmtId="37" fontId="32" fillId="0" borderId="0" xfId="0" applyNumberFormat="1" applyFont="1" applyBorder="1" applyAlignment="1" applyProtection="1">
      <protection locked="0"/>
    </xf>
    <xf numFmtId="164" fontId="32" fillId="0" borderId="0" xfId="0" applyNumberFormat="1" applyFont="1" applyBorder="1" applyAlignment="1" applyProtection="1">
      <protection locked="0"/>
    </xf>
    <xf numFmtId="0" fontId="24" fillId="0" borderId="0" xfId="0" applyNumberFormat="1" applyFont="1" applyAlignment="1"/>
    <xf numFmtId="3" fontId="36" fillId="0" borderId="0" xfId="0" applyNumberFormat="1" applyFont="1" applyAlignment="1"/>
    <xf numFmtId="0" fontId="1" fillId="0" borderId="0" xfId="0" applyNumberFormat="1" applyFont="1" applyAlignment="1"/>
    <xf numFmtId="164" fontId="30" fillId="0" borderId="0" xfId="0" applyNumberFormat="1" applyFont="1" applyBorder="1" applyAlignment="1" applyProtection="1">
      <protection locked="0"/>
    </xf>
    <xf numFmtId="0" fontId="15" fillId="0" borderId="65" xfId="0" applyNumberFormat="1" applyFont="1" applyBorder="1" applyAlignment="1" applyProtection="1">
      <protection locked="0"/>
    </xf>
    <xf numFmtId="0" fontId="33" fillId="0" borderId="69" xfId="0" applyNumberFormat="1" applyFont="1" applyBorder="1" applyAlignment="1" applyProtection="1">
      <protection locked="0"/>
    </xf>
    <xf numFmtId="0" fontId="13" fillId="0" borderId="71" xfId="0" applyNumberFormat="1" applyFont="1" applyBorder="1" applyAlignment="1" applyProtection="1">
      <protection locked="0"/>
    </xf>
    <xf numFmtId="0" fontId="33" fillId="0" borderId="7" xfId="0" applyNumberFormat="1" applyFont="1" applyBorder="1" applyAlignment="1" applyProtection="1">
      <protection locked="0"/>
    </xf>
    <xf numFmtId="37" fontId="33" fillId="0" borderId="7" xfId="0" applyNumberFormat="1" applyFont="1" applyBorder="1" applyAlignment="1" applyProtection="1">
      <protection locked="0"/>
    </xf>
    <xf numFmtId="37" fontId="33" fillId="0" borderId="7" xfId="0" applyNumberFormat="1" applyFont="1" applyBorder="1" applyAlignment="1"/>
    <xf numFmtId="164" fontId="33" fillId="0" borderId="7" xfId="0" applyNumberFormat="1" applyFont="1" applyBorder="1" applyAlignment="1" applyProtection="1">
      <protection locked="0"/>
    </xf>
    <xf numFmtId="37" fontId="33" fillId="0" borderId="0" xfId="0" applyNumberFormat="1" applyFont="1" applyBorder="1" applyAlignment="1"/>
    <xf numFmtId="3" fontId="30" fillId="0" borderId="0" xfId="0" applyNumberFormat="1" applyFont="1" applyBorder="1" applyAlignment="1"/>
    <xf numFmtId="37" fontId="31" fillId="0" borderId="36" xfId="0" applyNumberFormat="1" applyFont="1" applyBorder="1" applyAlignment="1"/>
    <xf numFmtId="37" fontId="33" fillId="0" borderId="37" xfId="0" applyNumberFormat="1" applyFont="1" applyBorder="1" applyAlignment="1"/>
    <xf numFmtId="164" fontId="33" fillId="0" borderId="72" xfId="0" applyNumberFormat="1" applyFont="1" applyBorder="1" applyAlignment="1"/>
    <xf numFmtId="3" fontId="33" fillId="0" borderId="62" xfId="0" applyNumberFormat="1" applyFont="1" applyBorder="1" applyAlignment="1"/>
    <xf numFmtId="37" fontId="33" fillId="0" borderId="62" xfId="0" applyNumberFormat="1" applyFont="1" applyBorder="1" applyAlignment="1"/>
    <xf numFmtId="37" fontId="33" fillId="0" borderId="31" xfId="0" applyNumberFormat="1" applyFont="1" applyBorder="1" applyAlignment="1" applyProtection="1">
      <protection locked="0"/>
    </xf>
    <xf numFmtId="0" fontId="33" fillId="0" borderId="71" xfId="0" applyNumberFormat="1" applyFont="1" applyBorder="1" applyAlignment="1" applyProtection="1">
      <protection locked="0"/>
    </xf>
    <xf numFmtId="37" fontId="33" fillId="0" borderId="71" xfId="0" applyNumberFormat="1" applyFont="1" applyBorder="1" applyAlignment="1" applyProtection="1">
      <protection locked="0"/>
    </xf>
    <xf numFmtId="37" fontId="31" fillId="0" borderId="71" xfId="0" applyNumberFormat="1" applyFont="1" applyBorder="1" applyAlignment="1" applyProtection="1">
      <protection locked="0"/>
    </xf>
    <xf numFmtId="37" fontId="33" fillId="0" borderId="69" xfId="0" applyNumberFormat="1" applyFont="1" applyBorder="1" applyAlignment="1" applyProtection="1">
      <protection locked="0"/>
    </xf>
    <xf numFmtId="3" fontId="33" fillId="0" borderId="61" xfId="0" applyNumberFormat="1" applyFont="1" applyBorder="1" applyAlignment="1"/>
    <xf numFmtId="37" fontId="33" fillId="0" borderId="61" xfId="0" applyNumberFormat="1" applyFont="1" applyBorder="1" applyAlignment="1"/>
    <xf numFmtId="37" fontId="31" fillId="0" borderId="37" xfId="0" applyNumberFormat="1" applyFont="1" applyBorder="1" applyAlignment="1"/>
    <xf numFmtId="3" fontId="22" fillId="0" borderId="20" xfId="0" applyNumberFormat="1" applyFont="1" applyBorder="1" applyAlignment="1"/>
    <xf numFmtId="37" fontId="22" fillId="0" borderId="26" xfId="0" applyNumberFormat="1" applyFont="1" applyBorder="1" applyAlignment="1"/>
    <xf numFmtId="164" fontId="22" fillId="0" borderId="25" xfId="0" applyNumberFormat="1" applyFont="1" applyBorder="1" applyAlignment="1" applyProtection="1">
      <alignment horizontal="right"/>
      <protection locked="0"/>
    </xf>
    <xf numFmtId="3" fontId="13" fillId="0" borderId="36" xfId="0" applyNumberFormat="1" applyFont="1" applyBorder="1" applyAlignment="1"/>
    <xf numFmtId="37" fontId="13" fillId="0" borderId="36" xfId="0" applyNumberFormat="1" applyFont="1" applyBorder="1" applyAlignment="1" applyProtection="1">
      <protection locked="0"/>
    </xf>
    <xf numFmtId="37" fontId="13" fillId="0" borderId="67" xfId="0" applyNumberFormat="1" applyFont="1" applyBorder="1" applyAlignment="1" applyProtection="1">
      <protection locked="0"/>
    </xf>
    <xf numFmtId="3" fontId="37" fillId="0" borderId="0" xfId="0" applyNumberFormat="1" applyFont="1" applyAlignment="1"/>
    <xf numFmtId="37" fontId="22" fillId="0" borderId="19" xfId="0" applyNumberFormat="1" applyFont="1" applyFill="1" applyBorder="1" applyAlignment="1" applyProtection="1">
      <protection locked="0"/>
    </xf>
    <xf numFmtId="3" fontId="38" fillId="0" borderId="0" xfId="0" applyNumberFormat="1" applyFont="1" applyBorder="1" applyAlignment="1"/>
    <xf numFmtId="3" fontId="39" fillId="0" borderId="0" xfId="0" applyNumberFormat="1" applyFont="1" applyBorder="1" applyAlignment="1"/>
    <xf numFmtId="164" fontId="39" fillId="0" borderId="0" xfId="0" applyNumberFormat="1" applyFont="1" applyAlignment="1" applyProtection="1">
      <protection locked="0"/>
    </xf>
    <xf numFmtId="3" fontId="39" fillId="0" borderId="0" xfId="0" applyNumberFormat="1" applyFont="1" applyAlignment="1"/>
    <xf numFmtId="3" fontId="21" fillId="0" borderId="24" xfId="0" applyNumberFormat="1" applyFont="1" applyBorder="1" applyAlignment="1"/>
    <xf numFmtId="37" fontId="22" fillId="0" borderId="25" xfId="0" applyNumberFormat="1" applyFont="1" applyBorder="1" applyAlignment="1"/>
    <xf numFmtId="164" fontId="22" fillId="0" borderId="25" xfId="0" applyNumberFormat="1" applyFont="1" applyBorder="1" applyAlignment="1">
      <alignment horizontal="right"/>
    </xf>
    <xf numFmtId="164" fontId="22" fillId="0" borderId="9" xfId="0" applyNumberFormat="1" applyFont="1" applyBorder="1" applyAlignment="1" applyProtection="1">
      <alignment horizontal="right"/>
      <protection locked="0"/>
    </xf>
    <xf numFmtId="164" fontId="24" fillId="0" borderId="0" xfId="0" applyNumberFormat="1" applyFont="1" applyBorder="1" applyAlignment="1"/>
    <xf numFmtId="37" fontId="21" fillId="0" borderId="73" xfId="0" applyNumberFormat="1" applyFont="1" applyBorder="1" applyAlignment="1" applyProtection="1">
      <protection locked="0"/>
    </xf>
    <xf numFmtId="37" fontId="22" fillId="0" borderId="3" xfId="0" applyNumberFormat="1" applyFont="1" applyBorder="1" applyAlignment="1" applyProtection="1">
      <protection locked="0"/>
    </xf>
    <xf numFmtId="37" fontId="21" fillId="0" borderId="0" xfId="0" applyNumberFormat="1" applyFont="1" applyBorder="1" applyAlignment="1" applyProtection="1">
      <protection locked="0"/>
    </xf>
    <xf numFmtId="37" fontId="21" fillId="0" borderId="3" xfId="0" applyNumberFormat="1" applyFont="1" applyBorder="1" applyAlignment="1" applyProtection="1">
      <protection locked="0"/>
    </xf>
    <xf numFmtId="37" fontId="15" fillId="0" borderId="62" xfId="0" applyNumberFormat="1" applyFont="1" applyBorder="1" applyAlignment="1" applyProtection="1">
      <protection locked="0"/>
    </xf>
    <xf numFmtId="3" fontId="33" fillId="0" borderId="59" xfId="0" applyNumberFormat="1" applyFont="1" applyBorder="1" applyAlignment="1"/>
    <xf numFmtId="37" fontId="15" fillId="0" borderId="59" xfId="0" applyNumberFormat="1" applyFont="1" applyBorder="1" applyAlignment="1"/>
    <xf numFmtId="164" fontId="21" fillId="0" borderId="74" xfId="0" applyNumberFormat="1" applyFont="1" applyBorder="1" applyAlignment="1" applyProtection="1">
      <alignment horizontal="right"/>
      <protection locked="0"/>
    </xf>
    <xf numFmtId="164" fontId="16" fillId="0" borderId="0" xfId="0" applyNumberFormat="1" applyFont="1" applyBorder="1" applyAlignment="1"/>
    <xf numFmtId="3" fontId="16" fillId="0" borderId="0" xfId="0" applyNumberFormat="1" applyFont="1" applyBorder="1" applyAlignment="1"/>
    <xf numFmtId="37" fontId="15" fillId="0" borderId="37" xfId="0" applyNumberFormat="1" applyFont="1" applyBorder="1" applyAlignment="1"/>
    <xf numFmtId="37" fontId="13" fillId="0" borderId="39" xfId="0" applyNumberFormat="1" applyFont="1" applyBorder="1" applyAlignment="1" applyProtection="1">
      <protection locked="0"/>
    </xf>
    <xf numFmtId="37" fontId="13" fillId="0" borderId="75" xfId="0" applyNumberFormat="1" applyFont="1" applyBorder="1" applyAlignment="1" applyProtection="1">
      <protection locked="0"/>
    </xf>
    <xf numFmtId="37" fontId="15" fillId="0" borderId="61" xfId="0" applyNumberFormat="1" applyFont="1" applyBorder="1" applyAlignment="1" applyProtection="1">
      <protection locked="0"/>
    </xf>
    <xf numFmtId="37" fontId="15" fillId="0" borderId="65" xfId="0" applyNumberFormat="1" applyFont="1" applyBorder="1" applyAlignment="1" applyProtection="1">
      <protection locked="0"/>
    </xf>
    <xf numFmtId="37" fontId="15" fillId="0" borderId="65" xfId="0" applyNumberFormat="1" applyFont="1" applyBorder="1" applyAlignment="1"/>
    <xf numFmtId="164" fontId="15" fillId="0" borderId="75" xfId="0" applyNumberFormat="1" applyFont="1" applyBorder="1" applyAlignment="1" applyProtection="1">
      <protection locked="0"/>
    </xf>
    <xf numFmtId="0" fontId="40" fillId="0" borderId="0" xfId="0" applyNumberFormat="1" applyFont="1" applyAlignment="1"/>
    <xf numFmtId="37" fontId="13" fillId="0" borderId="61" xfId="0" applyNumberFormat="1" applyFont="1" applyBorder="1" applyAlignment="1" applyProtection="1">
      <protection locked="0"/>
    </xf>
    <xf numFmtId="164" fontId="13" fillId="0" borderId="75" xfId="0" applyNumberFormat="1" applyFont="1" applyBorder="1" applyAlignment="1" applyProtection="1">
      <protection locked="0"/>
    </xf>
    <xf numFmtId="37" fontId="33" fillId="0" borderId="59" xfId="0" applyNumberFormat="1" applyFont="1" applyBorder="1" applyAlignment="1"/>
    <xf numFmtId="164" fontId="13" fillId="0" borderId="0" xfId="0" applyNumberFormat="1" applyFont="1" applyBorder="1" applyAlignment="1" applyProtection="1">
      <protection locked="0"/>
    </xf>
    <xf numFmtId="164" fontId="33" fillId="0" borderId="62" xfId="0" applyNumberFormat="1" applyFont="1" applyBorder="1" applyAlignment="1"/>
    <xf numFmtId="37" fontId="15" fillId="0" borderId="70" xfId="0" applyNumberFormat="1" applyFont="1" applyBorder="1" applyAlignment="1" applyProtection="1">
      <protection locked="0"/>
    </xf>
    <xf numFmtId="164" fontId="15" fillId="0" borderId="70" xfId="0" applyNumberFormat="1" applyFont="1" applyBorder="1" applyAlignment="1" applyProtection="1">
      <protection locked="0"/>
    </xf>
  </cellXfs>
  <cellStyles count="8">
    <cellStyle name="Comma 2" xfId="1"/>
    <cellStyle name="Normal" xfId="0" builtinId="0"/>
    <cellStyle name="Normal 2" xfId="2"/>
    <cellStyle name="Normal 3" xfId="3"/>
    <cellStyle name="Normal 4" xfId="4"/>
    <cellStyle name="Normal 5" xfId="5"/>
    <cellStyle name="Percent 2" xfId="6"/>
    <cellStyle name="Percent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ori.Parker\Local%20Settings\Temporary%20Internet%20Files\Content.Outlook\D2ZJ6MZM\Linked%20Budget%2009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SU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bor3-2008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bor2-2008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BOR4%202008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LT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_Analyst\Budget%202010\BOR1\bor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B4"/>
      <sheetName val="BOR1"/>
      <sheetName val="BOR2"/>
      <sheetName val="BOR3"/>
      <sheetName val="BOR4"/>
      <sheetName val="BOR5"/>
      <sheetName val="BOR5cont."/>
      <sheetName val="BOR6"/>
      <sheetName val="BOR7"/>
      <sheetName val="BOR8"/>
      <sheetName val="BOR10"/>
      <sheetName val="BOR12"/>
      <sheetName val="BOR15"/>
      <sheetName val="ULS-5"/>
      <sheetName val="ULS-6"/>
      <sheetName val="ULS-7"/>
      <sheetName val="ULS-8"/>
      <sheetName val="J1 OPER"/>
      <sheetName val="J2 OPER"/>
      <sheetName val="J1 AUX"/>
      <sheetName val="J2 AUX"/>
      <sheetName val="BOR ATH1"/>
      <sheetName val="BOR ATH2"/>
      <sheetName val="BOR ATH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">
          <cell r="C25">
            <v>36809616</v>
          </cell>
          <cell r="D25">
            <v>38474284</v>
          </cell>
          <cell r="E25">
            <v>38023525.08096154</v>
          </cell>
        </row>
        <row r="48">
          <cell r="C48">
            <v>4617307</v>
          </cell>
          <cell r="D48">
            <v>5121547</v>
          </cell>
          <cell r="E48">
            <v>4653575.3</v>
          </cell>
        </row>
        <row r="72">
          <cell r="C72">
            <v>1286560</v>
          </cell>
          <cell r="D72">
            <v>1264466</v>
          </cell>
          <cell r="E72">
            <v>285401.21000000002</v>
          </cell>
        </row>
        <row r="96">
          <cell r="C96">
            <v>6863525</v>
          </cell>
          <cell r="D96">
            <v>6641798</v>
          </cell>
          <cell r="E96">
            <v>6589285.8190384619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43">
          <cell r="C143">
            <v>5564301</v>
          </cell>
          <cell r="D143">
            <v>5485914</v>
          </cell>
          <cell r="E143">
            <v>5228663.74</v>
          </cell>
        </row>
        <row r="167">
          <cell r="C167">
            <v>11600842</v>
          </cell>
          <cell r="D167">
            <v>10543770</v>
          </cell>
          <cell r="E167">
            <v>10432134.668846153</v>
          </cell>
        </row>
        <row r="191">
          <cell r="C191">
            <v>4953964</v>
          </cell>
          <cell r="D191">
            <v>5490785</v>
          </cell>
          <cell r="E191">
            <v>5240785</v>
          </cell>
        </row>
        <row r="215">
          <cell r="C215">
            <v>9317635</v>
          </cell>
          <cell r="D215">
            <v>9686371</v>
          </cell>
          <cell r="E215">
            <v>9664454.629999999</v>
          </cell>
        </row>
        <row r="245">
          <cell r="C245">
            <v>800000</v>
          </cell>
          <cell r="D245">
            <v>800000</v>
          </cell>
        </row>
        <row r="246">
          <cell r="C246">
            <v>44454</v>
          </cell>
          <cell r="D246">
            <v>43000</v>
          </cell>
          <cell r="E246">
            <v>45000</v>
          </cell>
        </row>
        <row r="252">
          <cell r="E252">
            <v>0</v>
          </cell>
        </row>
        <row r="276">
          <cell r="C276">
            <v>4003141</v>
          </cell>
          <cell r="D276">
            <v>3033141</v>
          </cell>
          <cell r="E276">
            <v>2683141</v>
          </cell>
        </row>
        <row r="284">
          <cell r="C284">
            <v>48146534</v>
          </cell>
          <cell r="D284">
            <v>47368208</v>
          </cell>
          <cell r="E284">
            <v>45595971.823076926</v>
          </cell>
        </row>
        <row r="285">
          <cell r="C285">
            <v>518689</v>
          </cell>
          <cell r="D285">
            <v>513030</v>
          </cell>
          <cell r="E285">
            <v>475200</v>
          </cell>
        </row>
        <row r="286">
          <cell r="C286">
            <v>15013509</v>
          </cell>
          <cell r="D286">
            <v>14958127</v>
          </cell>
          <cell r="E286">
            <v>15083494.935769232</v>
          </cell>
        </row>
        <row r="288">
          <cell r="C288">
            <v>426417</v>
          </cell>
          <cell r="D288">
            <v>566400</v>
          </cell>
          <cell r="E288">
            <v>520958</v>
          </cell>
        </row>
        <row r="289">
          <cell r="C289">
            <v>7609285</v>
          </cell>
          <cell r="D289">
            <v>7875818</v>
          </cell>
          <cell r="E289">
            <v>8206617</v>
          </cell>
        </row>
        <row r="290">
          <cell r="C290">
            <v>1480612</v>
          </cell>
          <cell r="D290">
            <v>1781537</v>
          </cell>
          <cell r="E290">
            <v>1810915</v>
          </cell>
        </row>
        <row r="292">
          <cell r="C292">
            <v>566591</v>
          </cell>
          <cell r="D292">
            <v>516902</v>
          </cell>
          <cell r="E292">
            <v>503783</v>
          </cell>
        </row>
        <row r="293">
          <cell r="C293">
            <v>11054553</v>
          </cell>
          <cell r="D293">
            <v>10454053</v>
          </cell>
          <cell r="E293">
            <v>8207163</v>
          </cell>
        </row>
        <row r="297">
          <cell r="C297">
            <v>750832</v>
          </cell>
          <cell r="D297">
            <v>2258002</v>
          </cell>
          <cell r="E297">
            <v>2216861</v>
          </cell>
        </row>
        <row r="298">
          <cell r="C298">
            <v>249867</v>
          </cell>
          <cell r="D298">
            <v>250000</v>
          </cell>
          <cell r="E298">
            <v>180000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15-4000"/>
      <sheetName val="BOR~1"/>
      <sheetName val="BOR~4SUM"/>
      <sheetName val="New BOR~4a"/>
      <sheetName val="BOR~5"/>
      <sheetName val="BOR~6"/>
      <sheetName val="BOR~7"/>
      <sheetName val="BOR~8"/>
      <sheetName val="SUMMARY"/>
      <sheetName val="BOR~12"/>
      <sheetName val="BOR~15"/>
      <sheetName val="BOR~ATH~1"/>
      <sheetName val="BOR~ATH~2"/>
      <sheetName val="BOR~ATH~3"/>
      <sheetName val="BUD09~10"/>
      <sheetName val="BOR~10"/>
      <sheetName val="BOR~11"/>
      <sheetName val="AUXILIARY"/>
      <sheetName val="ACT08~09"/>
      <sheetName val="ACTUAL 08-09"/>
    </sheetNames>
    <sheetDataSet>
      <sheetData sheetId="0" refreshError="1"/>
      <sheetData sheetId="1" refreshError="1"/>
      <sheetData sheetId="2" refreshError="1">
        <row r="92">
          <cell r="B92">
            <v>2227696</v>
          </cell>
        </row>
        <row r="113">
          <cell r="B113">
            <v>847935</v>
          </cell>
        </row>
        <row r="134">
          <cell r="B134">
            <v>7811160</v>
          </cell>
        </row>
        <row r="160">
          <cell r="B160">
            <v>2145946</v>
          </cell>
        </row>
        <row r="181">
          <cell r="B181">
            <v>1895596</v>
          </cell>
        </row>
        <row r="185">
          <cell r="B185">
            <v>11789854</v>
          </cell>
        </row>
        <row r="186">
          <cell r="B186">
            <v>101632</v>
          </cell>
        </row>
        <row r="187">
          <cell r="B187">
            <v>3843117</v>
          </cell>
        </row>
        <row r="189">
          <cell r="B189">
            <v>99677</v>
          </cell>
        </row>
        <row r="190">
          <cell r="B190">
            <v>2575414</v>
          </cell>
        </row>
        <row r="191">
          <cell r="B191">
            <v>491569</v>
          </cell>
        </row>
        <row r="193">
          <cell r="B193">
            <v>-37087</v>
          </cell>
        </row>
        <row r="195">
          <cell r="B195">
            <v>55400</v>
          </cell>
        </row>
        <row r="198">
          <cell r="B198">
            <v>22789</v>
          </cell>
        </row>
        <row r="199">
          <cell r="B199">
            <v>5495</v>
          </cell>
        </row>
        <row r="200">
          <cell r="B200">
            <v>2145946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3">
          <cell r="T63">
            <v>8034380.9509999994</v>
          </cell>
        </row>
        <row r="89">
          <cell r="T89">
            <v>2438144.2442000001</v>
          </cell>
        </row>
        <row r="99">
          <cell r="T99">
            <v>908239.62789999996</v>
          </cell>
        </row>
        <row r="133">
          <cell r="T133">
            <v>6500659.6268500015</v>
          </cell>
        </row>
        <row r="145">
          <cell r="T145">
            <v>800000</v>
          </cell>
        </row>
        <row r="164">
          <cell r="D164">
            <v>10180908.43</v>
          </cell>
          <cell r="E164">
            <v>2131609.9</v>
          </cell>
          <cell r="F164">
            <v>30000</v>
          </cell>
          <cell r="G164">
            <v>0</v>
          </cell>
          <cell r="H164">
            <v>4385641.2739500003</v>
          </cell>
          <cell r="J164">
            <v>51500</v>
          </cell>
          <cell r="K164">
            <v>1566893</v>
          </cell>
          <cell r="L164">
            <v>166500</v>
          </cell>
          <cell r="M164">
            <v>20500</v>
          </cell>
          <cell r="N164">
            <v>2035305</v>
          </cell>
          <cell r="O164">
            <v>0</v>
          </cell>
          <cell r="Q164">
            <v>0</v>
          </cell>
          <cell r="R164">
            <v>0</v>
          </cell>
          <cell r="S164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9-23-08"/>
    </sheetNames>
    <sheetDataSet>
      <sheetData sheetId="0" refreshError="1"/>
      <sheetData sheetId="1" refreshError="1">
        <row r="8">
          <cell r="B8">
            <v>5216950</v>
          </cell>
          <cell r="H8">
            <v>3722395</v>
          </cell>
        </row>
        <row r="9">
          <cell r="H9">
            <v>308477</v>
          </cell>
        </row>
        <row r="11">
          <cell r="H11">
            <v>26096</v>
          </cell>
        </row>
        <row r="12">
          <cell r="B12">
            <v>166080</v>
          </cell>
          <cell r="H12">
            <v>148141</v>
          </cell>
        </row>
        <row r="25">
          <cell r="B25">
            <v>33250</v>
          </cell>
          <cell r="H25">
            <v>0</v>
          </cell>
        </row>
        <row r="39">
          <cell r="H39">
            <v>807766</v>
          </cell>
        </row>
        <row r="58">
          <cell r="B58">
            <v>2016347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 refreshError="1">
        <row r="43">
          <cell r="D43">
            <v>3150268.0000000005</v>
          </cell>
        </row>
        <row r="51">
          <cell r="B51">
            <v>2016347</v>
          </cell>
          <cell r="C51">
            <v>2503230.8611958884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 refreshError="1">
        <row r="24">
          <cell r="B24">
            <v>2987847</v>
          </cell>
          <cell r="C24">
            <v>3155103</v>
          </cell>
          <cell r="D24">
            <v>4063867</v>
          </cell>
        </row>
        <row r="90">
          <cell r="B90">
            <v>435772</v>
          </cell>
          <cell r="C90">
            <v>480436</v>
          </cell>
          <cell r="D90">
            <v>459972</v>
          </cell>
        </row>
        <row r="111">
          <cell r="B111">
            <v>562909</v>
          </cell>
          <cell r="C111">
            <v>579273</v>
          </cell>
          <cell r="D111">
            <v>550705</v>
          </cell>
        </row>
        <row r="132">
          <cell r="B132">
            <v>2127356</v>
          </cell>
          <cell r="C132">
            <v>2270394</v>
          </cell>
          <cell r="D132">
            <v>1969559</v>
          </cell>
        </row>
        <row r="177">
          <cell r="B177">
            <v>1318743</v>
          </cell>
          <cell r="C177">
            <v>1439460</v>
          </cell>
          <cell r="D177">
            <v>1119040</v>
          </cell>
        </row>
        <row r="181">
          <cell r="B181">
            <v>4959574</v>
          </cell>
          <cell r="C181">
            <v>5178484</v>
          </cell>
          <cell r="D181">
            <v>5508155</v>
          </cell>
        </row>
        <row r="182">
          <cell r="B182">
            <v>67980</v>
          </cell>
          <cell r="C182">
            <v>66000</v>
          </cell>
          <cell r="D182">
            <v>74519</v>
          </cell>
        </row>
        <row r="183">
          <cell r="B183">
            <v>1380350</v>
          </cell>
          <cell r="C183">
            <v>1503543</v>
          </cell>
          <cell r="D183">
            <v>1577958</v>
          </cell>
        </row>
        <row r="184">
          <cell r="B184">
            <v>6407904</v>
          </cell>
          <cell r="C184">
            <v>6748027</v>
          </cell>
          <cell r="D184">
            <v>7160632</v>
          </cell>
        </row>
        <row r="185">
          <cell r="B185">
            <v>36119</v>
          </cell>
          <cell r="C185">
            <v>36512</v>
          </cell>
          <cell r="D185">
            <v>30942</v>
          </cell>
        </row>
        <row r="186">
          <cell r="B186">
            <v>719497</v>
          </cell>
          <cell r="C186">
            <v>759494</v>
          </cell>
          <cell r="D186">
            <v>737233</v>
          </cell>
        </row>
        <row r="187">
          <cell r="B187">
            <v>98366</v>
          </cell>
          <cell r="C187">
            <v>191068</v>
          </cell>
          <cell r="D187">
            <v>109591</v>
          </cell>
        </row>
        <row r="189">
          <cell r="B189">
            <v>102923</v>
          </cell>
          <cell r="C189">
            <v>102456</v>
          </cell>
          <cell r="D189">
            <v>104072</v>
          </cell>
        </row>
        <row r="190">
          <cell r="B190">
            <v>19021</v>
          </cell>
          <cell r="C190">
            <v>32540</v>
          </cell>
          <cell r="D190">
            <v>7459</v>
          </cell>
        </row>
        <row r="194">
          <cell r="B194">
            <v>48115</v>
          </cell>
          <cell r="C194">
            <v>48011</v>
          </cell>
          <cell r="D194">
            <v>13126</v>
          </cell>
        </row>
        <row r="195">
          <cell r="B195">
            <v>682</v>
          </cell>
          <cell r="C195">
            <v>6558</v>
          </cell>
          <cell r="D195">
            <v>88</v>
          </cell>
        </row>
        <row r="198">
          <cell r="B198">
            <v>7432627</v>
          </cell>
          <cell r="C198">
            <v>7924666</v>
          </cell>
          <cell r="D198">
            <v>8163143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OR 1"/>
      <sheetName val="BOR-2"/>
      <sheetName val="BOR-3  "/>
      <sheetName val="BOR 4"/>
    </sheetNames>
    <sheetDataSet>
      <sheetData sheetId="0" refreshError="1"/>
      <sheetData sheetId="1">
        <row r="28">
          <cell r="B28">
            <v>12598810.67</v>
          </cell>
        </row>
      </sheetData>
      <sheetData sheetId="2" refreshError="1"/>
      <sheetData sheetId="3">
        <row r="24">
          <cell r="B24">
            <v>50157332.409999996</v>
          </cell>
          <cell r="C24">
            <v>51573445.589999996</v>
          </cell>
          <cell r="D24">
            <v>47479388.900000006</v>
          </cell>
        </row>
        <row r="90">
          <cell r="B90">
            <v>1782677.5199999998</v>
          </cell>
          <cell r="C90">
            <v>1784032.5199999998</v>
          </cell>
          <cell r="D90">
            <v>1763404.78</v>
          </cell>
        </row>
        <row r="111">
          <cell r="B111">
            <v>6573365.21</v>
          </cell>
          <cell r="C111">
            <v>6763327.9500000011</v>
          </cell>
          <cell r="D111">
            <v>6507757.2199999997</v>
          </cell>
        </row>
        <row r="132">
          <cell r="B132">
            <v>20334318.719999999</v>
          </cell>
          <cell r="C132">
            <v>20749211.030000001</v>
          </cell>
          <cell r="D132">
            <v>19442227.68</v>
          </cell>
        </row>
        <row r="156">
          <cell r="B156">
            <v>8596</v>
          </cell>
          <cell r="C156">
            <v>9213</v>
          </cell>
          <cell r="D156">
            <v>0</v>
          </cell>
        </row>
        <row r="177">
          <cell r="B177">
            <v>10650430.645</v>
          </cell>
          <cell r="C177">
            <v>11165202.645</v>
          </cell>
          <cell r="D177">
            <v>10336326.420000002</v>
          </cell>
        </row>
        <row r="243">
          <cell r="B243">
            <v>2183171.04</v>
          </cell>
          <cell r="C243">
            <v>2203582.59</v>
          </cell>
          <cell r="D243">
            <v>3280672</v>
          </cell>
        </row>
        <row r="288">
          <cell r="B288">
            <v>300000</v>
          </cell>
          <cell r="C288">
            <v>300000</v>
          </cell>
          <cell r="D288">
            <v>280500</v>
          </cell>
        </row>
        <row r="292">
          <cell r="B292">
            <v>53020516.739999995</v>
          </cell>
          <cell r="C292">
            <v>54073216.759999998</v>
          </cell>
          <cell r="D292">
            <v>50862334.109999999</v>
          </cell>
        </row>
        <row r="293">
          <cell r="B293">
            <v>886854.3899999999</v>
          </cell>
          <cell r="C293">
            <v>1043698.22</v>
          </cell>
          <cell r="D293">
            <v>815150</v>
          </cell>
        </row>
        <row r="294">
          <cell r="B294">
            <v>19111922.750000004</v>
          </cell>
          <cell r="C294">
            <v>19295073.900000002</v>
          </cell>
          <cell r="D294">
            <v>19142669.390000004</v>
          </cell>
        </row>
        <row r="296">
          <cell r="B296">
            <v>371910.92</v>
          </cell>
          <cell r="C296">
            <v>559718.40000000002</v>
          </cell>
          <cell r="D296">
            <v>269604.17000000004</v>
          </cell>
        </row>
        <row r="297">
          <cell r="B297">
            <v>8911774.8249999993</v>
          </cell>
          <cell r="C297">
            <v>9347609.2349999994</v>
          </cell>
          <cell r="D297">
            <v>8426761.9800000004</v>
          </cell>
        </row>
        <row r="298">
          <cell r="B298">
            <v>3526365.17</v>
          </cell>
          <cell r="C298">
            <v>3800670.44</v>
          </cell>
          <cell r="D298">
            <v>2710972.17</v>
          </cell>
        </row>
        <row r="300">
          <cell r="B300">
            <v>541161.37</v>
          </cell>
          <cell r="C300">
            <v>571754.64</v>
          </cell>
          <cell r="D300">
            <v>358994</v>
          </cell>
        </row>
        <row r="301">
          <cell r="B301">
            <v>1650235.25</v>
          </cell>
          <cell r="C301">
            <v>1580025.05</v>
          </cell>
          <cell r="D301">
            <v>2298672.7199999997</v>
          </cell>
        </row>
        <row r="303">
          <cell r="B303">
            <v>2183171.04</v>
          </cell>
          <cell r="C303">
            <v>2203582.59</v>
          </cell>
          <cell r="D303">
            <v>3280672</v>
          </cell>
        </row>
        <row r="305">
          <cell r="B305">
            <v>1785349.59</v>
          </cell>
          <cell r="C305">
            <v>2072036.5899999999</v>
          </cell>
          <cell r="D305">
            <v>904069</v>
          </cell>
        </row>
        <row r="307">
          <cell r="B307">
            <v>629.5</v>
          </cell>
          <cell r="C307">
            <v>629.5</v>
          </cell>
          <cell r="D307">
            <v>20377.46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OR4"/>
      <sheetName val="Sheet3"/>
      <sheetName val="Sheet2"/>
    </sheetNames>
    <sheetDataSet>
      <sheetData sheetId="0" refreshError="1">
        <row r="24">
          <cell r="B24">
            <v>9981691</v>
          </cell>
          <cell r="C24">
            <v>10000000</v>
          </cell>
          <cell r="D24">
            <v>10000000</v>
          </cell>
        </row>
        <row r="132">
          <cell r="B132">
            <v>4314174.8899999997</v>
          </cell>
          <cell r="C132">
            <v>4314174.8899999997</v>
          </cell>
          <cell r="D132">
            <v>3971605</v>
          </cell>
        </row>
        <row r="243">
          <cell r="B243">
            <v>222221.66</v>
          </cell>
          <cell r="C243">
            <v>222221.66</v>
          </cell>
          <cell r="D243">
            <v>307500</v>
          </cell>
        </row>
        <row r="288">
          <cell r="B288">
            <v>94778</v>
          </cell>
          <cell r="C288">
            <v>95000</v>
          </cell>
          <cell r="D288">
            <v>50000</v>
          </cell>
        </row>
        <row r="292">
          <cell r="B292">
            <v>2527396.6800000002</v>
          </cell>
          <cell r="C292">
            <v>2527396.6800000002</v>
          </cell>
          <cell r="D292">
            <v>2393000</v>
          </cell>
        </row>
        <row r="293">
          <cell r="B293">
            <v>27234.04</v>
          </cell>
          <cell r="C293">
            <v>27234.04</v>
          </cell>
          <cell r="D293">
            <v>15500</v>
          </cell>
        </row>
        <row r="294">
          <cell r="B294">
            <v>620975.57000000007</v>
          </cell>
          <cell r="C294">
            <v>620975.57000000007</v>
          </cell>
          <cell r="D294">
            <v>556000</v>
          </cell>
        </row>
        <row r="295">
          <cell r="B295">
            <v>3175606.29</v>
          </cell>
          <cell r="C295">
            <v>3175606.29</v>
          </cell>
          <cell r="D295">
            <v>2964500</v>
          </cell>
        </row>
        <row r="296">
          <cell r="B296">
            <v>166097.43000000002</v>
          </cell>
          <cell r="C296">
            <v>166097.43000000002</v>
          </cell>
          <cell r="D296">
            <v>153500</v>
          </cell>
        </row>
        <row r="297">
          <cell r="B297">
            <v>741848.47</v>
          </cell>
          <cell r="C297">
            <v>741848.47</v>
          </cell>
          <cell r="D297">
            <v>663105</v>
          </cell>
        </row>
        <row r="298">
          <cell r="B298">
            <v>73578.819999999992</v>
          </cell>
          <cell r="C298">
            <v>73578.819999999992</v>
          </cell>
          <cell r="D298">
            <v>66000</v>
          </cell>
        </row>
        <row r="299">
          <cell r="B299">
            <v>981524.72</v>
          </cell>
          <cell r="C299">
            <v>981524.72</v>
          </cell>
          <cell r="D299">
            <v>882605</v>
          </cell>
        </row>
        <row r="300">
          <cell r="B300">
            <v>70262.570000000007</v>
          </cell>
          <cell r="C300">
            <v>70262.570000000007</v>
          </cell>
          <cell r="D300">
            <v>70000</v>
          </cell>
        </row>
        <row r="301">
          <cell r="B301">
            <v>10076469</v>
          </cell>
          <cell r="C301">
            <v>10095000</v>
          </cell>
          <cell r="D301">
            <v>10050000</v>
          </cell>
        </row>
        <row r="303">
          <cell r="B303">
            <v>222221.66</v>
          </cell>
          <cell r="C303">
            <v>222221.66</v>
          </cell>
          <cell r="D303">
            <v>307500</v>
          </cell>
        </row>
        <row r="304">
          <cell r="B304">
            <v>10368953.23</v>
          </cell>
          <cell r="C304">
            <v>10387484.23</v>
          </cell>
          <cell r="D304">
            <v>10427500</v>
          </cell>
        </row>
        <row r="305">
          <cell r="B305">
            <v>86781.310000000012</v>
          </cell>
          <cell r="C305">
            <v>86781.310000000012</v>
          </cell>
          <cell r="D305">
            <v>54500</v>
          </cell>
        </row>
        <row r="308">
          <cell r="B308">
            <v>86781.310000000012</v>
          </cell>
          <cell r="C308">
            <v>86781.310000000012</v>
          </cell>
          <cell r="D308">
            <v>54500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opLeftCell="A58" zoomScale="30" zoomScaleNormal="69" workbookViewId="0">
      <selection activeCell="C6" sqref="C6"/>
    </sheetView>
  </sheetViews>
  <sheetFormatPr defaultRowHeight="15"/>
  <cols>
    <col min="1" max="1" width="135" style="14" customWidth="1"/>
    <col min="2" max="5" width="30.33203125" style="14" customWidth="1"/>
    <col min="6" max="6" width="45.5546875" style="321" customWidth="1"/>
    <col min="7" max="9" width="8.88671875" style="14"/>
    <col min="10" max="10" width="19.109375" style="14" bestFit="1" customWidth="1"/>
    <col min="11" max="12" width="8.88671875" style="14"/>
    <col min="13" max="13" width="21.21875" style="14" bestFit="1" customWidth="1"/>
    <col min="14" max="16384" width="8.88671875" style="14"/>
  </cols>
  <sheetData>
    <row r="1" spans="1:10" ht="45">
      <c r="A1" s="38" t="s">
        <v>0</v>
      </c>
      <c r="B1" s="39"/>
      <c r="C1" s="39"/>
      <c r="D1" s="39"/>
      <c r="E1" s="40" t="s">
        <v>1</v>
      </c>
      <c r="F1" s="303" t="s">
        <v>280</v>
      </c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customHeight="1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 customHeight="1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 customHeight="1">
      <c r="A6" s="55" t="s">
        <v>12</v>
      </c>
      <c r="B6" s="59"/>
      <c r="C6" s="59"/>
      <c r="D6" s="59"/>
      <c r="E6" s="59"/>
      <c r="F6" s="308"/>
    </row>
    <row r="7" spans="1:10" ht="35.25" customHeight="1">
      <c r="A7" s="55" t="s">
        <v>13</v>
      </c>
      <c r="B7" s="59"/>
      <c r="C7" s="59"/>
      <c r="D7" s="59"/>
      <c r="E7" s="59"/>
      <c r="F7" s="309"/>
      <c r="J7" s="39"/>
    </row>
    <row r="8" spans="1:10" ht="34.5" customHeight="1">
      <c r="A8" s="56" t="s">
        <v>14</v>
      </c>
      <c r="B8" s="79">
        <f ca="1">BOR!B8+Lumcon!B8+'Total UL'!B8+'Total LSU'!B8+'Total SU'!B8+'Total LCTCS'!B8</f>
        <v>1422793447.77</v>
      </c>
      <c r="C8" s="79">
        <f ca="1">BOR!C8+Lumcon!C8+'Total UL'!C8+'Total LSU'!C8+'Total SU'!C8+'Total LCTCS'!C8+3</f>
        <v>1425039807.5</v>
      </c>
      <c r="D8" s="79">
        <f ca="1">BOR!D8+Lumcon!D8+'Total UL'!D8+'Total LSU'!D8+'Total SU'!D8+'Total LCTCS'!D8</f>
        <v>1019492845</v>
      </c>
      <c r="E8" s="79">
        <f>D8-B8</f>
        <v>-403300602.76999998</v>
      </c>
      <c r="F8" s="310">
        <f>IF(ISBLANK(E8),"  ",IF(B8&gt;0,E8/B8,IF(E8&gt;0,1,0)))</f>
        <v>-0.28345688785825435</v>
      </c>
    </row>
    <row r="9" spans="1:10" ht="34.5" customHeight="1">
      <c r="A9" s="56" t="s">
        <v>87</v>
      </c>
      <c r="B9" s="79">
        <f ca="1">BOR!B9+Lumcon!B9+'Total UL'!B9+'Total LSU'!B9+'Total SU'!B9+'Total LCTCS'!B9</f>
        <v>0</v>
      </c>
      <c r="C9" s="79">
        <f ca="1">BOR!C9+Lumcon!C9+'Total UL'!C9+'Total LSU'!C9+'Total SU'!C9+'Total LCTCS'!C9</f>
        <v>0</v>
      </c>
      <c r="D9" s="79">
        <f ca="1">BOR!D9+Lumcon!D9+'Total UL'!D9+'Total LSU'!D9+'Total SU'!D9+'Total LCTCS'!D9</f>
        <v>92177032</v>
      </c>
      <c r="E9" s="79">
        <f t="shared" ref="E9:E45" si="0">D9-B9</f>
        <v>92177032</v>
      </c>
      <c r="F9" s="310">
        <f t="shared" ref="F9:F25" si="1">IF(ISBLANK(E9),"  ",IF(B9&gt;0,E9/B9,IF(E9&gt;0,1,0)))</f>
        <v>1</v>
      </c>
    </row>
    <row r="10" spans="1:10" ht="34.5" customHeight="1">
      <c r="A10" s="57" t="s">
        <v>15</v>
      </c>
      <c r="B10" s="80">
        <f ca="1">SUM(B11:B25)</f>
        <v>136846783.68000001</v>
      </c>
      <c r="C10" s="80">
        <f ca="1">SUM(C11:C25)</f>
        <v>139355803</v>
      </c>
      <c r="D10" s="80">
        <f ca="1">SUM(D11:D25)</f>
        <v>136697309</v>
      </c>
      <c r="E10" s="80">
        <f>SUM(E11:E25)</f>
        <v>-149474.6799999997</v>
      </c>
      <c r="F10" s="310">
        <f t="shared" si="1"/>
        <v>-1.0922776259727706E-3</v>
      </c>
    </row>
    <row r="11" spans="1:10" ht="34.5" customHeight="1">
      <c r="A11" s="60" t="s">
        <v>16</v>
      </c>
      <c r="B11" s="81">
        <f ca="1">BOR!B11+Lumcon!B11+'Total UL'!B11+'Total LSU'!B11+'Total SU'!B11+'Total LCTCS'!B11</f>
        <v>118000</v>
      </c>
      <c r="C11" s="81">
        <f ca="1">BOR!C11+Lumcon!C11+'Total UL'!C11+'Total LSU'!C11+'Total SU'!C11+'Total LCTCS'!C11</f>
        <v>296875</v>
      </c>
      <c r="D11" s="81">
        <f ca="1">BOR!D11+Lumcon!D11+'Total UL'!D11+'Total LSU'!D11+'Total SU'!D11+'Total LCTCS'!D11</f>
        <v>6712600</v>
      </c>
      <c r="E11" s="79">
        <f t="shared" si="0"/>
        <v>6594600</v>
      </c>
      <c r="F11" s="310">
        <f t="shared" si="1"/>
        <v>55.8864406779661</v>
      </c>
    </row>
    <row r="12" spans="1:10" ht="34.5" customHeight="1">
      <c r="A12" s="57" t="s">
        <v>17</v>
      </c>
      <c r="B12" s="81">
        <f ca="1">BOR!B12+Lumcon!B12+'Total UL'!B12+'Total LSU'!B12+'Total SU'!B12+'Total LCTCS'!B12</f>
        <v>52148748.68</v>
      </c>
      <c r="C12" s="444">
        <f ca="1">BOR!C12+Lumcon!C12+'Total UL'!C12+'Total LSU'!C12+'Total SU'!C12+'Total LCTCS'!C12</f>
        <v>53766161</v>
      </c>
      <c r="D12" s="81">
        <f ca="1">BOR!D12+Lumcon!D12+'Total UL'!D12+'Total LSU'!D12+'Total SU'!D12+'Total LCTCS'!D12</f>
        <v>46515000</v>
      </c>
      <c r="E12" s="79">
        <f t="shared" si="0"/>
        <v>-5633748.6799999997</v>
      </c>
      <c r="F12" s="310">
        <f t="shared" si="1"/>
        <v>-0.10803228883918831</v>
      </c>
    </row>
    <row r="13" spans="1:10" ht="34.5" customHeight="1">
      <c r="A13" s="57" t="s">
        <v>18</v>
      </c>
      <c r="B13" s="81">
        <f ca="1">BOR!B13+Lumcon!B13+'Total UL'!B13+'Total LSU'!B13+'Total SU'!B13+'Total LCTCS'!B13</f>
        <v>27983034</v>
      </c>
      <c r="C13" s="81">
        <f ca="1">BOR!C13+Lumcon!C13+'Total UL'!C13+'Total LSU'!C13+'Total SU'!C13+'Total LCTCS'!C13</f>
        <v>27983034</v>
      </c>
      <c r="D13" s="81">
        <f ca="1">BOR!D13+Lumcon!D13+'Total UL'!D13+'Total LSU'!D13+'Total SU'!D13+'Total LCTCS'!D13</f>
        <v>28819885</v>
      </c>
      <c r="E13" s="79">
        <f t="shared" si="0"/>
        <v>836851</v>
      </c>
      <c r="F13" s="310">
        <f t="shared" si="1"/>
        <v>2.9905656405949405E-2</v>
      </c>
    </row>
    <row r="14" spans="1:10" ht="34.5" customHeight="1">
      <c r="A14" s="57" t="s">
        <v>19</v>
      </c>
      <c r="B14" s="81">
        <f ca="1">BOR!B14+Lumcon!B14+'Total UL'!B14+'Total LSU'!B14+'Total SU'!B14+'Total LCTCS'!B14</f>
        <v>704085</v>
      </c>
      <c r="C14" s="81">
        <f ca="1">BOR!C14+Lumcon!C14+'Total UL'!C14+'Total LSU'!C14+'Total SU'!C14+'Total LCTCS'!C14</f>
        <v>704085</v>
      </c>
      <c r="D14" s="81">
        <f ca="1">BOR!D14+Lumcon!D14+'Total UL'!D14+'Total LSU'!D14+'Total SU'!D14+'Total LCTCS'!D14</f>
        <v>700805</v>
      </c>
      <c r="E14" s="79">
        <f t="shared" si="0"/>
        <v>-3280</v>
      </c>
      <c r="F14" s="310">
        <f t="shared" si="1"/>
        <v>-4.6585284447190328E-3</v>
      </c>
    </row>
    <row r="15" spans="1:10" ht="34.5" customHeight="1">
      <c r="A15" s="57" t="s">
        <v>20</v>
      </c>
      <c r="B15" s="81">
        <f ca="1">BOR!B15+Lumcon!B15+'Total UL'!B15+'Total LSU'!B15+'Total SU'!B15+'Total LCTCS'!B15</f>
        <v>0</v>
      </c>
      <c r="C15" s="81">
        <f ca="1">BOR!C15+Lumcon!C15+'Total UL'!C15+'Total LSU'!C15+'Total SU'!C15+'Total LCTCS'!C15</f>
        <v>0</v>
      </c>
      <c r="D15" s="81">
        <f ca="1">BOR!D15+Lumcon!D15+'Total UL'!D15+'Total LSU'!D15+'Total SU'!D15+'Total LCTCS'!D15</f>
        <v>0</v>
      </c>
      <c r="E15" s="79">
        <f t="shared" si="0"/>
        <v>0</v>
      </c>
      <c r="F15" s="310">
        <f t="shared" si="1"/>
        <v>0</v>
      </c>
    </row>
    <row r="16" spans="1:10" ht="34.5" customHeight="1">
      <c r="A16" s="57" t="s">
        <v>21</v>
      </c>
      <c r="B16" s="81">
        <f ca="1">BOR!B16+Lumcon!B16+'Total UL'!B16+'Total LSU'!B16+'Total SU'!B16+'Total LCTCS'!B16</f>
        <v>50000</v>
      </c>
      <c r="C16" s="81">
        <f ca="1">BOR!C16+Lumcon!C16+'Total UL'!C16+'Total LSU'!C16+'Total SU'!C16+'Total LCTCS'!C16</f>
        <v>50000</v>
      </c>
      <c r="D16" s="81">
        <f ca="1">BOR!D16+Lumcon!D16+'Total UL'!D16+'Total LSU'!D16+'Total SU'!D16+'Total LCTCS'!D16</f>
        <v>50000</v>
      </c>
      <c r="E16" s="79">
        <f t="shared" si="0"/>
        <v>0</v>
      </c>
      <c r="F16" s="310">
        <f t="shared" si="1"/>
        <v>0</v>
      </c>
    </row>
    <row r="17" spans="1:13" ht="34.5" customHeight="1">
      <c r="A17" s="57" t="s">
        <v>22</v>
      </c>
      <c r="B17" s="81">
        <f ca="1">BOR!B17+Lumcon!B17+'Total UL'!B17+'Total LSU'!B17+'Total SU'!B17+'Total LCTCS'!B17</f>
        <v>750000</v>
      </c>
      <c r="C17" s="81">
        <f ca="1">BOR!C17+Lumcon!C17+'Total UL'!C17+'Total LSU'!C17+'Total SU'!C17+'Total LCTCS'!C17</f>
        <v>750000</v>
      </c>
      <c r="D17" s="81">
        <f ca="1">BOR!D17+Lumcon!D17+'Total UL'!D17+'Total LSU'!D17+'Total SU'!D17+'Total LCTCS'!D17</f>
        <v>750000</v>
      </c>
      <c r="E17" s="79">
        <f t="shared" si="0"/>
        <v>0</v>
      </c>
      <c r="F17" s="310">
        <f t="shared" si="1"/>
        <v>0</v>
      </c>
    </row>
    <row r="18" spans="1:13" ht="34.5" customHeight="1">
      <c r="A18" s="57" t="s">
        <v>23</v>
      </c>
      <c r="B18" s="81">
        <f ca="1">BOR!B18+Lumcon!B18+'Total UL'!B18+'Total LSU'!B18+'Total SU'!B18+'Total LCTCS'!B18</f>
        <v>750000</v>
      </c>
      <c r="C18" s="81">
        <f ca="1">BOR!C18+Lumcon!C18+'Total UL'!C18+'Total LSU'!C18+'Total SU'!C18+'Total LCTCS'!C18</f>
        <v>750000</v>
      </c>
      <c r="D18" s="81">
        <f ca="1">BOR!D18+Lumcon!D18+'Total UL'!D18+'Total LSU'!D18+'Total SU'!D18+'Total LCTCS'!D18</f>
        <v>750000</v>
      </c>
      <c r="E18" s="79">
        <f t="shared" si="0"/>
        <v>0</v>
      </c>
      <c r="F18" s="310">
        <f t="shared" si="1"/>
        <v>0</v>
      </c>
    </row>
    <row r="19" spans="1:13" ht="34.5" customHeight="1">
      <c r="A19" s="57" t="s">
        <v>24</v>
      </c>
      <c r="B19" s="81">
        <f ca="1">BOR!B19+Lumcon!B19+'Total UL'!B19+'Total LSU'!B19+'Total SU'!B19+'Total LCTCS'!B19</f>
        <v>2900000</v>
      </c>
      <c r="C19" s="81">
        <f ca="1">BOR!C19+Lumcon!C19+'Total UL'!C19+'Total LSU'!C19+'Total SU'!C19+'Total LCTCS'!C19</f>
        <v>2900000</v>
      </c>
      <c r="D19" s="81">
        <f ca="1">BOR!D19+Lumcon!D19+'Total UL'!D19+'Total LSU'!D19+'Total SU'!D19+'Total LCTCS'!D19</f>
        <v>2500000</v>
      </c>
      <c r="E19" s="79">
        <f t="shared" si="0"/>
        <v>-400000</v>
      </c>
      <c r="F19" s="310">
        <f t="shared" si="1"/>
        <v>-0.13793103448275862</v>
      </c>
    </row>
    <row r="20" spans="1:13" ht="34.5" customHeight="1">
      <c r="A20" s="57" t="s">
        <v>25</v>
      </c>
      <c r="B20" s="81">
        <f ca="1">BOR!B20+Lumcon!B20+'Total UL'!B20+'Total LSU'!B20+'Total SU'!B20+'Total LCTCS'!B20</f>
        <v>210000</v>
      </c>
      <c r="C20" s="81">
        <f ca="1">BOR!C20+Lumcon!C20+'Total UL'!C20+'Total LSU'!C20+'Total SU'!C20+'Total LCTCS'!C20</f>
        <v>210000</v>
      </c>
      <c r="D20" s="81">
        <f ca="1">BOR!D20+Lumcon!D20+'Total UL'!D20+'Total LSU'!D20+'Total SU'!D20+'Total LCTCS'!D20</f>
        <v>210000</v>
      </c>
      <c r="E20" s="79">
        <f t="shared" si="0"/>
        <v>0</v>
      </c>
      <c r="F20" s="310">
        <f t="shared" si="1"/>
        <v>0</v>
      </c>
    </row>
    <row r="21" spans="1:13" ht="34.5" customHeight="1">
      <c r="A21" s="57" t="s">
        <v>26</v>
      </c>
      <c r="B21" s="81">
        <f ca="1">BOR!B21+Lumcon!B21+'Total UL'!B21+'Total LSU'!B21+'Total SU'!B21+'Total LCTCS'!B21</f>
        <v>89115</v>
      </c>
      <c r="C21" s="81">
        <f ca="1">BOR!C21+Lumcon!C21+'Total UL'!C21+'Total LSU'!C21+'Total SU'!C21+'Total LCTCS'!C21</f>
        <v>89115</v>
      </c>
      <c r="D21" s="81">
        <f ca="1">BOR!D21+Lumcon!D21+'Total UL'!D21+'Total LSU'!D21+'Total SU'!D21+'Total LCTCS'!D21</f>
        <v>0</v>
      </c>
      <c r="E21" s="79">
        <f t="shared" si="0"/>
        <v>-89115</v>
      </c>
      <c r="F21" s="310">
        <f t="shared" si="1"/>
        <v>-1</v>
      </c>
    </row>
    <row r="22" spans="1:13" ht="34.5" customHeight="1">
      <c r="A22" s="57" t="s">
        <v>27</v>
      </c>
      <c r="B22" s="81">
        <f ca="1">BOR!B22+Lumcon!B22+'Total UL'!B22+'Total LSU'!B22+'Total SU'!B22+'Total LCTCS'!B22</f>
        <v>35659557.82</v>
      </c>
      <c r="C22" s="81">
        <f ca="1">BOR!C22+Lumcon!C22+'Total UL'!C22+'Total LSU'!C22+'Total SU'!C22+'Total LCTCS'!C22</f>
        <v>36000000</v>
      </c>
      <c r="D22" s="81">
        <f ca="1">BOR!D22+Lumcon!D22+'Total UL'!D22+'Total LSU'!D22+'Total SU'!D22+'Total LCTCS'!D22</f>
        <v>36000000</v>
      </c>
      <c r="E22" s="79">
        <f t="shared" si="0"/>
        <v>340442.1799999997</v>
      </c>
      <c r="F22" s="310">
        <f t="shared" si="1"/>
        <v>9.5470106981825637E-3</v>
      </c>
    </row>
    <row r="23" spans="1:13" ht="34.5" customHeight="1">
      <c r="A23" s="61" t="s">
        <v>28</v>
      </c>
      <c r="B23" s="81">
        <f ca="1">BOR!B23+Lumcon!B23+'Total UL'!B23+'Total LSU'!B23+'Total SU'!B23+'Total LCTCS'!B23</f>
        <v>65369.63</v>
      </c>
      <c r="C23" s="81">
        <f ca="1">BOR!C23+Lumcon!C23+'Total UL'!C23+'Total LSU'!C23+'Total SU'!C23+'Total LCTCS'!C23</f>
        <v>400000</v>
      </c>
      <c r="D23" s="81">
        <f ca="1">BOR!D23+Lumcon!D23+'Total UL'!D23+'Total LSU'!D23+'Total SU'!D23+'Total LCTCS'!D23</f>
        <v>400000</v>
      </c>
      <c r="E23" s="79">
        <f t="shared" si="0"/>
        <v>334630.37</v>
      </c>
      <c r="F23" s="310">
        <f t="shared" si="1"/>
        <v>5.1190494729739182</v>
      </c>
    </row>
    <row r="24" spans="1:13" ht="34.5" customHeight="1">
      <c r="A24" s="61" t="s">
        <v>91</v>
      </c>
      <c r="B24" s="81">
        <f ca="1">BOR!B24+Lumcon!B24+'Total UL'!B24+'Total LSU'!B24+'Total SU'!B24+'Total LCTCS'!B24</f>
        <v>9981691</v>
      </c>
      <c r="C24" s="81">
        <f ca="1">BOR!C24+Lumcon!C24+'Total UL'!C24+'Total LSU'!C24+'Total SU'!C24+'Total LCTCS'!C24</f>
        <v>10000000</v>
      </c>
      <c r="D24" s="81">
        <f ca="1">BOR!D24+Lumcon!D24+'Total UL'!D24+'Total LSU'!D24+'Total SU'!D24+'Total LCTCS'!D24</f>
        <v>10000000</v>
      </c>
      <c r="E24" s="79">
        <f t="shared" si="0"/>
        <v>18309</v>
      </c>
      <c r="F24" s="310">
        <f t="shared" si="1"/>
        <v>1.8342583436012996E-3</v>
      </c>
      <c r="M24" s="48"/>
    </row>
    <row r="25" spans="1:13" ht="34.5" customHeight="1">
      <c r="A25" s="61" t="s">
        <v>80</v>
      </c>
      <c r="B25" s="81">
        <f ca="1">BOR!B25+Lumcon!B25+'Total UL'!B25+'Total LSU'!B25+'Total SU'!B25+'Total LCTCS'!B25</f>
        <v>5437182.5499999998</v>
      </c>
      <c r="C25" s="444">
        <f ca="1">BOR!C25+Lumcon!C25+'Total UL'!C25+'Total LSU'!C25+'Total SU'!C25+'Total LCTCS'!C25</f>
        <v>5456533</v>
      </c>
      <c r="D25" s="81">
        <f ca="1">BOR!D25+Lumcon!D25+'Total UL'!D25+'Total LSU'!D25+'Total SU'!D25+'Total LCTCS'!D25</f>
        <v>3289019</v>
      </c>
      <c r="E25" s="79">
        <f t="shared" si="0"/>
        <v>-2148163.5499999998</v>
      </c>
      <c r="F25" s="310">
        <f t="shared" si="1"/>
        <v>-0.39508762677096432</v>
      </c>
      <c r="M25" s="443"/>
    </row>
    <row r="26" spans="1:13" ht="35.25" customHeight="1">
      <c r="A26" s="62" t="s">
        <v>29</v>
      </c>
      <c r="B26" s="81"/>
      <c r="C26" s="81"/>
      <c r="D26" s="81"/>
      <c r="E26" s="81"/>
      <c r="F26" s="311" t="str">
        <f>IF(ISBLANK(E26),"  ",IF(C26&gt;0,E26/C26,IF(E26&gt;0,1,0)))</f>
        <v xml:space="preserve">  </v>
      </c>
    </row>
    <row r="27" spans="1:13" ht="34.5" customHeight="1">
      <c r="A27" s="60" t="s">
        <v>30</v>
      </c>
      <c r="B27" s="79">
        <f ca="1">BOR!B27+Lumcon!B27+'Total UL'!B27+'Total LSU'!B27+'Total SU'!B27+'Total LCTCS'!B27</f>
        <v>0</v>
      </c>
      <c r="C27" s="79">
        <f ca="1">BOR!C27+Lumcon!C27+'Total UL'!C27+'Total LSU'!C27+'Total SU'!C27+'Total LCTCS'!C27</f>
        <v>0</v>
      </c>
      <c r="D27" s="79">
        <f ca="1">BOR!D27+Lumcon!D27+'Total UL'!D27+'Total LSU'!D27+'Total SU'!D27+'Total LCTCS'!D27</f>
        <v>0</v>
      </c>
      <c r="E27" s="79">
        <f t="shared" si="0"/>
        <v>0</v>
      </c>
      <c r="F27" s="310">
        <f>IF(ISBLANK(E27),"  ",IF(B27&gt;0,E27/B27,IF(E27&gt;0,1,0)))</f>
        <v>0</v>
      </c>
    </row>
    <row r="28" spans="1:13" ht="35.25" customHeight="1">
      <c r="A28" s="63" t="s">
        <v>31</v>
      </c>
      <c r="B28" s="81"/>
      <c r="C28" s="81"/>
      <c r="D28" s="81"/>
      <c r="E28" s="81"/>
      <c r="F28" s="311" t="str">
        <f>IF(ISBLANK(E28),"  ",IF(C28&gt;0,E28/C28,IF(E28&gt;0,1,0)))</f>
        <v xml:space="preserve">  </v>
      </c>
    </row>
    <row r="29" spans="1:13" ht="34.5" customHeight="1">
      <c r="A29" s="60" t="s">
        <v>30</v>
      </c>
      <c r="B29" s="82">
        <f ca="1">BOR!B29+Lumcon!B29+'Total UL'!B29+'Total LSU'!B29+'Total SU'!B29+'Total LCTCS'!B29</f>
        <v>0</v>
      </c>
      <c r="C29" s="82">
        <f ca="1">BOR!C29+Lumcon!C29+'Total UL'!C29+'Total LSU'!C29+'Total SU'!C29+'Total LCTCS'!C29</f>
        <v>0</v>
      </c>
      <c r="D29" s="82">
        <f ca="1">BOR!D29+Lumcon!D29+'Total UL'!D29+'Total LSU'!D29+'Total SU'!D29+'Total LCTCS'!D29</f>
        <v>0</v>
      </c>
      <c r="E29" s="79">
        <f t="shared" si="0"/>
        <v>0</v>
      </c>
      <c r="F29" s="310">
        <f>IF(ISBLANK(E29),"  ",IF(B29&gt;0,E29/B29,IF(E29&gt;0,1,0)))</f>
        <v>0</v>
      </c>
    </row>
    <row r="30" spans="1:13" ht="34.5" customHeight="1">
      <c r="A30" s="57" t="s">
        <v>32</v>
      </c>
      <c r="B30" s="81">
        <f ca="1">BOR!B30+Lumcon!B30+'Total UL'!B30+'Total LSU'!B30+'Total SU'!B30+'Total LCTCS'!B30</f>
        <v>0</v>
      </c>
      <c r="C30" s="81">
        <f ca="1">BOR!C30+Lumcon!C30+'Total UL'!C30+'Total LSU'!C30+'Total SU'!C30+'Total LCTCS'!C30</f>
        <v>0</v>
      </c>
      <c r="D30" s="81">
        <f ca="1">BOR!D30+Lumcon!D30+'Total UL'!D30+'Total LSU'!D30+'Total SU'!D30+'Total LCTCS'!D30</f>
        <v>0</v>
      </c>
      <c r="E30" s="79">
        <f t="shared" si="0"/>
        <v>0</v>
      </c>
      <c r="F30" s="310">
        <f>IF(ISBLANK(E30),"  ",IF(B30&gt;0,E30/B30,IF(E30&gt;0,1,0)))</f>
        <v>0</v>
      </c>
    </row>
    <row r="31" spans="1:13" ht="35.25" customHeight="1">
      <c r="A31" s="63" t="s">
        <v>33</v>
      </c>
      <c r="B31" s="83">
        <f ca="1">SUM(B8:B10,B26:B30)</f>
        <v>1559640231.45</v>
      </c>
      <c r="C31" s="83">
        <f ca="1">SUM(C8:C10,C26:C30)</f>
        <v>1564395610.5</v>
      </c>
      <c r="D31" s="83">
        <f ca="1">SUM(D8:D10,D26:D30)</f>
        <v>1248367186</v>
      </c>
      <c r="E31" s="85">
        <f t="shared" si="0"/>
        <v>-311273045.45000005</v>
      </c>
      <c r="F31" s="312">
        <f>IF(ISBLANK(E31),"  ",IF(B31&gt;0,E31/B31,IF(E31&gt;0,1,0)))</f>
        <v>-0.19958003081300935</v>
      </c>
    </row>
    <row r="32" spans="1:13" ht="35.25" customHeight="1">
      <c r="A32" s="63"/>
      <c r="B32" s="81"/>
      <c r="C32" s="81"/>
      <c r="D32" s="81"/>
      <c r="E32" s="81"/>
      <c r="F32" s="311" t="str">
        <f>IF(ISBLANK(E32),"  ",IF(C32&gt;0,E32/C32,IF(E32&gt;0,1,0)))</f>
        <v xml:space="preserve">  </v>
      </c>
    </row>
    <row r="33" spans="1:6" ht="35.25" customHeight="1">
      <c r="A33" s="62" t="s">
        <v>34</v>
      </c>
      <c r="B33" s="84">
        <f ca="1">BOR!B33+Lumcon!B33+'Total UL'!B33+'Total LSU'!B33+'Total SU'!B33+'Total LCTCS'!B33</f>
        <v>-281061</v>
      </c>
      <c r="C33" s="84">
        <f ca="1">BOR!C33+Lumcon!C33+'Total UL'!C33+'Total LSU'!C33+'Total SU'!C33+'Total LCTCS'!C33</f>
        <v>0</v>
      </c>
      <c r="D33" s="84">
        <f ca="1">BOR!D33+Lumcon!D33+'Total UL'!D33+'Total LSU'!D33+'Total SU'!D33+'Total LCTCS'!D33</f>
        <v>0</v>
      </c>
      <c r="E33" s="85">
        <f t="shared" si="0"/>
        <v>281061</v>
      </c>
      <c r="F33" s="312">
        <f>IF(ISBLANK(E33),"  ",IF(B33&gt;0,E33/B33,IF(E33&gt;0,1,0)))</f>
        <v>1</v>
      </c>
    </row>
    <row r="34" spans="1:6" ht="35.25" customHeight="1">
      <c r="A34" s="57" t="s">
        <v>35</v>
      </c>
      <c r="B34" s="83"/>
      <c r="C34" s="83"/>
      <c r="D34" s="83"/>
      <c r="E34" s="83"/>
      <c r="F34" s="313" t="str">
        <f>IF(ISBLANK(E34),"  ",IF(C34&gt;0,E34/C34,IF(E34&gt;0,1,0)))</f>
        <v xml:space="preserve">  </v>
      </c>
    </row>
    <row r="35" spans="1:6" ht="35.25" customHeight="1">
      <c r="A35" s="64" t="s">
        <v>36</v>
      </c>
      <c r="B35" s="85">
        <f ca="1">BOR!B35+Lumcon!B35+'Total UL'!B35+'Total LSU'!B35+'Total SU'!B35+'Total LCTCS'!B35</f>
        <v>395046125.33999997</v>
      </c>
      <c r="C35" s="85">
        <f ca="1">BOR!C35+Lumcon!C35+'Total UL'!C35+'Total LSU'!C35+'Total SU'!C35+'Total LCTCS'!C35</f>
        <v>425594709</v>
      </c>
      <c r="D35" s="85">
        <f ca="1">BOR!D35+Lumcon!D35+'Total UL'!D35+'Total LSU'!D35+'Total SU'!D35+'Total LCTCS'!D35</f>
        <v>433893162</v>
      </c>
      <c r="E35" s="85">
        <f t="shared" si="0"/>
        <v>38847036.660000026</v>
      </c>
      <c r="F35" s="312">
        <f>IF(ISBLANK(E35),"  ",IF(B35&gt;0,E35/B35,IF(E35&gt;0,1,0)))</f>
        <v>9.8335445326962714E-2</v>
      </c>
    </row>
    <row r="36" spans="1:6" ht="35.25" customHeight="1">
      <c r="A36" s="57"/>
      <c r="B36" s="83"/>
      <c r="C36" s="83"/>
      <c r="D36" s="83"/>
      <c r="E36" s="83"/>
      <c r="F36" s="313" t="str">
        <f>IF(ISBLANK(E36),"  ",IF(C36&gt;0,E36/C36,IF(E36&gt;0,1,0)))</f>
        <v xml:space="preserve">  </v>
      </c>
    </row>
    <row r="37" spans="1:6" ht="35.25" customHeight="1">
      <c r="A37" s="64" t="s">
        <v>88</v>
      </c>
      <c r="B37" s="85">
        <f ca="1">BOR!B37+Lumcon!B37+'Total UL'!B37+'Total LSU'!B37+'Total SU'!B37+'Total LCTCS'!B37</f>
        <v>0</v>
      </c>
      <c r="C37" s="85">
        <f ca="1">BOR!C37+Lumcon!C37+'Total UL'!C37+'Total LSU'!C37+'Total SU'!C37+'Total LCTCS'!C37</f>
        <v>0</v>
      </c>
      <c r="D37" s="85">
        <f ca="1">BOR!D37+Lumcon!D37+'Total UL'!D37+'Total LSU'!D37+'Total SU'!D37+'Total LCTCS'!D37</f>
        <v>189700000</v>
      </c>
      <c r="E37" s="85">
        <f t="shared" si="0"/>
        <v>189700000</v>
      </c>
      <c r="F37" s="312">
        <f>IF(ISBLANK(E37),"  ",IF(B37&gt;0,E37/B37,IF(E37&gt;0,1,0)))</f>
        <v>1</v>
      </c>
    </row>
    <row r="38" spans="1:6" ht="35.25" customHeight="1">
      <c r="A38" s="57" t="s">
        <v>35</v>
      </c>
      <c r="B38" s="83"/>
      <c r="C38" s="83"/>
      <c r="D38" s="83"/>
      <c r="E38" s="83"/>
      <c r="F38" s="313" t="str">
        <f>IF(ISBLANK(E38),"  ",IF(C38&gt;0,E38/C38,IF(E38&gt;0,1,0)))</f>
        <v xml:space="preserve">  </v>
      </c>
    </row>
    <row r="39" spans="1:6" ht="35.25" customHeight="1">
      <c r="A39" s="62" t="s">
        <v>37</v>
      </c>
      <c r="B39" s="84">
        <f ca="1">BOR!B39+Lumcon!B39+'Total UL'!B39+'Total LSU'!B39+'Total SU'!B39+'Total LCTCS'!B39-1</f>
        <v>735859138.84000003</v>
      </c>
      <c r="C39" s="84">
        <f ca="1">BOR!C39+Lumcon!C39+'Total UL'!C39+'Total LSU'!C39+'Total SU'!C39+'Total LCTCS'!C39</f>
        <v>771479361.86119592</v>
      </c>
      <c r="D39" s="84">
        <f ca="1">BOR!D39+Lumcon!D39+'Total UL'!D39+'Total LSU'!D39+'Total SU'!D39+'Total LCTCS'!D39</f>
        <v>820328486</v>
      </c>
      <c r="E39" s="85">
        <f t="shared" si="0"/>
        <v>84469347.159999967</v>
      </c>
      <c r="F39" s="312">
        <f>IF(ISBLANK(E39),"  ",IF(B39&gt;0,E39/B39,IF(E39&gt;0,1,0)))</f>
        <v>0.11479010411307317</v>
      </c>
    </row>
    <row r="40" spans="1:6" ht="35.25" customHeight="1">
      <c r="A40" s="57" t="s">
        <v>35</v>
      </c>
      <c r="B40" s="83"/>
      <c r="C40" s="83"/>
      <c r="D40" s="83"/>
      <c r="E40" s="83"/>
      <c r="F40" s="313" t="str">
        <f>IF(ISBLANK(E40),"  ",IF(C40&gt;0,E40/C40,IF(E40&gt;0,1,0)))</f>
        <v xml:space="preserve">  </v>
      </c>
    </row>
    <row r="41" spans="1:6" ht="35.25" customHeight="1">
      <c r="A41" s="62" t="s">
        <v>38</v>
      </c>
      <c r="B41" s="84">
        <f ca="1">BOR!B41+Lumcon!B41+'Total UL'!B41+'Total LSU'!B41+'Total SU'!B41+'Total LCTCS'!B41</f>
        <v>100125820.23000002</v>
      </c>
      <c r="C41" s="84">
        <f ca="1">BOR!C41+Lumcon!C41+'Total UL'!C41+'Total LSU'!C41+'Total SU'!C41+'Total LCTCS'!C41</f>
        <v>102977884</v>
      </c>
      <c r="D41" s="84">
        <f ca="1">BOR!D41+Lumcon!D41+'Total UL'!D41+'Total LSU'!D41+'Total SU'!D41+'Total LCTCS'!D41</f>
        <v>96092905</v>
      </c>
      <c r="E41" s="85">
        <f t="shared" si="0"/>
        <v>-4032915.2300000191</v>
      </c>
      <c r="F41" s="312">
        <f>IF(ISBLANK(E41),"  ",IF(B41&gt;0,E41/B41,IF(E41&gt;0,1,0)))</f>
        <v>-4.0278473831584796E-2</v>
      </c>
    </row>
    <row r="42" spans="1:6" ht="34.5" customHeight="1">
      <c r="A42" s="57"/>
      <c r="B42" s="81"/>
      <c r="C42" s="81"/>
      <c r="D42" s="81"/>
      <c r="E42" s="81"/>
      <c r="F42" s="311" t="str">
        <f>IF(ISBLANK(E42),"  ",IF(C42&gt;0,E42/C42,IF(E42&gt;0,1,0)))</f>
        <v xml:space="preserve">  </v>
      </c>
    </row>
    <row r="43" spans="1:6" ht="35.25" customHeight="1">
      <c r="A43" s="55" t="s">
        <v>75</v>
      </c>
      <c r="B43" s="86">
        <f ca="1">SUM(BOS!B43,LSU!B43,VET!B43,UNO!B43,LSUA!B43,LSUE!B43,LSUS!B43,AG!B43,HSCNO!B43,HSCS!B43,EACON!B43,HPLMC!B43,LAW!B43,PBRC!B43)</f>
        <v>0</v>
      </c>
      <c r="C43" s="86">
        <f ca="1">SUM(BOS!C43,LSU!C43,VET!C43,UNO!C43,LSUA!C43,LSUE!C43,LSUS!C43,AG!C43,HSCNO!C43,HSCS!C43,EACON!C43,HPLMC!C43,LAW!C43,PBRC!C43)</f>
        <v>0</v>
      </c>
      <c r="D43" s="86">
        <f ca="1">SUM(BOS!D43,LSU!D43,VET!D43,UNO!D43,LSUA!D43,LSUE!D43,LSUS!D43,AG!D43,HSCNO!D43,HSCS!D43,EACON!D43,HPLMC!D43,LAW!D43,PBRC!D43)</f>
        <v>0</v>
      </c>
      <c r="E43" s="85">
        <f t="shared" si="0"/>
        <v>0</v>
      </c>
      <c r="F43" s="312">
        <f>IF(ISBLANK(E43),"  ",IF(B43&gt;0,E43/B43,IF(E43&gt;0,1,0)))</f>
        <v>0</v>
      </c>
    </row>
    <row r="44" spans="1:6" ht="34.5" customHeight="1">
      <c r="A44" s="65"/>
      <c r="B44" s="87"/>
      <c r="C44" s="87"/>
      <c r="D44" s="87"/>
      <c r="E44" s="87"/>
      <c r="F44" s="314" t="str">
        <f>IF(ISBLANK(E44),"  ",IF(C44&gt;0,E44/C44,IF(E44&gt;0,1,0)))</f>
        <v xml:space="preserve">  </v>
      </c>
    </row>
    <row r="45" spans="1:6" ht="34.5" customHeight="1">
      <c r="A45" s="100" t="s">
        <v>39</v>
      </c>
      <c r="B45" s="109">
        <f>SUM(B43,B41,B39,B37,B35,B33,B31)</f>
        <v>2790390254.8600001</v>
      </c>
      <c r="C45" s="109">
        <f>SUM(C43,C41,C39,C37,C35,C33,C31)+1</f>
        <v>2864447566.361196</v>
      </c>
      <c r="D45" s="109">
        <f>SUM(D43,D41,D39,D37,D35,D33,D31)</f>
        <v>2788381739</v>
      </c>
      <c r="E45" s="85">
        <f t="shared" si="0"/>
        <v>-2008515.8600001335</v>
      </c>
      <c r="F45" s="312">
        <f>IF(ISBLANK(E45),"  ",IF(B45&gt;0,E45/B45,IF(E45&gt;0,1,0)))</f>
        <v>-7.1979747510296011E-4</v>
      </c>
    </row>
    <row r="46" spans="1:6" ht="35.25" customHeight="1">
      <c r="A46" s="55"/>
      <c r="B46" s="88"/>
      <c r="C46" s="88"/>
      <c r="D46" s="88"/>
      <c r="E46" s="88"/>
      <c r="F46" s="315" t="str">
        <f>IF(ISBLANK(E46),"  ",IF(C46&gt;0,E46/C46,IF(E46&gt;0,1,0)))</f>
        <v xml:space="preserve">  </v>
      </c>
    </row>
    <row r="47" spans="1:6" ht="34.5" customHeight="1">
      <c r="A47" s="60"/>
      <c r="B47" s="82"/>
      <c r="C47" s="82"/>
      <c r="D47" s="82"/>
      <c r="E47" s="82"/>
      <c r="F47" s="310" t="str">
        <f>IF(ISBLANK(E47),"  ",IF(C47&gt;0,E47/C47,IF(E47&gt;0,1,0)))</f>
        <v xml:space="preserve">  </v>
      </c>
    </row>
    <row r="48" spans="1:6" ht="34.5" customHeight="1">
      <c r="A48" s="63" t="s">
        <v>40</v>
      </c>
      <c r="B48" s="81"/>
      <c r="C48" s="81"/>
      <c r="D48" s="81"/>
      <c r="E48" s="81"/>
      <c r="F48" s="310" t="str">
        <f>IF(ISBLANK(E48),"  ",IF(C48&gt;0,E48/C48,IF(E48&gt;0,1,0)))</f>
        <v xml:space="preserve">  </v>
      </c>
    </row>
    <row r="49" spans="1:6" ht="34.5" customHeight="1">
      <c r="A49" s="57" t="s">
        <v>41</v>
      </c>
      <c r="B49" s="81">
        <f ca="1">BOR!B47+Lumcon!B47+'Total UL'!B49+'Total LSU'!B49+'Total SU'!B49+'Total LCTCS'!B49</f>
        <v>926063190.59000003</v>
      </c>
      <c r="C49" s="81">
        <f ca="1">BOR!C47+Lumcon!C47+'Total UL'!C49+'Total LSU'!C49+'Total SU'!C49+'Total LCTCS'!C49</f>
        <v>973321003.59000003</v>
      </c>
      <c r="D49" s="81">
        <f ca="1">BOR!D47+Lumcon!D47+'Total UL'!D49+'Total LSU'!D49+'Total SU'!D49+'Total LCTCS'!D49</f>
        <v>944668020.37146425</v>
      </c>
      <c r="E49" s="80">
        <f t="shared" ref="E49:E62" si="2">D49-B49</f>
        <v>18604829.781464219</v>
      </c>
      <c r="F49" s="310">
        <f t="shared" ref="F49:F62" si="3">IF(ISBLANK(E49),"  ",IF(B49&gt;0,E49/B49,IF(E49&gt;0,1,0)))</f>
        <v>2.0090237869848794E-2</v>
      </c>
    </row>
    <row r="50" spans="1:6" ht="34.5" customHeight="1">
      <c r="A50" s="57" t="s">
        <v>42</v>
      </c>
      <c r="B50" s="81">
        <f ca="1">BOR!B48+Lumcon!B48+'Total UL'!B50+'Total LSU'!B50+'Total SU'!B50+'Total LCTCS'!B50</f>
        <v>207438440.13</v>
      </c>
      <c r="C50" s="81">
        <f ca="1">BOR!C48+Lumcon!C48+'Total UL'!C50+'Total LSU'!C50+'Total SU'!C50+'Total LCTCS'!C50</f>
        <v>204248762</v>
      </c>
      <c r="D50" s="81">
        <f ca="1">BOR!D48+Lumcon!D48+'Total UL'!D50+'Total LSU'!D50+'Total SU'!D50+'Total LCTCS'!D50</f>
        <v>197354432.71681738</v>
      </c>
      <c r="E50" s="80">
        <f t="shared" si="2"/>
        <v>-10084007.413182616</v>
      </c>
      <c r="F50" s="310">
        <f t="shared" si="3"/>
        <v>-4.8612048021876034E-2</v>
      </c>
    </row>
    <row r="51" spans="1:6" ht="34.5" customHeight="1">
      <c r="A51" s="57" t="s">
        <v>43</v>
      </c>
      <c r="B51" s="81">
        <f ca="1">BOR!B49+Lumcon!B49+'Total UL'!B51+'Total LSU'!B51+'Total SU'!B51+'Total LCTCS'!B51</f>
        <v>73249186</v>
      </c>
      <c r="C51" s="81">
        <f ca="1">BOR!C49+Lumcon!C49+'Total UL'!C51+'Total LSU'!C51+'Total SU'!C51+'Total LCTCS'!C51</f>
        <v>74134975</v>
      </c>
      <c r="D51" s="80">
        <f ca="1">BOR!D49+Lumcon!D49+'Total UL'!D51+'Total LSU'!D51+'Total SU'!D51+'Total LCTCS'!D51</f>
        <v>67805857.210000008</v>
      </c>
      <c r="E51" s="80">
        <f t="shared" si="2"/>
        <v>-5443328.7899999917</v>
      </c>
      <c r="F51" s="310">
        <f t="shared" si="3"/>
        <v>-7.431248164314061E-2</v>
      </c>
    </row>
    <row r="52" spans="1:6" ht="34.5" customHeight="1">
      <c r="A52" s="57" t="s">
        <v>44</v>
      </c>
      <c r="B52" s="81">
        <f ca="1">BOR!B50+Lumcon!B50+'Total UL'!B52+'Total LSU'!B52+'Total SU'!B52+'Total LCTCS'!B52</f>
        <v>212405600.69000003</v>
      </c>
      <c r="C52" s="81">
        <f ca="1">BOR!C50+Lumcon!C50+'Total UL'!C52+'Total LSU'!C52+'Total SU'!C52+'Total LCTCS'!C52</f>
        <v>214466418.52000001</v>
      </c>
      <c r="D52" s="89">
        <f ca="1">BOR!D50+Lumcon!D50+'Total UL'!D52+'Total LSU'!D52+'Total SU'!D52+'Total LCTCS'!D52</f>
        <v>206155557.69874588</v>
      </c>
      <c r="E52" s="80">
        <f t="shared" si="2"/>
        <v>-6250042.9912541509</v>
      </c>
      <c r="F52" s="310">
        <f t="shared" si="3"/>
        <v>-2.9425038562782117E-2</v>
      </c>
    </row>
    <row r="53" spans="1:6" ht="34.5" customHeight="1">
      <c r="A53" s="57" t="s">
        <v>45</v>
      </c>
      <c r="B53" s="81">
        <f ca="1">BOR!B51+Lumcon!B51+'Total UL'!B53+'Total LSU'!B53+'Total SU'!B53+'Total LCTCS'!B53</f>
        <v>89602371.890000015</v>
      </c>
      <c r="C53" s="81">
        <f ca="1">BOR!C51+Lumcon!C51+'Total UL'!C53+'Total LSU'!C53+'Total SU'!C53+'Total LCTCS'!C53</f>
        <v>95823651.950000003</v>
      </c>
      <c r="D53" s="81">
        <f ca="1">BOR!D51+Lumcon!D51+'Total UL'!D53+'Total LSU'!D53+'Total SU'!D53+'Total LCTCS'!D53</f>
        <v>90088303.134672835</v>
      </c>
      <c r="E53" s="80">
        <f t="shared" si="2"/>
        <v>485931.24467281997</v>
      </c>
      <c r="F53" s="310">
        <f t="shared" si="3"/>
        <v>5.4231962215171205E-3</v>
      </c>
    </row>
    <row r="54" spans="1:6" ht="34.5" customHeight="1">
      <c r="A54" s="57" t="s">
        <v>74</v>
      </c>
      <c r="B54" s="81">
        <f ca="1">BOR!B52+Lumcon!B52+'Total UL'!B54+'Total LSU'!B54+'Total SU'!B54+'Total LCTCS'!B54</f>
        <v>403755871.41000003</v>
      </c>
      <c r="C54" s="81">
        <f ca="1">BOR!C52+Lumcon!C52+'Total UL'!C54+'Total LSU'!C54+'Total SU'!C54+'Total LCTCS'!C54</f>
        <v>431478337.92000002</v>
      </c>
      <c r="D54" s="81">
        <f ca="1">BOR!D52+Lumcon!D52+'Total UL'!D54+'Total LSU'!D54+'Total SU'!D54+'Total LCTCS'!D54</f>
        <v>399048478.99771148</v>
      </c>
      <c r="E54" s="80">
        <f t="shared" si="2"/>
        <v>-4707392.4122885466</v>
      </c>
      <c r="F54" s="310">
        <f t="shared" si="3"/>
        <v>-1.1659006705832777E-2</v>
      </c>
    </row>
    <row r="55" spans="1:6" ht="35.25" customHeight="1">
      <c r="A55" s="65" t="s">
        <v>46</v>
      </c>
      <c r="B55" s="81">
        <f ca="1">BOR!B53+Lumcon!B53+'Total UL'!B55+'Total LSU'!B55+'Total SU'!B55+'Total LCTCS'!B55</f>
        <v>104963748.18000001</v>
      </c>
      <c r="C55" s="81">
        <f ca="1">BOR!C53+Lumcon!C53+'Total UL'!C55+'Total LSU'!C55+'Total SU'!C55+'Total LCTCS'!C55</f>
        <v>99924971</v>
      </c>
      <c r="D55" s="81">
        <f ca="1">BOR!D53+Lumcon!D53+'Total UL'!D55+'Total LSU'!D55+'Total SU'!D55+'Total LCTCS'!D55</f>
        <v>109865535</v>
      </c>
      <c r="E55" s="80">
        <f t="shared" si="2"/>
        <v>4901786.8199999928</v>
      </c>
      <c r="F55" s="310">
        <f t="shared" si="3"/>
        <v>4.6699807362004901E-2</v>
      </c>
    </row>
    <row r="56" spans="1:6" ht="34.5" customHeight="1">
      <c r="A56" s="57" t="s">
        <v>47</v>
      </c>
      <c r="B56" s="81">
        <f ca="1">BOR!B54+Lumcon!B54+'Total UL'!B56+'Total LSU'!B56+'Total SU'!B56+'Total LCTCS'!B56</f>
        <v>255357098.13500002</v>
      </c>
      <c r="C56" s="81">
        <f ca="1">BOR!C54+Lumcon!C54+'Total UL'!C56+'Total LSU'!C56+'Total SU'!C56+'Total LCTCS'!C56</f>
        <v>248059385.64499998</v>
      </c>
      <c r="D56" s="81">
        <f ca="1">BOR!D54+Lumcon!D54+'Total UL'!D56+'Total LSU'!D56+'Total SU'!D56+'Total LCTCS'!D56</f>
        <v>241616883.06502634</v>
      </c>
      <c r="E56" s="80">
        <f t="shared" si="2"/>
        <v>-13740215.069973677</v>
      </c>
      <c r="F56" s="310">
        <f t="shared" si="3"/>
        <v>-5.3807844662730378E-2</v>
      </c>
    </row>
    <row r="57" spans="1:6" ht="34.5" customHeight="1">
      <c r="A57" s="63" t="s">
        <v>48</v>
      </c>
      <c r="B57" s="83">
        <f ca="1">SUM(B49:B56)</f>
        <v>2272835507.0250006</v>
      </c>
      <c r="C57" s="83">
        <f ca="1">SUM(C49:C56)</f>
        <v>2341457505.625</v>
      </c>
      <c r="D57" s="83">
        <f ca="1">SUM(D49:D56)</f>
        <v>2256603068.1944385</v>
      </c>
      <c r="E57" s="91">
        <f t="shared" si="2"/>
        <v>-16232438.830562115</v>
      </c>
      <c r="F57" s="312">
        <f t="shared" si="3"/>
        <v>-7.1419329645238429E-3</v>
      </c>
    </row>
    <row r="58" spans="1:6" ht="34.5" customHeight="1">
      <c r="A58" s="57" t="s">
        <v>49</v>
      </c>
      <c r="B58" s="81">
        <f ca="1">BOR!B56+Lumcon!B56+'Total UL'!B58+'Total LSU'!B58+'Total SU'!B58+'Total LCTCS'!B58</f>
        <v>461436587.42999995</v>
      </c>
      <c r="C58" s="81">
        <f ca="1">BOR!C56+Lumcon!C56+'Total UL'!C58+'Total LSU'!C58+'Total SU'!C58+'Total LCTCS'!C58</f>
        <v>471741092</v>
      </c>
      <c r="D58" s="81">
        <f ca="1">BOR!D56+Lumcon!D56+'Total UL'!D58+'Total LSU'!D58+'Total SU'!D58+'Total LCTCS'!D58</f>
        <v>485911925</v>
      </c>
      <c r="E58" s="80">
        <f t="shared" si="2"/>
        <v>24475337.570000052</v>
      </c>
      <c r="F58" s="310">
        <f t="shared" si="3"/>
        <v>5.3041605795320614E-2</v>
      </c>
    </row>
    <row r="59" spans="1:6" ht="34.5" customHeight="1">
      <c r="A59" s="57" t="s">
        <v>50</v>
      </c>
      <c r="B59" s="81">
        <f ca="1">BOR!B57+Lumcon!B57+'Total UL'!B59+'Total LSU'!B59+'Total SU'!B59+'Total LCTCS'!B59</f>
        <v>8857542.6999999993</v>
      </c>
      <c r="C59" s="81">
        <f ca="1">BOR!C57+Lumcon!C57+'Total UL'!C59+'Total LSU'!C59+'Total SU'!C59+'Total LCTCS'!C59</f>
        <v>10264120.25</v>
      </c>
      <c r="D59" s="81">
        <f ca="1">BOR!D57+Lumcon!D57+'Total UL'!D59+'Total LSU'!D59+'Total SU'!D59+'Total LCTCS'!D59</f>
        <v>11268807</v>
      </c>
      <c r="E59" s="80">
        <f t="shared" si="2"/>
        <v>2411264.3000000007</v>
      </c>
      <c r="F59" s="310">
        <f t="shared" si="3"/>
        <v>0.27222722843887626</v>
      </c>
    </row>
    <row r="60" spans="1:6" ht="35.25" customHeight="1">
      <c r="A60" s="103" t="s">
        <v>51</v>
      </c>
      <c r="B60" s="80">
        <f ca="1">BOR!B58+Lumcon!B58+'Total UL'!B60+'Total LSU'!B60+'Total SU'!B60+'Total LCTCS'!B60</f>
        <v>39878238</v>
      </c>
      <c r="C60" s="80">
        <f ca="1">BOR!C58+Lumcon!C58+'Total UL'!C60+'Total LSU'!C60+'Total SU'!C60+'Total LCTCS'!C60</f>
        <v>35907738</v>
      </c>
      <c r="D60" s="80">
        <f ca="1">BOR!D58+Lumcon!D58+'Total UL'!D60+'Total LSU'!D60+'Total SU'!D60+'Total LCTCS'!D60</f>
        <v>30744323</v>
      </c>
      <c r="E60" s="80">
        <f t="shared" si="2"/>
        <v>-9133915</v>
      </c>
      <c r="F60" s="310">
        <f t="shared" si="3"/>
        <v>-0.22904509973585091</v>
      </c>
    </row>
    <row r="61" spans="1:6" ht="34.5" customHeight="1">
      <c r="A61" s="437" t="s">
        <v>52</v>
      </c>
      <c r="B61" s="438">
        <f ca="1">BOR!B59+Lumcon!B59+'Total UL'!B61+'Total LSU'!B61+'Total SU'!B61+'Total LCTCS'!B61</f>
        <v>7382367.3700000001</v>
      </c>
      <c r="C61" s="438">
        <f ca="1">BOR!C59+Lumcon!C59+'Total UL'!C61+'Total LSU'!C61+'Total SU'!C61+'Total LCTCS'!C61</f>
        <v>5082099</v>
      </c>
      <c r="D61" s="438">
        <f ca="1">BOR!D59+Lumcon!D59+'Total UL'!D61+'Total LSU'!D61+'Total SU'!D61+'Total LCTCS'!D61</f>
        <v>3853606</v>
      </c>
      <c r="E61" s="80">
        <f t="shared" si="2"/>
        <v>-3528761.37</v>
      </c>
      <c r="F61" s="310">
        <f t="shared" si="3"/>
        <v>-0.47799861387824705</v>
      </c>
    </row>
    <row r="62" spans="1:6" ht="35.25" customHeight="1">
      <c r="A62" s="106" t="s">
        <v>53</v>
      </c>
      <c r="B62" s="110">
        <f>SUM(B57:B61)+10+3</f>
        <v>2790390255.5250001</v>
      </c>
      <c r="C62" s="110">
        <f>SUM(C57:C61)+10+1</f>
        <v>2864452565.875</v>
      </c>
      <c r="D62" s="110">
        <f>SUM(D57:D61)+10</f>
        <v>2788381739.1944385</v>
      </c>
      <c r="E62" s="91">
        <f t="shared" si="2"/>
        <v>-2008516.3305616379</v>
      </c>
      <c r="F62" s="312">
        <f t="shared" si="3"/>
        <v>-7.1979764356786859E-4</v>
      </c>
    </row>
    <row r="63" spans="1:6" ht="34.5" customHeight="1">
      <c r="A63" s="107"/>
      <c r="B63" s="108"/>
      <c r="C63" s="108"/>
      <c r="D63" s="108"/>
      <c r="E63" s="108"/>
      <c r="F63" s="439" t="str">
        <f>IF(ISBLANK(E63),"  ",IF(C63&gt;0,E63/C63,IF(E63&gt;0,1,0)))</f>
        <v xml:space="preserve">  </v>
      </c>
    </row>
    <row r="64" spans="1:6" ht="34.5" customHeight="1">
      <c r="A64" s="62" t="s">
        <v>54</v>
      </c>
      <c r="B64" s="82"/>
      <c r="C64" s="82"/>
      <c r="D64" s="82"/>
      <c r="E64" s="82"/>
      <c r="F64" s="310" t="str">
        <f>IF(ISBLANK(E64),"  ",IF(C64&gt;0,E64/C64,IF(E64&gt;0,1,0)))</f>
        <v xml:space="preserve">  </v>
      </c>
    </row>
    <row r="65" spans="1:6" ht="34.5" customHeight="1">
      <c r="A65" s="57" t="s">
        <v>55</v>
      </c>
      <c r="B65" s="81">
        <f ca="1">BOR!B63+Lumcon!B63+'Total UL'!B65+'Total LSU'!B65+'Total SU'!B65+'Total LCTCS'!B65</f>
        <v>1414956594.0200002</v>
      </c>
      <c r="C65" s="81">
        <f ca="1">BOR!C63+Lumcon!C63+'Total UL'!C65+'Total LSU'!C65+'Total SU'!C65+'Total LCTCS'!C65</f>
        <v>1442732616.3099999</v>
      </c>
      <c r="D65" s="81">
        <f ca="1">BOR!D63+Lumcon!D63+'Total UL'!D65+'Total LSU'!D65+'Total SU'!D65+'Total LCTCS'!D65</f>
        <v>1419183819.1030769</v>
      </c>
      <c r="E65" s="80">
        <f t="shared" ref="E65:E82" si="4">D65-B65</f>
        <v>4227225.0830767155</v>
      </c>
      <c r="F65" s="310">
        <f t="shared" ref="F65:F82" si="5">IF(ISBLANK(E65),"  ",IF(B65&gt;0,E65/B65,IF(E65&gt;0,1,0)))</f>
        <v>2.9875298655394401E-3</v>
      </c>
    </row>
    <row r="66" spans="1:6" ht="35.25" customHeight="1">
      <c r="A66" s="65" t="s">
        <v>56</v>
      </c>
      <c r="B66" s="87">
        <f ca="1">BOR!B64+Lumcon!B64+'Total UL'!B66+'Total LSU'!B66+'Total SU'!B66+'Total LCTCS'!B66</f>
        <v>75728795.74000001</v>
      </c>
      <c r="C66" s="87">
        <f ca="1">BOR!C64+Lumcon!C64+'Total UL'!C66+'Total LSU'!C66+'Total SU'!C66+'Total LCTCS'!C66</f>
        <v>77351703.760000005</v>
      </c>
      <c r="D66" s="87">
        <f ca="1">BOR!D64+Lumcon!D64+'Total UL'!D66+'Total LSU'!D66+'Total SU'!D66+'Total LCTCS'!D66</f>
        <v>77218094.769999996</v>
      </c>
      <c r="E66" s="80">
        <f t="shared" si="4"/>
        <v>1489299.0299999863</v>
      </c>
      <c r="F66" s="310">
        <f t="shared" si="5"/>
        <v>1.9666218318236603E-2</v>
      </c>
    </row>
    <row r="67" spans="1:6" ht="34.5" customHeight="1">
      <c r="A67" s="57" t="s">
        <v>57</v>
      </c>
      <c r="B67" s="81">
        <f ca="1">BOR!B65+Lumcon!B65+'Total UL'!B67+'Total LSU'!B67+'Total SU'!B67+'Total LCTCS'!B67</f>
        <v>394014635.30000001</v>
      </c>
      <c r="C67" s="81">
        <f ca="1">BOR!C65+Lumcon!C65+'Total UL'!C67+'Total LSU'!C67+'Total SU'!C67+'Total LCTCS'!C67</f>
        <v>421564066.18000001</v>
      </c>
      <c r="D67" s="81">
        <f ca="1">BOR!D65+Lumcon!D65+'Total UL'!D67+'Total LSU'!D67+'Total SU'!D67+'Total LCTCS'!D67</f>
        <v>421201299.77971923</v>
      </c>
      <c r="E67" s="80">
        <f t="shared" si="4"/>
        <v>27186664.479719222</v>
      </c>
      <c r="F67" s="310">
        <f t="shared" si="5"/>
        <v>6.8999123494535894E-2</v>
      </c>
    </row>
    <row r="68" spans="1:6" ht="34.5" customHeight="1">
      <c r="A68" s="63" t="s">
        <v>58</v>
      </c>
      <c r="B68" s="83">
        <f ca="1">SUM(B65:B67)</f>
        <v>1884700025.0600002</v>
      </c>
      <c r="C68" s="83">
        <f ca="1">SUM(C65:C67)</f>
        <v>1941648386.25</v>
      </c>
      <c r="D68" s="83">
        <f ca="1">SUM(D65:D67)</f>
        <v>1917603213.6527963</v>
      </c>
      <c r="E68" s="91">
        <f t="shared" si="4"/>
        <v>32903188.592796087</v>
      </c>
      <c r="F68" s="312">
        <f t="shared" si="5"/>
        <v>1.745805070053448E-2</v>
      </c>
    </row>
    <row r="69" spans="1:6" ht="34.5" customHeight="1">
      <c r="A69" s="57" t="s">
        <v>59</v>
      </c>
      <c r="B69" s="81">
        <f ca="1">BOR!B67+Lumcon!B67+'Total UL'!B69+'Total LSU'!B69+'Total SU'!B69+'Total LCTCS'!B69</f>
        <v>16549720.219999999</v>
      </c>
      <c r="C69" s="81">
        <f ca="1">BOR!C67+Lumcon!C67+'Total UL'!C69+'Total LSU'!C69+'Total SU'!C69+'Total LCTCS'!C69</f>
        <v>16389019.83</v>
      </c>
      <c r="D69" s="81">
        <f ca="1">BOR!D67+Lumcon!D67+'Total UL'!D69+'Total LSU'!D69+'Total SU'!D69+'Total LCTCS'!D69</f>
        <v>13860019.17</v>
      </c>
      <c r="E69" s="80">
        <f t="shared" si="4"/>
        <v>-2689701.0499999989</v>
      </c>
      <c r="F69" s="310">
        <f t="shared" si="5"/>
        <v>-0.16252244837042926</v>
      </c>
    </row>
    <row r="70" spans="1:6" ht="35.25" customHeight="1">
      <c r="A70" s="57" t="s">
        <v>60</v>
      </c>
      <c r="B70" s="81">
        <f ca="1">BOR!B68+Lumcon!B68+'Total UL'!B70+'Total LSU'!B70+'Total SU'!B70+'Total LCTCS'!B70</f>
        <v>238473908.095</v>
      </c>
      <c r="C70" s="81">
        <f ca="1">BOR!C68+Lumcon!C68+'Total UL'!C70+'Total LSU'!C70+'Total SU'!C70+'Total LCTCS'!C70</f>
        <v>246941584.89499998</v>
      </c>
      <c r="D70" s="81">
        <f ca="1">BOR!D68+Lumcon!D68+'Total UL'!D70+'Total LSU'!D70+'Total SU'!D70+'Total LCTCS'!D70</f>
        <v>239245042.40000001</v>
      </c>
      <c r="E70" s="80">
        <f t="shared" si="4"/>
        <v>771134.30500000715</v>
      </c>
      <c r="F70" s="310">
        <f t="shared" si="5"/>
        <v>3.2336212844417895E-3</v>
      </c>
    </row>
    <row r="71" spans="1:6" ht="34.5" customHeight="1">
      <c r="A71" s="57" t="s">
        <v>61</v>
      </c>
      <c r="B71" s="81">
        <f ca="1">BOR!B69+Lumcon!B69+'Total UL'!B71+'Total LSU'!B71+'Total SU'!B71+'Total LCTCS'!B71</f>
        <v>168361532.79999998</v>
      </c>
      <c r="C71" s="81">
        <f ca="1">BOR!C69+Lumcon!C69+'Total UL'!C71+'Total LSU'!C71+'Total SU'!C71+'Total LCTCS'!C71</f>
        <v>160573554.84</v>
      </c>
      <c r="D71" s="81">
        <f ca="1">BOR!D69+Lumcon!D69+'Total UL'!D71+'Total LSU'!D71+'Total SU'!D71+'Total LCTCS'!D71</f>
        <v>153370273.85999998</v>
      </c>
      <c r="E71" s="80">
        <f t="shared" si="4"/>
        <v>-14991258.939999998</v>
      </c>
      <c r="F71" s="310">
        <f t="shared" si="5"/>
        <v>-8.9042067333803696E-2</v>
      </c>
    </row>
    <row r="72" spans="1:6" ht="34.5" customHeight="1">
      <c r="A72" s="63" t="s">
        <v>62</v>
      </c>
      <c r="B72" s="83">
        <f ca="1">SUM(B69:B71)</f>
        <v>423385161.11500001</v>
      </c>
      <c r="C72" s="83">
        <f ca="1">SUM(C69:C71)</f>
        <v>423904159.565</v>
      </c>
      <c r="D72" s="83">
        <f ca="1">SUM(D69:D71)</f>
        <v>406475335.42999995</v>
      </c>
      <c r="E72" s="91">
        <f t="shared" si="4"/>
        <v>-16909825.685000062</v>
      </c>
      <c r="F72" s="312">
        <f t="shared" si="5"/>
        <v>-3.9939580405858884E-2</v>
      </c>
    </row>
    <row r="73" spans="1:6" ht="34.5" customHeight="1">
      <c r="A73" s="57" t="s">
        <v>63</v>
      </c>
      <c r="B73" s="81">
        <f ca="1">BOR!B71+Lumcon!B71+'Total UL'!B73+'Total LSU'!B73+'Total SU'!B73+'Total LCTCS'!B73</f>
        <v>33852193.789999999</v>
      </c>
      <c r="C73" s="81">
        <f ca="1">BOR!C71+Lumcon!C71+'Total UL'!C73+'Total LSU'!C73+'Total SU'!C73+'Total LCTCS'!C73</f>
        <v>35084145.509999998</v>
      </c>
      <c r="D73" s="81">
        <f ca="1">BOR!D71+Lumcon!D71+'Total UL'!D73+'Total LSU'!D73+'Total SU'!D73+'Total LCTCS'!D73</f>
        <v>32561962</v>
      </c>
      <c r="E73" s="80">
        <f t="shared" si="4"/>
        <v>-1290231.7899999991</v>
      </c>
      <c r="F73" s="310">
        <f t="shared" si="5"/>
        <v>-3.8113683207767056E-2</v>
      </c>
    </row>
    <row r="74" spans="1:6" ht="34.5" customHeight="1">
      <c r="A74" s="57" t="s">
        <v>64</v>
      </c>
      <c r="B74" s="81">
        <f ca="1">BOR!B72+Lumcon!B72+'Total UL'!B74+'Total LSU'!B74+'Total SU'!B74+'Total LCTCS'!B74</f>
        <v>303525417.38999999</v>
      </c>
      <c r="C74" s="81">
        <f ca="1">BOR!C72+Lumcon!C72+'Total UL'!C74+'Total LSU'!C74+'Total SU'!C74+'Total LCTCS'!C74</f>
        <v>315945955.06</v>
      </c>
      <c r="D74" s="81">
        <f ca="1">BOR!D72+Lumcon!D72+'Total UL'!D74+'Total LSU'!D74+'Total SU'!D74+'Total LCTCS'!D74</f>
        <v>310454853.63999999</v>
      </c>
      <c r="E74" s="80">
        <f t="shared" si="4"/>
        <v>6929436.25</v>
      </c>
      <c r="F74" s="310">
        <f t="shared" si="5"/>
        <v>2.2829838468177981E-2</v>
      </c>
    </row>
    <row r="75" spans="1:6" ht="35.25" customHeight="1">
      <c r="A75" s="57" t="s">
        <v>65</v>
      </c>
      <c r="B75" s="81">
        <f ca="1">BOR!B73+Lumcon!B73+'Total UL'!B75+'Total LSU'!B75+'Total SU'!B75+'Total LCTCS'!B75</f>
        <v>318474.15000000002</v>
      </c>
      <c r="C75" s="81">
        <f ca="1">BOR!C73+Lumcon!C73+'Total UL'!C75+'Total LSU'!C75+'Total SU'!C75+'Total LCTCS'!C75</f>
        <v>336895</v>
      </c>
      <c r="D75" s="81">
        <f ca="1">BOR!D73+Lumcon!D73+'Total UL'!D75+'Total LSU'!D75+'Total SU'!D75+'Total LCTCS'!D75</f>
        <v>339496</v>
      </c>
      <c r="E75" s="80">
        <f t="shared" si="4"/>
        <v>21021.849999999977</v>
      </c>
      <c r="F75" s="310">
        <f t="shared" si="5"/>
        <v>6.6008026083121576E-2</v>
      </c>
    </row>
    <row r="76" spans="1:6" ht="34.5" customHeight="1">
      <c r="A76" s="57" t="s">
        <v>66</v>
      </c>
      <c r="B76" s="81">
        <f ca="1">BOR!B74+Lumcon!B74+'Total UL'!B76+'Total LSU'!B76+'Total SU'!B76+'Total LCTCS'!B76</f>
        <v>89809772.989999995</v>
      </c>
      <c r="C76" s="81">
        <f ca="1">BOR!C74+Lumcon!C74+'Total UL'!C76+'Total LSU'!C76+'Total SU'!C76+'Total LCTCS'!C76</f>
        <v>88121425.090000004</v>
      </c>
      <c r="D76" s="81">
        <f ca="1">BOR!D74+Lumcon!D74+'Total UL'!D76+'Total LSU'!D76+'Total SU'!D76+'Total LCTCS'!D76</f>
        <v>74886589.180000007</v>
      </c>
      <c r="E76" s="80">
        <f t="shared" si="4"/>
        <v>-14923183.809999987</v>
      </c>
      <c r="F76" s="310">
        <f t="shared" si="5"/>
        <v>-0.16616436400147266</v>
      </c>
    </row>
    <row r="77" spans="1:6" ht="34.5" customHeight="1">
      <c r="A77" s="63" t="s">
        <v>67</v>
      </c>
      <c r="B77" s="83">
        <f ca="1">SUM(B73:B76)</f>
        <v>427505858.31999999</v>
      </c>
      <c r="C77" s="83">
        <f ca="1">SUM(C73:C76)</f>
        <v>439488420.65999997</v>
      </c>
      <c r="D77" s="83">
        <f ca="1">SUM(D73:D76)</f>
        <v>418242900.81999999</v>
      </c>
      <c r="E77" s="91">
        <f t="shared" si="4"/>
        <v>-9262957.5</v>
      </c>
      <c r="F77" s="312">
        <f t="shared" si="5"/>
        <v>-2.1667439918604387E-2</v>
      </c>
    </row>
    <row r="78" spans="1:6" ht="34.5" customHeight="1">
      <c r="A78" s="69" t="s">
        <v>68</v>
      </c>
      <c r="B78" s="81">
        <f ca="1">BOR!B76+Lumcon!B76+'Total UL'!B78+'Total LSU'!B78+'Total SU'!B78+'Total LCTCS'!B78</f>
        <v>32352338.539999992</v>
      </c>
      <c r="C78" s="81">
        <f ca="1">BOR!C76+Lumcon!C76+'Total UL'!C78+'Total LSU'!C78+'Total SU'!C78+'Total LCTCS'!C78</f>
        <v>38487748.899999999</v>
      </c>
      <c r="D78" s="81">
        <f ca="1">BOR!D76+Lumcon!D76+'Total UL'!D78+'Total LSU'!D78+'Total SU'!D78+'Total LCTCS'!D78</f>
        <v>27890933</v>
      </c>
      <c r="E78" s="80">
        <f t="shared" si="4"/>
        <v>-4461405.5399999917</v>
      </c>
      <c r="F78" s="310">
        <f t="shared" si="5"/>
        <v>-0.1379005580843552</v>
      </c>
    </row>
    <row r="79" spans="1:6" ht="35.25" customHeight="1">
      <c r="A79" s="69" t="s">
        <v>69</v>
      </c>
      <c r="B79" s="80">
        <f ca="1">BOR!B77+Lumcon!B77+'Total UL'!B79+'Total LSU'!B79+'Total SU'!B79+'Total LCTCS'!B79</f>
        <v>16353605.9</v>
      </c>
      <c r="C79" s="80">
        <f ca="1">BOR!C77+Lumcon!C77+'Total UL'!C79+'Total LSU'!C79+'Total SU'!C79+'Total LCTCS'!C79</f>
        <v>18214287</v>
      </c>
      <c r="D79" s="80">
        <f ca="1">BOR!D77+Lumcon!D77+'Total UL'!D79+'Total LSU'!D79+'Total SU'!D79+'Total LCTCS'!D79</f>
        <v>14523696</v>
      </c>
      <c r="E79" s="80">
        <f t="shared" si="4"/>
        <v>-1829909.9000000004</v>
      </c>
      <c r="F79" s="310">
        <f t="shared" si="5"/>
        <v>-0.1118964166795777</v>
      </c>
    </row>
    <row r="80" spans="1:6" ht="35.25" customHeight="1">
      <c r="A80" s="103" t="s">
        <v>70</v>
      </c>
      <c r="B80" s="80">
        <f ca="1">BOR!B78+Lumcon!B78+'Total UL'!B80+'Total LSU'!B80+'Total SU'!B80+'Total LCTCS'!B80</f>
        <v>6093262.4299999997</v>
      </c>
      <c r="C80" s="80">
        <f ca="1">BOR!C78+Lumcon!C78+'Total UL'!C80+'Total LSU'!C80+'Total SU'!C80+'Total LCTCS'!C80</f>
        <v>2709552.5</v>
      </c>
      <c r="D80" s="80">
        <f ca="1">BOR!D78+Lumcon!D78+'Total UL'!D80+'Total LSU'!D80+'Total SU'!D80+'Total LCTCS'!D80</f>
        <v>3645647.46</v>
      </c>
      <c r="E80" s="80">
        <f t="shared" si="4"/>
        <v>-2447614.9699999997</v>
      </c>
      <c r="F80" s="310">
        <f t="shared" si="5"/>
        <v>-0.40169203248972812</v>
      </c>
    </row>
    <row r="81" spans="1:6" ht="38.25" customHeight="1">
      <c r="A81" s="32" t="s">
        <v>71</v>
      </c>
      <c r="B81" s="94">
        <f>SUM(B78:B80)</f>
        <v>54799206.86999999</v>
      </c>
      <c r="C81" s="94">
        <f>SUM(C78:C80)</f>
        <v>59411588.399999999</v>
      </c>
      <c r="D81" s="94">
        <f>SUM(D78:D80)</f>
        <v>46060276.460000001</v>
      </c>
      <c r="E81" s="91">
        <f t="shared" si="4"/>
        <v>-8738930.409999989</v>
      </c>
      <c r="F81" s="312">
        <f t="shared" si="5"/>
        <v>-0.15947184109308973</v>
      </c>
    </row>
    <row r="82" spans="1:6" s="44" customFormat="1" ht="45" thickBot="1">
      <c r="A82" s="440" t="s">
        <v>53</v>
      </c>
      <c r="B82" s="441">
        <f>+B81+B77+B72+B68+5</f>
        <v>2790390256.3650002</v>
      </c>
      <c r="C82" s="441">
        <f>+C81+C77+C72+C68+11</f>
        <v>2864452565.875</v>
      </c>
      <c r="D82" s="441">
        <f>+D81+D77+D72+D68+13</f>
        <v>2788381739.3627963</v>
      </c>
      <c r="E82" s="454">
        <f t="shared" si="4"/>
        <v>-2008517.0022039413</v>
      </c>
      <c r="F82" s="461">
        <f t="shared" si="5"/>
        <v>-7.1979788404952596E-4</v>
      </c>
    </row>
    <row r="83" spans="1:6" s="44" customFormat="1" ht="44.25">
      <c r="F83" s="318"/>
    </row>
    <row r="84" spans="1:6" s="44" customFormat="1" ht="44.25">
      <c r="A84" s="44" t="s">
        <v>99</v>
      </c>
      <c r="F84" s="318"/>
    </row>
    <row r="85" spans="1:6" ht="44.25">
      <c r="A85" s="73" t="s">
        <v>72</v>
      </c>
      <c r="B85" s="43"/>
      <c r="C85" s="43"/>
      <c r="D85" s="43"/>
      <c r="E85" s="43"/>
      <c r="F85" s="319"/>
    </row>
    <row r="86" spans="1:6" ht="15" customHeight="1">
      <c r="A86" s="15"/>
      <c r="B86" s="15"/>
      <c r="C86" s="15"/>
      <c r="D86" s="15"/>
      <c r="E86" s="15"/>
      <c r="F86" s="320"/>
    </row>
    <row r="87" spans="1:6" ht="15" customHeight="1">
      <c r="A87" s="15"/>
      <c r="B87" s="15"/>
      <c r="C87" s="15"/>
      <c r="D87" s="15"/>
      <c r="E87" s="15"/>
      <c r="F87" s="320"/>
    </row>
    <row r="88" spans="1:6" ht="15" customHeight="1">
      <c r="A88" s="15"/>
      <c r="B88" s="15"/>
      <c r="C88" s="15"/>
      <c r="D88" s="15"/>
      <c r="E88" s="15"/>
      <c r="F88" s="320"/>
    </row>
    <row r="89" spans="1:6" ht="15" customHeight="1">
      <c r="A89" s="15"/>
      <c r="B89" s="15"/>
      <c r="C89" s="15"/>
      <c r="D89" s="15"/>
      <c r="E89" s="15"/>
      <c r="F89" s="320"/>
    </row>
    <row r="90" spans="1:6" ht="15" customHeight="1">
      <c r="A90" s="15"/>
      <c r="B90" s="15"/>
      <c r="C90" s="15"/>
      <c r="D90" s="15"/>
      <c r="E90" s="15"/>
      <c r="F90" s="320"/>
    </row>
    <row r="91" spans="1:6" ht="15" customHeight="1">
      <c r="A91" s="15"/>
      <c r="B91" s="15"/>
      <c r="C91" s="15"/>
      <c r="D91" s="15"/>
      <c r="E91" s="15"/>
      <c r="F91" s="320"/>
    </row>
    <row r="92" spans="1:6" ht="15" customHeight="1">
      <c r="A92" s="15"/>
      <c r="B92" s="15"/>
      <c r="C92" s="15"/>
      <c r="D92" s="15"/>
      <c r="E92" s="15"/>
      <c r="F92" s="320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zoomScale="30" zoomScaleNormal="30" workbookViewId="0">
      <selection activeCell="I22" sqref="I22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35.5546875" style="332" customWidth="1"/>
    <col min="7" max="16384" width="8.88671875" style="16"/>
  </cols>
  <sheetData>
    <row r="1" spans="1:10" ht="45">
      <c r="A1" s="17" t="s">
        <v>0</v>
      </c>
      <c r="B1" s="18"/>
      <c r="C1" s="18"/>
      <c r="D1" s="17" t="s">
        <v>1</v>
      </c>
      <c r="E1" s="113" t="s">
        <v>284</v>
      </c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v>33110461</v>
      </c>
      <c r="C8" s="92">
        <v>33110461</v>
      </c>
      <c r="D8" s="92">
        <v>23698077</v>
      </c>
      <c r="E8" s="92">
        <f>D8-B8</f>
        <v>-9412384</v>
      </c>
      <c r="F8" s="355">
        <f>IF(ISBLANK(E8),"  ",IF(B8&gt;0,E8/B8,IF(E8&gt;0,1,0)))</f>
        <v>-0.28427221233796773</v>
      </c>
      <c r="G8" s="24"/>
      <c r="H8" s="24"/>
      <c r="I8" s="24"/>
      <c r="J8" s="24"/>
    </row>
    <row r="9" spans="1:10" ht="34.5">
      <c r="A9" s="31" t="s">
        <v>87</v>
      </c>
      <c r="B9" s="93">
        <v>0</v>
      </c>
      <c r="C9" s="93">
        <v>0</v>
      </c>
      <c r="D9" s="93">
        <v>2157641</v>
      </c>
      <c r="E9" s="458">
        <f>D9-B9</f>
        <v>2157641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1" t="s">
        <v>15</v>
      </c>
      <c r="B10" s="93">
        <f>SUM(B11:B25)</f>
        <v>1339676</v>
      </c>
      <c r="C10" s="93">
        <f>SUM(C11:C25)</f>
        <v>1381237</v>
      </c>
      <c r="D10" s="93">
        <f>SUM(D11:D25)</f>
        <v>1377483</v>
      </c>
      <c r="E10" s="93">
        <f>D10-C10</f>
        <v>-3754</v>
      </c>
      <c r="F10" s="369">
        <f t="shared" si="0"/>
        <v>-2.8021700769439773E-3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182526</v>
      </c>
      <c r="E11" s="458">
        <f>D11-B11</f>
        <v>182526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1339676</v>
      </c>
      <c r="C12" s="93">
        <v>1381237</v>
      </c>
      <c r="D12" s="93">
        <v>1194957</v>
      </c>
      <c r="E12" s="458">
        <f>D12-B12</f>
        <v>-144719</v>
      </c>
      <c r="F12" s="369">
        <f t="shared" si="0"/>
        <v>-0.10802537329921563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 t="s">
        <v>35</v>
      </c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10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10" ht="34.5">
      <c r="A25" s="31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10" ht="35.25">
      <c r="A26" s="32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10" ht="34.5">
      <c r="A27" s="31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10" ht="35.25">
      <c r="A28" s="32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10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10" ht="34.5">
      <c r="A30" s="31" t="s">
        <v>32</v>
      </c>
      <c r="B30" s="93"/>
      <c r="C30" s="93"/>
      <c r="D30" s="93"/>
      <c r="E30" s="93"/>
      <c r="F30" s="369" t="str">
        <f t="shared" si="0"/>
        <v xml:space="preserve">  </v>
      </c>
      <c r="G30" s="24"/>
      <c r="H30" s="24"/>
    </row>
    <row r="31" spans="1:10" ht="35.25">
      <c r="A31" s="32" t="s">
        <v>33</v>
      </c>
      <c r="B31" s="94">
        <f>B30+B29+B27+B10+B9+B8</f>
        <v>34450137</v>
      </c>
      <c r="C31" s="94">
        <f>C30+C29+C27+C10+C9+C8</f>
        <v>34491698</v>
      </c>
      <c r="D31" s="94">
        <f>D30+D29+D27+D10+D9+D8</f>
        <v>27233201</v>
      </c>
      <c r="E31" s="297">
        <f>D31-B31</f>
        <v>-7216936</v>
      </c>
      <c r="F31" s="390">
        <f t="shared" si="0"/>
        <v>-0.20948932655913677</v>
      </c>
      <c r="G31" s="24"/>
      <c r="H31" s="24"/>
    </row>
    <row r="32" spans="1:10" ht="35.25">
      <c r="A32" s="32"/>
      <c r="B32" s="93"/>
      <c r="C32" s="93"/>
      <c r="D32" s="93"/>
      <c r="E32" s="93"/>
      <c r="F32" s="342" t="str">
        <f>IF(ISBLANK(E32),"  ",IF(C32&gt;0,E32/C32,IF(E32&gt;0,1,0)))</f>
        <v xml:space="preserve">  </v>
      </c>
      <c r="G32" s="24"/>
      <c r="H32" s="24"/>
    </row>
    <row r="33" spans="1:10" ht="35.25">
      <c r="A33" s="33" t="s">
        <v>34</v>
      </c>
      <c r="B33" s="95"/>
      <c r="C33" s="95"/>
      <c r="D33" s="95"/>
      <c r="E33" s="95"/>
      <c r="F33" s="399" t="str">
        <f>IF(ISBLANK(E33),"  ",IF(B33&gt;0,E33/B33,IF(E33&gt;0,1,0)))</f>
        <v xml:space="preserve">  </v>
      </c>
      <c r="G33" s="24"/>
      <c r="H33" s="24"/>
    </row>
    <row r="34" spans="1:10" ht="35.25">
      <c r="A34" s="31" t="s">
        <v>35</v>
      </c>
      <c r="B34" s="94"/>
      <c r="C34" s="94"/>
      <c r="D34" s="94"/>
      <c r="E34" s="94"/>
      <c r="F34" s="345" t="str">
        <f>IF(ISBLANK(E34),"  ",IF(C34&gt;0,E34/C34,IF(E34&gt;0,1,0)))</f>
        <v xml:space="preserve">  </v>
      </c>
      <c r="G34" s="24"/>
      <c r="H34" s="24"/>
    </row>
    <row r="35" spans="1:10" ht="35.25">
      <c r="A35" s="33" t="s">
        <v>36</v>
      </c>
      <c r="B35" s="95"/>
      <c r="C35" s="95"/>
      <c r="D35" s="95"/>
      <c r="E35" s="95"/>
      <c r="F35" s="399" t="str">
        <f>IF(ISBLANK(E35),"  ",IF(B35&gt;0,E35/B35,IF(E35&gt;0,1,0)))</f>
        <v xml:space="preserve">  </v>
      </c>
      <c r="G35" s="24"/>
      <c r="H35" s="24"/>
    </row>
    <row r="36" spans="1:10" ht="35.25">
      <c r="A36" s="32" t="s">
        <v>35</v>
      </c>
      <c r="B36" s="94"/>
      <c r="C36" s="94"/>
      <c r="D36" s="94"/>
      <c r="E36" s="94"/>
      <c r="F36" s="345" t="str">
        <f>IF(ISBLANK(E36),"  ",IF(C36&gt;0,E36/C36,IF(E36&gt;0,1,0)))</f>
        <v xml:space="preserve">  </v>
      </c>
      <c r="G36" s="24"/>
      <c r="H36" s="24"/>
    </row>
    <row r="37" spans="1:10" ht="35.25">
      <c r="A37" s="33" t="s">
        <v>88</v>
      </c>
      <c r="B37" s="95">
        <v>0</v>
      </c>
      <c r="C37" s="95">
        <v>0</v>
      </c>
      <c r="D37" s="95">
        <v>4613718</v>
      </c>
      <c r="E37" s="95">
        <f>D37-B37</f>
        <v>4613718</v>
      </c>
      <c r="F37" s="399">
        <f>IF(ISBLANK(E37),"  ",IF(B37&gt;0,E37/B37,IF(E37&gt;0,1,0)))</f>
        <v>1</v>
      </c>
      <c r="G37" s="24"/>
      <c r="H37" s="24"/>
    </row>
    <row r="38" spans="1:10" ht="35.25">
      <c r="A38" s="31" t="s">
        <v>35</v>
      </c>
      <c r="B38" s="94"/>
      <c r="C38" s="94"/>
      <c r="D38" s="94"/>
      <c r="E38" s="94"/>
      <c r="F38" s="345" t="str">
        <f>IF(ISBLANK(E38),"  ",IF(C38&gt;0,E38/C38,IF(E38&gt;0,1,0)))</f>
        <v xml:space="preserve">  </v>
      </c>
      <c r="G38" s="24"/>
      <c r="H38" s="24"/>
    </row>
    <row r="39" spans="1:10" ht="35.25">
      <c r="A39" s="33" t="s">
        <v>37</v>
      </c>
      <c r="B39" s="95">
        <v>22536298</v>
      </c>
      <c r="C39" s="95">
        <v>23881523</v>
      </c>
      <c r="D39" s="95">
        <v>25238211</v>
      </c>
      <c r="E39" s="95">
        <f>D39-B39</f>
        <v>2701913</v>
      </c>
      <c r="F39" s="399">
        <f>IF(ISBLANK(E39),"  ",IF(B39&gt;0,E39/B39,IF(E39&gt;0,1,0)))</f>
        <v>0.11989160775208066</v>
      </c>
      <c r="G39" s="24"/>
      <c r="H39" s="24"/>
    </row>
    <row r="40" spans="1:10" ht="35.25">
      <c r="A40" s="31" t="s">
        <v>35</v>
      </c>
      <c r="B40" s="94"/>
      <c r="C40" s="94"/>
      <c r="D40" s="94"/>
      <c r="E40" s="94"/>
      <c r="F40" s="345" t="str">
        <f>IF(ISBLANK(E40),"  ",IF(C40&gt;0,E40/C40,IF(E40&gt;0,1,0)))</f>
        <v xml:space="preserve">  </v>
      </c>
      <c r="G40" s="24"/>
      <c r="H40" s="24"/>
    </row>
    <row r="41" spans="1:10" ht="35.25">
      <c r="A41" s="33" t="s">
        <v>38</v>
      </c>
      <c r="B41" s="95"/>
      <c r="C41" s="95"/>
      <c r="D41" s="95"/>
      <c r="E41" s="95"/>
      <c r="F41" s="399" t="str">
        <f>IF(ISBLANK(E41),"  ",IF(B41&gt;0,E41/B41,IF(E41&gt;0,1,0)))</f>
        <v xml:space="preserve">  </v>
      </c>
      <c r="G41" s="24"/>
      <c r="H41" s="24"/>
    </row>
    <row r="42" spans="1:10" ht="35.25">
      <c r="A42" s="31"/>
      <c r="B42" s="94"/>
      <c r="C42" s="94"/>
      <c r="D42" s="94"/>
      <c r="E42" s="94"/>
      <c r="F42" s="345" t="str">
        <f>IF(ISBLANK(E42),"  ",IF(C42&gt;0,E42/C42,IF(E42&gt;0,1,0)))</f>
        <v xml:space="preserve">  </v>
      </c>
      <c r="G42" s="24"/>
      <c r="H42" s="24"/>
    </row>
    <row r="43" spans="1:10" ht="35.25">
      <c r="A43" s="29" t="s">
        <v>39</v>
      </c>
      <c r="B43" s="96">
        <f>B41+B39+B37+B35+B31</f>
        <v>56986435</v>
      </c>
      <c r="C43" s="96">
        <f>C41+C39+C37+C35+C31</f>
        <v>58373221</v>
      </c>
      <c r="D43" s="96">
        <f>D41+D39+D37+D35+D31</f>
        <v>57085130</v>
      </c>
      <c r="E43" s="95">
        <f>D43-B43</f>
        <v>98695</v>
      </c>
      <c r="F43" s="399">
        <f>IF(ISBLANK(E43),"  ",IF(B43&gt;0,E43/B43,IF(E43&gt;0,1,0)))</f>
        <v>1.7319033906928903E-3</v>
      </c>
      <c r="G43" s="24"/>
      <c r="H43" s="24"/>
    </row>
    <row r="44" spans="1:10" ht="34.5">
      <c r="A44" s="28"/>
      <c r="B44" s="97"/>
      <c r="C44" s="97"/>
      <c r="D44" s="97"/>
      <c r="E44" s="97"/>
      <c r="F44" s="347" t="str">
        <f>IF(ISBLANK(E44),"  ",IF(C44&gt;0,E44/C44,IF(E44&gt;0,1,0)))</f>
        <v xml:space="preserve">  </v>
      </c>
      <c r="G44" s="24"/>
      <c r="H44" s="24"/>
    </row>
    <row r="45" spans="1:10" ht="34.5">
      <c r="A45" s="25"/>
      <c r="B45" s="98"/>
      <c r="C45" s="98"/>
      <c r="D45" s="98"/>
      <c r="E45" s="98"/>
      <c r="F45" s="347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29" t="s">
        <v>40</v>
      </c>
      <c r="B46" s="98"/>
      <c r="C46" s="98"/>
      <c r="D46" s="98"/>
      <c r="E46" s="98"/>
      <c r="F46" s="347" t="str">
        <f>IF(ISBLANK(E46),"  ",IF(C46&gt;0,E46/C46,IF(E46&gt;0,1,0)))</f>
        <v xml:space="preserve">  </v>
      </c>
      <c r="G46" s="24"/>
      <c r="H46" s="24"/>
    </row>
    <row r="47" spans="1:10" ht="34.5">
      <c r="A47" s="30" t="s">
        <v>41</v>
      </c>
      <c r="B47" s="92">
        <v>24751658</v>
      </c>
      <c r="C47" s="92">
        <v>27413604</v>
      </c>
      <c r="D47" s="92">
        <v>26572954</v>
      </c>
      <c r="E47" s="92">
        <f t="shared" ref="E47:E55" si="1">D47-B47</f>
        <v>1821296</v>
      </c>
      <c r="F47" s="397">
        <f t="shared" ref="F47:F60" si="2">IF(ISBLANK(E47),"  ",IF(B47&gt;0,E47/B47,IF(E47&gt;0,1,0)))</f>
        <v>7.3582787868190488E-2</v>
      </c>
      <c r="G47" s="24"/>
      <c r="H47" s="24"/>
    </row>
    <row r="48" spans="1:10" ht="34.5">
      <c r="A48" s="31" t="s">
        <v>42</v>
      </c>
      <c r="B48" s="93">
        <v>461541</v>
      </c>
      <c r="C48" s="93">
        <v>508277</v>
      </c>
      <c r="D48" s="93">
        <v>544234</v>
      </c>
      <c r="E48" s="160">
        <f t="shared" si="1"/>
        <v>82693</v>
      </c>
      <c r="F48" s="369">
        <f t="shared" si="2"/>
        <v>0.17916718124716982</v>
      </c>
      <c r="G48" s="24"/>
      <c r="H48" s="24"/>
    </row>
    <row r="49" spans="1:8" ht="34.5">
      <c r="A49" s="31" t="s">
        <v>43</v>
      </c>
      <c r="B49" s="93">
        <v>269000</v>
      </c>
      <c r="C49" s="93">
        <v>269000</v>
      </c>
      <c r="D49" s="93">
        <v>300000</v>
      </c>
      <c r="E49" s="160">
        <f t="shared" si="1"/>
        <v>31000</v>
      </c>
      <c r="F49" s="369">
        <f t="shared" si="2"/>
        <v>0.11524163568773234</v>
      </c>
      <c r="G49" s="24"/>
      <c r="H49" s="24"/>
    </row>
    <row r="50" spans="1:8" ht="34.5">
      <c r="A50" s="31" t="s">
        <v>44</v>
      </c>
      <c r="B50" s="93">
        <v>5794891</v>
      </c>
      <c r="C50" s="93">
        <v>6247318</v>
      </c>
      <c r="D50" s="93">
        <v>6302704</v>
      </c>
      <c r="E50" s="160">
        <f t="shared" si="1"/>
        <v>507813</v>
      </c>
      <c r="F50" s="369">
        <f t="shared" si="2"/>
        <v>8.7631156479043348E-2</v>
      </c>
      <c r="G50" s="24"/>
      <c r="H50" s="24"/>
    </row>
    <row r="51" spans="1:8" ht="34.5">
      <c r="A51" s="31" t="s">
        <v>45</v>
      </c>
      <c r="B51" s="93">
        <v>3259948</v>
      </c>
      <c r="C51" s="93">
        <v>3429167</v>
      </c>
      <c r="D51" s="93">
        <v>3277229</v>
      </c>
      <c r="E51" s="160">
        <f t="shared" si="1"/>
        <v>17281</v>
      </c>
      <c r="F51" s="369">
        <f t="shared" si="2"/>
        <v>5.3010048013035788E-3</v>
      </c>
      <c r="G51" s="24"/>
      <c r="H51" s="24"/>
    </row>
    <row r="52" spans="1:8" ht="34.5">
      <c r="A52" s="31" t="s">
        <v>74</v>
      </c>
      <c r="B52" s="93">
        <v>7846466</v>
      </c>
      <c r="C52" s="93">
        <v>6603729</v>
      </c>
      <c r="D52" s="93">
        <v>6335507</v>
      </c>
      <c r="E52" s="160">
        <f t="shared" si="1"/>
        <v>-1510959</v>
      </c>
      <c r="F52" s="369">
        <f t="shared" si="2"/>
        <v>-0.19256554479430613</v>
      </c>
      <c r="G52" s="24"/>
      <c r="H52" s="24"/>
    </row>
    <row r="53" spans="1:8" ht="34.5">
      <c r="A53" s="31" t="s">
        <v>46</v>
      </c>
      <c r="B53" s="93">
        <v>3750082</v>
      </c>
      <c r="C53" s="93">
        <v>3539413</v>
      </c>
      <c r="D53" s="93">
        <v>3904770</v>
      </c>
      <c r="E53" s="160">
        <f t="shared" si="1"/>
        <v>154688</v>
      </c>
      <c r="F53" s="369">
        <f t="shared" si="2"/>
        <v>4.1249231350141143E-2</v>
      </c>
      <c r="G53" s="24"/>
      <c r="H53" s="24"/>
    </row>
    <row r="54" spans="1:8" ht="34.5">
      <c r="A54" s="31" t="s">
        <v>47</v>
      </c>
      <c r="B54" s="93">
        <v>6911358</v>
      </c>
      <c r="C54" s="93">
        <v>6379365</v>
      </c>
      <c r="D54" s="93">
        <v>6370022</v>
      </c>
      <c r="E54" s="160">
        <f t="shared" si="1"/>
        <v>-541336</v>
      </c>
      <c r="F54" s="369">
        <f t="shared" si="2"/>
        <v>-7.8325562067541571E-2</v>
      </c>
      <c r="G54" s="24"/>
      <c r="H54" s="24"/>
    </row>
    <row r="55" spans="1:8" ht="35.25">
      <c r="A55" s="27" t="s">
        <v>48</v>
      </c>
      <c r="B55" s="94">
        <f>SUM(B47:B54)</f>
        <v>53044944</v>
      </c>
      <c r="C55" s="94">
        <f>SUM(C47:C54)</f>
        <v>54389873</v>
      </c>
      <c r="D55" s="94">
        <f>SUM(D47:D54)</f>
        <v>53607420</v>
      </c>
      <c r="E55" s="297">
        <f t="shared" si="1"/>
        <v>562476</v>
      </c>
      <c r="F55" s="390">
        <f t="shared" si="2"/>
        <v>1.0603762726189323E-2</v>
      </c>
      <c r="G55" s="24"/>
      <c r="H55" s="24"/>
    </row>
    <row r="56" spans="1:8" ht="34.5">
      <c r="A56" s="31" t="s">
        <v>49</v>
      </c>
      <c r="B56" s="93"/>
      <c r="C56" s="93"/>
      <c r="D56" s="93"/>
      <c r="E56" s="97"/>
      <c r="F56" s="369" t="str">
        <f t="shared" si="2"/>
        <v xml:space="preserve">  </v>
      </c>
      <c r="G56" s="24"/>
      <c r="H56" s="24"/>
    </row>
    <row r="57" spans="1:8" ht="34.5">
      <c r="A57" s="31" t="s">
        <v>50</v>
      </c>
      <c r="B57" s="93"/>
      <c r="C57" s="93"/>
      <c r="D57" s="93"/>
      <c r="E57" s="97"/>
      <c r="F57" s="369" t="str">
        <f t="shared" si="2"/>
        <v xml:space="preserve">  </v>
      </c>
      <c r="G57" s="24"/>
      <c r="H57" s="24"/>
    </row>
    <row r="58" spans="1:8" ht="34.5">
      <c r="A58" s="31" t="s">
        <v>51</v>
      </c>
      <c r="B58" s="93">
        <v>3758348</v>
      </c>
      <c r="C58" s="93">
        <v>3758348</v>
      </c>
      <c r="D58" s="93">
        <v>3237710</v>
      </c>
      <c r="E58" s="160">
        <f>D58-B58</f>
        <v>-520638</v>
      </c>
      <c r="F58" s="369">
        <f t="shared" si="2"/>
        <v>-0.13852841727269535</v>
      </c>
      <c r="G58" s="24"/>
      <c r="H58" s="24"/>
    </row>
    <row r="59" spans="1:8" ht="34.5">
      <c r="A59" s="31" t="s">
        <v>52</v>
      </c>
      <c r="B59" s="93">
        <v>183143</v>
      </c>
      <c r="C59" s="93">
        <v>225000</v>
      </c>
      <c r="D59" s="93">
        <v>240000</v>
      </c>
      <c r="E59" s="160">
        <f>D59-B59</f>
        <v>56857</v>
      </c>
      <c r="F59" s="369">
        <f t="shared" si="2"/>
        <v>0.31045139590374732</v>
      </c>
      <c r="G59" s="24"/>
      <c r="H59" s="24"/>
    </row>
    <row r="60" spans="1:8" ht="35.25">
      <c r="A60" s="27" t="s">
        <v>53</v>
      </c>
      <c r="B60" s="94">
        <f>B59+B58+B57+B56+B55</f>
        <v>56986435</v>
      </c>
      <c r="C60" s="94">
        <f>C59+C58+C57+C56+C55</f>
        <v>58373221</v>
      </c>
      <c r="D60" s="94">
        <f>D59+D58+D57+D56+D55</f>
        <v>57085130</v>
      </c>
      <c r="E60" s="297">
        <f>D60-B60</f>
        <v>98695</v>
      </c>
      <c r="F60" s="390">
        <f t="shared" si="2"/>
        <v>1.7319033906928903E-3</v>
      </c>
      <c r="G60" s="24"/>
      <c r="H60" s="24"/>
    </row>
    <row r="61" spans="1:8" ht="34.5">
      <c r="A61" s="28"/>
      <c r="B61" s="97"/>
      <c r="C61" s="97"/>
      <c r="D61" s="97"/>
      <c r="E61" s="97"/>
      <c r="F61" s="347" t="str">
        <f>IF(ISBLANK(E61),"  ",IF(C61&gt;0,E61/C61,IF(E61&gt;0,1,0)))</f>
        <v xml:space="preserve">  </v>
      </c>
      <c r="G61" s="24"/>
      <c r="H61" s="24"/>
    </row>
    <row r="62" spans="1:8" ht="35.25">
      <c r="A62" s="29" t="s">
        <v>54</v>
      </c>
      <c r="B62" s="98"/>
      <c r="C62" s="98"/>
      <c r="D62" s="98"/>
      <c r="E62" s="98"/>
      <c r="F62" s="347" t="str">
        <f>IF(ISBLANK(E62),"  ",IF(C62&gt;0,E62/C62,IF(E62&gt;0,1,0)))</f>
        <v xml:space="preserve">  </v>
      </c>
      <c r="G62" s="24"/>
      <c r="H62" s="24"/>
    </row>
    <row r="63" spans="1:8" ht="34.5">
      <c r="A63" s="30" t="s">
        <v>55</v>
      </c>
      <c r="B63" s="92">
        <v>30318707</v>
      </c>
      <c r="C63" s="92">
        <v>30679077</v>
      </c>
      <c r="D63" s="92">
        <v>29090399</v>
      </c>
      <c r="E63" s="92">
        <f t="shared" ref="E63:E72" si="3">D63-B63</f>
        <v>-1228308</v>
      </c>
      <c r="F63" s="397">
        <f t="shared" ref="F63:F80" si="4">IF(ISBLANK(E63),"  ",IF(B63&gt;0,E63/B63,IF(E63&gt;0,1,0)))</f>
        <v>-4.0513205263008084E-2</v>
      </c>
      <c r="G63" s="24"/>
      <c r="H63" s="24"/>
    </row>
    <row r="64" spans="1:8" ht="34.5">
      <c r="A64" s="31" t="s">
        <v>56</v>
      </c>
      <c r="B64" s="93">
        <v>512872</v>
      </c>
      <c r="C64" s="93">
        <v>530638</v>
      </c>
      <c r="D64" s="93">
        <v>562053</v>
      </c>
      <c r="E64" s="160">
        <f t="shared" si="3"/>
        <v>49181</v>
      </c>
      <c r="F64" s="369">
        <f t="shared" si="4"/>
        <v>9.5893322310440038E-2</v>
      </c>
      <c r="G64" s="24"/>
      <c r="H64" s="24"/>
    </row>
    <row r="65" spans="1:8" ht="34.5">
      <c r="A65" s="31" t="s">
        <v>57</v>
      </c>
      <c r="B65" s="93">
        <v>10305750</v>
      </c>
      <c r="C65" s="93">
        <v>10562799</v>
      </c>
      <c r="D65" s="93">
        <v>10559884</v>
      </c>
      <c r="E65" s="160">
        <f t="shared" si="3"/>
        <v>254134</v>
      </c>
      <c r="F65" s="369">
        <f t="shared" si="4"/>
        <v>2.4659437692550277E-2</v>
      </c>
      <c r="G65" s="24"/>
      <c r="H65" s="24"/>
    </row>
    <row r="66" spans="1:8" ht="35.25">
      <c r="A66" s="27" t="s">
        <v>58</v>
      </c>
      <c r="B66" s="99">
        <f>SUM(B63:B65)</f>
        <v>41137329</v>
      </c>
      <c r="C66" s="99">
        <f>SUM(C63:C65)</f>
        <v>41772514</v>
      </c>
      <c r="D66" s="99">
        <f>SUM(D63:D65)</f>
        <v>40212336</v>
      </c>
      <c r="E66" s="284">
        <f t="shared" si="3"/>
        <v>-924993</v>
      </c>
      <c r="F66" s="390">
        <f t="shared" si="4"/>
        <v>-2.2485490003495364E-2</v>
      </c>
      <c r="G66" s="24"/>
      <c r="H66" s="24"/>
    </row>
    <row r="67" spans="1:8" ht="34.5">
      <c r="A67" s="31" t="s">
        <v>59</v>
      </c>
      <c r="B67" s="93">
        <v>196283</v>
      </c>
      <c r="C67" s="93">
        <v>330284</v>
      </c>
      <c r="D67" s="93">
        <v>396512</v>
      </c>
      <c r="E67" s="160">
        <f t="shared" si="3"/>
        <v>200229</v>
      </c>
      <c r="F67" s="369">
        <f t="shared" si="4"/>
        <v>1.0201036258871119</v>
      </c>
      <c r="G67" s="24"/>
      <c r="H67" s="24"/>
    </row>
    <row r="68" spans="1:8" ht="34.5">
      <c r="A68" s="31" t="s">
        <v>60</v>
      </c>
      <c r="B68" s="93">
        <v>3366601</v>
      </c>
      <c r="C68" s="93">
        <v>3628994</v>
      </c>
      <c r="D68" s="93">
        <v>3722064</v>
      </c>
      <c r="E68" s="160">
        <f t="shared" si="3"/>
        <v>355463</v>
      </c>
      <c r="F68" s="369">
        <f t="shared" si="4"/>
        <v>0.10558512873963977</v>
      </c>
      <c r="G68" s="24"/>
      <c r="H68" s="24"/>
    </row>
    <row r="69" spans="1:8" ht="34.5">
      <c r="A69" s="31" t="s">
        <v>61</v>
      </c>
      <c r="B69" s="93">
        <v>1312623</v>
      </c>
      <c r="C69" s="93">
        <v>1420296</v>
      </c>
      <c r="D69" s="93">
        <v>1487858</v>
      </c>
      <c r="E69" s="160">
        <f t="shared" si="3"/>
        <v>175235</v>
      </c>
      <c r="F69" s="369">
        <f t="shared" si="4"/>
        <v>0.13349987010741088</v>
      </c>
      <c r="G69" s="24"/>
      <c r="H69" s="24"/>
    </row>
    <row r="70" spans="1:8" ht="35.25">
      <c r="A70" s="32" t="s">
        <v>62</v>
      </c>
      <c r="B70" s="94">
        <f>SUM(B67:B69)</f>
        <v>4875507</v>
      </c>
      <c r="C70" s="94">
        <f>SUM(C67:C69)</f>
        <v>5379574</v>
      </c>
      <c r="D70" s="94">
        <f>SUM(D67:D69)</f>
        <v>5606434</v>
      </c>
      <c r="E70" s="284">
        <f t="shared" si="3"/>
        <v>730927</v>
      </c>
      <c r="F70" s="390">
        <f t="shared" si="4"/>
        <v>0.149918152101925</v>
      </c>
      <c r="G70" s="24"/>
      <c r="H70" s="24"/>
    </row>
    <row r="71" spans="1:8" ht="34.5">
      <c r="A71" s="31" t="s">
        <v>63</v>
      </c>
      <c r="B71" s="93">
        <v>441397</v>
      </c>
      <c r="C71" s="93">
        <v>438664</v>
      </c>
      <c r="D71" s="93">
        <v>423920</v>
      </c>
      <c r="E71" s="160">
        <f t="shared" si="3"/>
        <v>-17477</v>
      </c>
      <c r="F71" s="369">
        <f t="shared" si="4"/>
        <v>-3.9594741242011157E-2</v>
      </c>
      <c r="G71" s="24"/>
      <c r="H71" s="24"/>
    </row>
    <row r="72" spans="1:8" ht="34.5">
      <c r="A72" s="31" t="s">
        <v>64</v>
      </c>
      <c r="B72" s="93">
        <v>8738537</v>
      </c>
      <c r="C72" s="93">
        <v>9115882</v>
      </c>
      <c r="D72" s="93">
        <v>9040663</v>
      </c>
      <c r="E72" s="458">
        <f t="shared" si="3"/>
        <v>302126</v>
      </c>
      <c r="F72" s="369">
        <f t="shared" si="4"/>
        <v>3.4573979603221915E-2</v>
      </c>
      <c r="G72" s="24"/>
      <c r="H72" s="24"/>
    </row>
    <row r="73" spans="1:8" ht="34.5">
      <c r="A73" s="31" t="s">
        <v>65</v>
      </c>
      <c r="B73" s="93"/>
      <c r="C73" s="93"/>
      <c r="D73" s="93"/>
      <c r="E73" s="93"/>
      <c r="F73" s="369" t="str">
        <f t="shared" si="4"/>
        <v xml:space="preserve">  </v>
      </c>
      <c r="G73" s="24"/>
      <c r="H73" s="24"/>
    </row>
    <row r="74" spans="1:8" ht="34.5">
      <c r="A74" s="31" t="s">
        <v>66</v>
      </c>
      <c r="B74" s="93">
        <v>953845</v>
      </c>
      <c r="C74" s="93">
        <v>894569</v>
      </c>
      <c r="D74" s="93">
        <v>1107232</v>
      </c>
      <c r="E74" s="160">
        <f>D74-B74</f>
        <v>153387</v>
      </c>
      <c r="F74" s="369">
        <f t="shared" si="4"/>
        <v>0.16080914614009614</v>
      </c>
      <c r="G74" s="24"/>
      <c r="H74" s="24"/>
    </row>
    <row r="75" spans="1:8" ht="35.25">
      <c r="A75" s="32" t="s">
        <v>67</v>
      </c>
      <c r="B75" s="94">
        <f>SUM(B71:B74)</f>
        <v>10133779</v>
      </c>
      <c r="C75" s="94">
        <f>SUM(C71:C74)</f>
        <v>10449115</v>
      </c>
      <c r="D75" s="94">
        <f>SUM(D71:D74)</f>
        <v>10571815</v>
      </c>
      <c r="E75" s="284">
        <f>D75-B75</f>
        <v>438036</v>
      </c>
      <c r="F75" s="390">
        <f t="shared" si="4"/>
        <v>4.3225335780462552E-2</v>
      </c>
      <c r="G75" s="24"/>
      <c r="H75" s="24"/>
    </row>
    <row r="76" spans="1:8" ht="34.5">
      <c r="A76" s="31" t="s">
        <v>68</v>
      </c>
      <c r="B76" s="93">
        <v>309543</v>
      </c>
      <c r="C76" s="93">
        <v>85095</v>
      </c>
      <c r="D76" s="93">
        <v>59726</v>
      </c>
      <c r="E76" s="160">
        <f>D76-B76</f>
        <v>-249817</v>
      </c>
      <c r="F76" s="369">
        <f t="shared" si="4"/>
        <v>-0.80705103975861192</v>
      </c>
      <c r="G76" s="24"/>
      <c r="H76" s="24"/>
    </row>
    <row r="77" spans="1:8" ht="34.5">
      <c r="A77" s="31" t="s">
        <v>69</v>
      </c>
      <c r="B77" s="93">
        <v>530277</v>
      </c>
      <c r="C77" s="93">
        <v>686923</v>
      </c>
      <c r="D77" s="93">
        <v>634819</v>
      </c>
      <c r="E77" s="458">
        <f>D77-B77</f>
        <v>104542</v>
      </c>
      <c r="F77" s="369">
        <f t="shared" si="4"/>
        <v>0.19714601991034875</v>
      </c>
      <c r="G77" s="24"/>
      <c r="H77" s="24"/>
    </row>
    <row r="78" spans="1:8" ht="34.5">
      <c r="A78" s="31" t="s">
        <v>70</v>
      </c>
      <c r="B78" s="93"/>
      <c r="C78" s="93"/>
      <c r="D78" s="93"/>
      <c r="E78" s="93"/>
      <c r="F78" s="369" t="str">
        <f t="shared" si="4"/>
        <v xml:space="preserve">  </v>
      </c>
      <c r="G78" s="24"/>
      <c r="H78" s="24"/>
    </row>
    <row r="79" spans="1:8" ht="35.25">
      <c r="A79" s="32" t="s">
        <v>71</v>
      </c>
      <c r="B79" s="94">
        <f>SUM(B76:B78)</f>
        <v>839820</v>
      </c>
      <c r="C79" s="94">
        <f>SUM(C76:C78)</f>
        <v>772018</v>
      </c>
      <c r="D79" s="94">
        <f>SUM(D76:D78)</f>
        <v>694545</v>
      </c>
      <c r="E79" s="284">
        <f>D79-B79</f>
        <v>-145275</v>
      </c>
      <c r="F79" s="390">
        <f t="shared" si="4"/>
        <v>-0.1729834964635279</v>
      </c>
      <c r="G79" s="24"/>
      <c r="H79" s="24"/>
    </row>
    <row r="80" spans="1:8" ht="36" thickBot="1">
      <c r="A80" s="27" t="s">
        <v>53</v>
      </c>
      <c r="B80" s="94">
        <f>B79+B75+B70+B66</f>
        <v>56986435</v>
      </c>
      <c r="C80" s="94">
        <f>C79+C75+C70+C66</f>
        <v>58373221</v>
      </c>
      <c r="D80" s="94">
        <f>D79+D75+D70+D66</f>
        <v>57085130</v>
      </c>
      <c r="E80" s="297">
        <f>D80-B80</f>
        <v>98695</v>
      </c>
      <c r="F80" s="390">
        <f t="shared" si="4"/>
        <v>1.7319033906928903E-3</v>
      </c>
      <c r="G80" s="24"/>
      <c r="H80" s="24"/>
    </row>
    <row r="81" spans="1:8" ht="25.5">
      <c r="A81" s="34"/>
      <c r="B81" s="34"/>
      <c r="C81" s="34"/>
      <c r="D81" s="34"/>
      <c r="E81" s="34"/>
      <c r="F81" s="462" t="s">
        <v>35</v>
      </c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zoomScale="30" zoomScaleNormal="80" workbookViewId="0">
      <selection activeCell="I18" sqref="I18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45.21875" style="332" customWidth="1"/>
    <col min="7" max="16384" width="8.88671875" style="16"/>
  </cols>
  <sheetData>
    <row r="1" spans="1:10" ht="45">
      <c r="A1" s="17" t="s">
        <v>0</v>
      </c>
      <c r="B1" s="18"/>
      <c r="C1" s="18"/>
      <c r="D1" s="17" t="s">
        <v>1</v>
      </c>
      <c r="E1" s="113" t="s">
        <v>109</v>
      </c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v>45918502</v>
      </c>
      <c r="C8" s="92">
        <v>45918502</v>
      </c>
      <c r="D8" s="92">
        <v>32460768</v>
      </c>
      <c r="E8" s="92">
        <f>D8-B8</f>
        <v>-13457734</v>
      </c>
      <c r="F8" s="397">
        <f>IF(ISBLANK(E8),"  ",IF(B8&gt;0,E8/B8,IF(E8&gt;0,1,0)))</f>
        <v>-0.29307868100749451</v>
      </c>
      <c r="G8" s="24"/>
      <c r="H8" s="24"/>
      <c r="I8" s="24"/>
      <c r="J8" s="24"/>
    </row>
    <row r="9" spans="1:10" ht="34.5">
      <c r="A9" s="31" t="s">
        <v>110</v>
      </c>
      <c r="B9" s="93">
        <v>0</v>
      </c>
      <c r="C9" s="93">
        <v>0</v>
      </c>
      <c r="D9" s="93">
        <v>3009261</v>
      </c>
      <c r="E9" s="458">
        <f>D9-B9</f>
        <v>3009261</v>
      </c>
      <c r="F9" s="397">
        <f t="shared" ref="F9:F30" si="0">IF(ISBLANK(E9),"  ",IF(B9&gt;0,E9/B9,IF(E9&gt;0,1,0)))</f>
        <v>1</v>
      </c>
      <c r="G9" s="24"/>
      <c r="H9" s="24"/>
      <c r="I9" s="24"/>
      <c r="J9" s="24"/>
    </row>
    <row r="10" spans="1:10" ht="34.5">
      <c r="A10" s="31" t="s">
        <v>15</v>
      </c>
      <c r="B10" s="93">
        <f>SUM(B11:B23)</f>
        <v>1562869</v>
      </c>
      <c r="C10" s="93">
        <f>SUM(C11:C23)</f>
        <v>1611354</v>
      </c>
      <c r="D10" s="93">
        <f>SUM(D11:D23)</f>
        <v>1648609</v>
      </c>
      <c r="E10" s="93">
        <f>SUM(E11:E24)</f>
        <v>85740</v>
      </c>
      <c r="F10" s="369">
        <f t="shared" si="0"/>
        <v>5.4860644110286912E-2</v>
      </c>
      <c r="G10" s="24"/>
      <c r="H10" s="24"/>
      <c r="I10" s="24"/>
      <c r="J10" s="24"/>
    </row>
    <row r="11" spans="1:10" ht="34.5">
      <c r="A11" s="30" t="s">
        <v>82</v>
      </c>
      <c r="B11" s="93">
        <v>0</v>
      </c>
      <c r="C11" s="93">
        <v>0</v>
      </c>
      <c r="D11" s="93">
        <v>254570</v>
      </c>
      <c r="E11" s="160">
        <f>D11-B11</f>
        <v>254570</v>
      </c>
      <c r="F11" s="369">
        <f t="shared" si="0"/>
        <v>1</v>
      </c>
      <c r="G11" s="24"/>
      <c r="H11" s="24"/>
      <c r="I11" s="24" t="s">
        <v>35</v>
      </c>
      <c r="J11" s="24"/>
    </row>
    <row r="12" spans="1:10" ht="34.5">
      <c r="A12" s="31" t="s">
        <v>17</v>
      </c>
      <c r="B12" s="93">
        <v>1562869</v>
      </c>
      <c r="C12" s="93">
        <v>1611354</v>
      </c>
      <c r="D12" s="93">
        <v>1394039</v>
      </c>
      <c r="E12" s="458">
        <f>D12-B12</f>
        <v>-168830</v>
      </c>
      <c r="F12" s="369">
        <f t="shared" si="0"/>
        <v>-0.10802568865336762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111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10" ht="34.5">
      <c r="A24" s="31" t="s">
        <v>80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10" ht="34.5">
      <c r="A25" s="31" t="s">
        <v>29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10" ht="35.25">
      <c r="A26" s="32" t="s">
        <v>30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10" ht="34.5">
      <c r="A27" s="31" t="s">
        <v>31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10" ht="35.25">
      <c r="A28" s="32" t="s">
        <v>30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10" ht="34.5">
      <c r="A29" s="31" t="s">
        <v>32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10" ht="35.25">
      <c r="A30" s="114" t="s">
        <v>33</v>
      </c>
      <c r="B30" s="116">
        <f>B29+B27+B25+B10+B8+B9</f>
        <v>47481371</v>
      </c>
      <c r="C30" s="116">
        <f>C29+C27+C25+C10+C8+C9</f>
        <v>47529856</v>
      </c>
      <c r="D30" s="116">
        <f>D29+D27+D25+D10+D8+D9</f>
        <v>37118638</v>
      </c>
      <c r="E30" s="297">
        <f>D30-B30</f>
        <v>-10362733</v>
      </c>
      <c r="F30" s="390">
        <f t="shared" si="0"/>
        <v>-0.21824839472305885</v>
      </c>
      <c r="G30" s="24"/>
      <c r="H30" s="24"/>
    </row>
    <row r="31" spans="1:10" ht="35.25">
      <c r="A31" s="32"/>
      <c r="B31" s="94"/>
      <c r="C31" s="94"/>
      <c r="D31" s="94"/>
      <c r="E31" s="94"/>
      <c r="F31" s="345" t="str">
        <f>IF(ISBLANK(E31),"  ",IF(C31&gt;0,E31/C31,IF(E31&gt;0,1,0)))</f>
        <v xml:space="preserve">  </v>
      </c>
      <c r="G31" s="24"/>
      <c r="H31" s="24"/>
    </row>
    <row r="32" spans="1:10" ht="35.25">
      <c r="A32" s="130" t="s">
        <v>34</v>
      </c>
      <c r="B32" s="131"/>
      <c r="C32" s="131"/>
      <c r="D32" s="131"/>
      <c r="E32" s="131"/>
      <c r="F32" s="397" t="str">
        <f>IF(ISBLANK(E32),"  ",IF(B32&gt;0,E32/B32,IF(E32&gt;0,1,0)))</f>
        <v xml:space="preserve">  </v>
      </c>
      <c r="G32" s="24"/>
      <c r="H32" s="24"/>
    </row>
    <row r="33" spans="1:8" ht="35.25">
      <c r="A33" s="132" t="s">
        <v>35</v>
      </c>
      <c r="B33" s="133"/>
      <c r="C33" s="133"/>
      <c r="D33" s="133"/>
      <c r="E33" s="133"/>
      <c r="F33" s="345" t="str">
        <f>IF(ISBLANK(E33),"  ",IF(C33&gt;0,E33/C33,IF(E33&gt;0,1,0)))</f>
        <v xml:space="preserve">  </v>
      </c>
      <c r="G33" s="24"/>
      <c r="H33" s="24"/>
    </row>
    <row r="34" spans="1:8" ht="35.25">
      <c r="A34" s="119" t="s">
        <v>36</v>
      </c>
      <c r="B34" s="120">
        <v>74923</v>
      </c>
      <c r="C34" s="120">
        <v>74923</v>
      </c>
      <c r="D34" s="120">
        <v>74923</v>
      </c>
      <c r="E34" s="95">
        <f>D34-B34</f>
        <v>0</v>
      </c>
      <c r="F34" s="345">
        <f>IF(ISBLANK(E34),"  ",IF(B34&gt;0,E34/B34,IF(E34&gt;0,1,0)))</f>
        <v>0</v>
      </c>
      <c r="G34" s="24"/>
      <c r="H34" s="24"/>
    </row>
    <row r="35" spans="1:8" ht="35.25">
      <c r="A35" s="119" t="s">
        <v>35</v>
      </c>
      <c r="B35" s="120"/>
      <c r="C35" s="120"/>
      <c r="D35" s="120"/>
      <c r="E35" s="120"/>
      <c r="F35" s="381" t="str">
        <f>IF(ISBLANK(E35),"  ",IF(C35&gt;0,E35/C35,IF(E35&gt;0,1,0)))</f>
        <v xml:space="preserve">  </v>
      </c>
      <c r="G35" s="24"/>
      <c r="H35" s="24"/>
    </row>
    <row r="36" spans="1:8" ht="35.25">
      <c r="A36" s="114" t="s">
        <v>107</v>
      </c>
      <c r="B36" s="116">
        <v>0</v>
      </c>
      <c r="C36" s="116">
        <v>0</v>
      </c>
      <c r="D36" s="116">
        <v>6398432</v>
      </c>
      <c r="E36" s="297">
        <f>D36-B36</f>
        <v>6398432</v>
      </c>
      <c r="F36" s="345">
        <f>IF(ISBLANK(E36),"  ",IF(B36&gt;0,E36/B36,IF(E36&gt;0,1,0)))</f>
        <v>1</v>
      </c>
      <c r="G36" s="24"/>
      <c r="H36" s="24"/>
    </row>
    <row r="37" spans="1:8" ht="35.25">
      <c r="A37" s="119" t="s">
        <v>35</v>
      </c>
      <c r="B37" s="120"/>
      <c r="C37" s="120"/>
      <c r="D37" s="120"/>
      <c r="E37" s="120"/>
      <c r="F37" s="381" t="str">
        <f>IF(ISBLANK(E37),"  ",IF(C37&gt;0,E37/C37,IF(E37&gt;0,1,0)))</f>
        <v xml:space="preserve">  </v>
      </c>
      <c r="G37" s="24"/>
      <c r="H37" s="24"/>
    </row>
    <row r="38" spans="1:8" ht="35.25">
      <c r="A38" s="114" t="s">
        <v>37</v>
      </c>
      <c r="B38" s="116">
        <f>29554690+48485</f>
        <v>29603175</v>
      </c>
      <c r="C38" s="116">
        <v>30021014</v>
      </c>
      <c r="D38" s="116">
        <v>31680938</v>
      </c>
      <c r="E38" s="297">
        <f>D38-B38</f>
        <v>2077763</v>
      </c>
      <c r="F38" s="345">
        <f>IF(ISBLANK(E38),"  ",IF(B38&gt;0,E38/B38,IF(E38&gt;0,1,0)))</f>
        <v>7.0187167423764518E-2</v>
      </c>
      <c r="G38" s="24"/>
      <c r="H38" s="24"/>
    </row>
    <row r="39" spans="1:8" ht="35.25">
      <c r="A39" s="119" t="s">
        <v>35</v>
      </c>
      <c r="B39" s="120"/>
      <c r="C39" s="120"/>
      <c r="D39" s="120"/>
      <c r="E39" s="120"/>
      <c r="F39" s="357" t="str">
        <f>IF(ISBLANK(E39),"  ",IF(C39&gt;0,E39/C39,IF(E39&gt;0,1,0)))</f>
        <v xml:space="preserve">  </v>
      </c>
      <c r="G39" s="24"/>
      <c r="H39" s="24"/>
    </row>
    <row r="40" spans="1:8" ht="35.25">
      <c r="A40" s="114" t="s">
        <v>38</v>
      </c>
      <c r="B40" s="116"/>
      <c r="C40" s="116"/>
      <c r="D40" s="116"/>
      <c r="E40" s="116"/>
      <c r="F40" s="354" t="str">
        <f>IF(ISBLANK(E40),"  ",IF(C40&gt;0,E40/C40,IF(E40&gt;0,1,0)))</f>
        <v xml:space="preserve">  </v>
      </c>
      <c r="G40" s="24"/>
      <c r="H40" s="24"/>
    </row>
    <row r="41" spans="1:8" ht="35.25">
      <c r="A41" s="137"/>
      <c r="B41" s="138"/>
      <c r="C41" s="138"/>
      <c r="D41" s="138"/>
      <c r="E41" s="138"/>
      <c r="F41" s="358" t="str">
        <f>IF(ISBLANK(E41),"  ",IF(C41&gt;0,E41/C41,IF(E41&gt;0,1,0)))</f>
        <v xml:space="preserve">  </v>
      </c>
      <c r="G41" s="24"/>
      <c r="H41" s="24"/>
    </row>
    <row r="42" spans="1:8" ht="35.25">
      <c r="A42" s="139"/>
      <c r="B42" s="140"/>
      <c r="C42" s="140"/>
      <c r="D42" s="140"/>
      <c r="E42" s="140"/>
      <c r="F42" s="359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38">
        <f>B40+B38+B36+B34+B30</f>
        <v>77159469</v>
      </c>
      <c r="C43" s="138">
        <f>C40+C38+C36+C34+C30</f>
        <v>77625793</v>
      </c>
      <c r="D43" s="138">
        <f>D40+D38+D36+D34+D30</f>
        <v>75272931</v>
      </c>
      <c r="E43" s="401">
        <f>D43-B43</f>
        <v>-1886538</v>
      </c>
      <c r="F43" s="399">
        <f>IF(ISBLANK(E43),"  ",IF(B43&gt;0,E43/B43,IF(E43&gt;0,1,0)))</f>
        <v>-2.4449857217135593E-2</v>
      </c>
      <c r="G43" s="24"/>
      <c r="H43" s="24"/>
    </row>
    <row r="44" spans="1:8" ht="35.25">
      <c r="A44" s="123"/>
      <c r="B44" s="124"/>
      <c r="C44" s="124"/>
      <c r="D44" s="124"/>
      <c r="E44" s="124"/>
      <c r="F44" s="360" t="str">
        <f>IF(ISBLANK(E44),"  ",IF(C44&gt;0,E44/C44,IF(E44&gt;0,1,0)))</f>
        <v xml:space="preserve">  </v>
      </c>
      <c r="G44" s="24"/>
      <c r="H44" s="24"/>
    </row>
    <row r="45" spans="1:8" ht="34.5">
      <c r="A45" s="25"/>
      <c r="B45" s="98"/>
      <c r="C45" s="98"/>
      <c r="D45" s="98"/>
      <c r="E45" s="98"/>
      <c r="F45" s="347" t="str">
        <f>IF(ISBLANK(E45),"  ",IF(C45&gt;0,E45/C45,IF(E45&gt;0,1,0)))</f>
        <v xml:space="preserve">  </v>
      </c>
      <c r="G45" s="24"/>
      <c r="H45" s="24"/>
    </row>
    <row r="46" spans="1:8" ht="35.25">
      <c r="A46" s="125" t="s">
        <v>40</v>
      </c>
      <c r="B46" s="98"/>
      <c r="C46" s="98"/>
      <c r="D46" s="98"/>
      <c r="E46" s="98"/>
      <c r="F46" s="347" t="str">
        <f>IF(ISBLANK(E46),"  ",IF(C46&gt;0,E46/C46,IF(E46&gt;0,1,0)))</f>
        <v xml:space="preserve">  </v>
      </c>
      <c r="G46" s="24"/>
      <c r="H46" s="24"/>
    </row>
    <row r="47" spans="1:8" ht="34.5">
      <c r="A47" s="459" t="s">
        <v>41</v>
      </c>
      <c r="B47" s="460">
        <v>34954104</v>
      </c>
      <c r="C47" s="460">
        <v>35027736</v>
      </c>
      <c r="D47" s="460">
        <v>32932040</v>
      </c>
      <c r="E47" s="395">
        <f t="shared" ref="E47:E55" si="1">D47-B47</f>
        <v>-2022064</v>
      </c>
      <c r="F47" s="397">
        <f t="shared" ref="F47:F60" si="2">IF(ISBLANK(E47),"  ",IF(B47&gt;0,E47/B47,IF(E47&gt;0,1,0)))</f>
        <v>-5.7849115514447172E-2</v>
      </c>
      <c r="G47" s="24"/>
      <c r="H47" s="24"/>
    </row>
    <row r="48" spans="1:8" ht="34.5">
      <c r="A48" s="30" t="s">
        <v>42</v>
      </c>
      <c r="B48" s="92">
        <v>1216821</v>
      </c>
      <c r="C48" s="92">
        <v>1146574</v>
      </c>
      <c r="D48" s="92">
        <v>1325537</v>
      </c>
      <c r="E48" s="396">
        <f t="shared" si="1"/>
        <v>108716</v>
      </c>
      <c r="F48" s="369">
        <f t="shared" si="2"/>
        <v>8.9344283177229852E-2</v>
      </c>
      <c r="G48" s="24"/>
      <c r="H48" s="24"/>
    </row>
    <row r="49" spans="1:8" ht="34.5">
      <c r="A49" s="31" t="s">
        <v>43</v>
      </c>
      <c r="B49" s="93">
        <v>313903</v>
      </c>
      <c r="C49" s="93">
        <v>314407</v>
      </c>
      <c r="D49" s="93">
        <v>262592</v>
      </c>
      <c r="E49" s="160">
        <f t="shared" si="1"/>
        <v>-51311</v>
      </c>
      <c r="F49" s="369">
        <f t="shared" si="2"/>
        <v>-0.16346132403959185</v>
      </c>
      <c r="G49" s="24"/>
      <c r="H49" s="24"/>
    </row>
    <row r="50" spans="1:8" ht="34.5">
      <c r="A50" s="31" t="s">
        <v>44</v>
      </c>
      <c r="B50" s="93">
        <v>6217096</v>
      </c>
      <c r="C50" s="93">
        <v>6618070</v>
      </c>
      <c r="D50" s="93">
        <v>6471406</v>
      </c>
      <c r="E50" s="160">
        <f t="shared" si="1"/>
        <v>254310</v>
      </c>
      <c r="F50" s="369">
        <f t="shared" si="2"/>
        <v>4.090494983509986E-2</v>
      </c>
      <c r="G50" s="24"/>
      <c r="H50" s="24"/>
    </row>
    <row r="51" spans="1:8" ht="34.5">
      <c r="A51" s="31" t="s">
        <v>45</v>
      </c>
      <c r="B51" s="93">
        <v>5176269</v>
      </c>
      <c r="C51" s="93">
        <v>5068882</v>
      </c>
      <c r="D51" s="93">
        <v>5255349</v>
      </c>
      <c r="E51" s="160">
        <f t="shared" si="1"/>
        <v>79080</v>
      </c>
      <c r="F51" s="369">
        <f t="shared" si="2"/>
        <v>1.5277413132895528E-2</v>
      </c>
      <c r="G51" s="24"/>
      <c r="H51" s="24"/>
    </row>
    <row r="52" spans="1:8" ht="34.5">
      <c r="A52" s="31" t="s">
        <v>74</v>
      </c>
      <c r="B52" s="93">
        <v>10047699</v>
      </c>
      <c r="C52" s="93">
        <v>10428227</v>
      </c>
      <c r="D52" s="93">
        <v>10864146</v>
      </c>
      <c r="E52" s="160">
        <f t="shared" si="1"/>
        <v>816447</v>
      </c>
      <c r="F52" s="369">
        <f t="shared" si="2"/>
        <v>8.1257111702888393E-2</v>
      </c>
      <c r="G52" s="24"/>
      <c r="H52" s="24"/>
    </row>
    <row r="53" spans="1:8" ht="34.5">
      <c r="A53" s="31" t="s">
        <v>46</v>
      </c>
      <c r="B53" s="93">
        <v>6185116</v>
      </c>
      <c r="C53" s="93">
        <v>6181988</v>
      </c>
      <c r="D53" s="93">
        <v>6330073</v>
      </c>
      <c r="E53" s="160">
        <f t="shared" si="1"/>
        <v>144957</v>
      </c>
      <c r="F53" s="369">
        <f t="shared" si="2"/>
        <v>2.3436423827782698E-2</v>
      </c>
      <c r="G53" s="24"/>
      <c r="H53" s="24"/>
    </row>
    <row r="54" spans="1:8" ht="34.5">
      <c r="A54" s="31" t="s">
        <v>47</v>
      </c>
      <c r="B54" s="93">
        <v>8546559</v>
      </c>
      <c r="C54" s="93">
        <v>8348443</v>
      </c>
      <c r="D54" s="93">
        <v>7775269</v>
      </c>
      <c r="E54" s="160">
        <f t="shared" si="1"/>
        <v>-771290</v>
      </c>
      <c r="F54" s="369">
        <f t="shared" si="2"/>
        <v>-9.0245676651854859E-2</v>
      </c>
      <c r="G54" s="24"/>
      <c r="H54" s="24"/>
    </row>
    <row r="55" spans="1:8" ht="35.25">
      <c r="A55" s="114" t="s">
        <v>48</v>
      </c>
      <c r="B55" s="116">
        <f>SUM(B47:B54)</f>
        <v>72657567</v>
      </c>
      <c r="C55" s="116">
        <f>SUM(C47:C54)</f>
        <v>73134327</v>
      </c>
      <c r="D55" s="116">
        <f>SUM(D47:D54)</f>
        <v>71216412</v>
      </c>
      <c r="E55" s="297">
        <f t="shared" si="1"/>
        <v>-1441155</v>
      </c>
      <c r="F55" s="390">
        <f t="shared" si="2"/>
        <v>-1.983489207669175E-2</v>
      </c>
      <c r="G55" s="24"/>
      <c r="H55" s="24"/>
    </row>
    <row r="56" spans="1:8" ht="34.5">
      <c r="A56" s="126" t="s">
        <v>49</v>
      </c>
      <c r="B56" s="118"/>
      <c r="C56" s="118"/>
      <c r="D56" s="118"/>
      <c r="E56" s="128"/>
      <c r="F56" s="369" t="str">
        <f t="shared" si="2"/>
        <v xml:space="preserve">  </v>
      </c>
      <c r="G56" s="24"/>
      <c r="H56" s="24"/>
    </row>
    <row r="57" spans="1:8" ht="34.5">
      <c r="A57" s="31" t="s">
        <v>50</v>
      </c>
      <c r="B57" s="93"/>
      <c r="C57" s="93"/>
      <c r="D57" s="93"/>
      <c r="E57" s="97"/>
      <c r="F57" s="369" t="str">
        <f t="shared" si="2"/>
        <v xml:space="preserve">  </v>
      </c>
      <c r="G57" s="24"/>
      <c r="H57" s="24"/>
    </row>
    <row r="58" spans="1:8" ht="34.5">
      <c r="A58" s="31" t="s">
        <v>51</v>
      </c>
      <c r="B58" s="93">
        <v>4349469</v>
      </c>
      <c r="C58" s="93">
        <v>4349469</v>
      </c>
      <c r="D58" s="93">
        <v>3914522</v>
      </c>
      <c r="E58" s="160">
        <f>D58-B58</f>
        <v>-434947</v>
      </c>
      <c r="F58" s="369">
        <f t="shared" si="2"/>
        <v>-0.10000002299131228</v>
      </c>
      <c r="G58" s="24"/>
      <c r="H58" s="24"/>
    </row>
    <row r="59" spans="1:8" ht="34.5">
      <c r="A59" s="31" t="s">
        <v>52</v>
      </c>
      <c r="B59" s="93">
        <v>152433</v>
      </c>
      <c r="C59" s="93">
        <v>141997</v>
      </c>
      <c r="D59" s="93">
        <v>141997</v>
      </c>
      <c r="E59" s="160">
        <f>D59-B59</f>
        <v>-10436</v>
      </c>
      <c r="F59" s="369">
        <f t="shared" si="2"/>
        <v>-6.8462865652450591E-2</v>
      </c>
      <c r="G59" s="24"/>
      <c r="H59" s="24"/>
    </row>
    <row r="60" spans="1:8" ht="35.25">
      <c r="A60" s="121" t="s">
        <v>53</v>
      </c>
      <c r="B60" s="122">
        <f>B59+B58+B57+B56+B55</f>
        <v>77159469</v>
      </c>
      <c r="C60" s="122">
        <f>C59+C58+C57+C56+C55</f>
        <v>77625793</v>
      </c>
      <c r="D60" s="122">
        <f>D59+D58+D57+D56+D55</f>
        <v>75272931</v>
      </c>
      <c r="E60" s="284">
        <f>D60-B60</f>
        <v>-1886538</v>
      </c>
      <c r="F60" s="390">
        <f t="shared" si="2"/>
        <v>-2.4449857217135593E-2</v>
      </c>
      <c r="G60" s="24"/>
      <c r="H60" s="24"/>
    </row>
    <row r="61" spans="1:8" ht="35.25">
      <c r="A61" s="123"/>
      <c r="B61" s="129"/>
      <c r="C61" s="129"/>
      <c r="D61" s="129"/>
      <c r="E61" s="124"/>
      <c r="F61" s="360" t="str">
        <f>IF(ISBLANK(E61),"  ",IF(C61&gt;0,E61/C61,IF(E61&gt;0,1,0)))</f>
        <v xml:space="preserve">  </v>
      </c>
      <c r="G61" s="24"/>
      <c r="H61" s="24"/>
    </row>
    <row r="62" spans="1:8" ht="35.25">
      <c r="A62" s="125" t="s">
        <v>54</v>
      </c>
      <c r="B62" s="98"/>
      <c r="C62" s="98"/>
      <c r="D62" s="98"/>
      <c r="E62" s="98"/>
      <c r="F62" s="347" t="str">
        <f>IF(ISBLANK(E62),"  ",IF(C62&gt;0,E62/C62,IF(E62&gt;0,1,0)))</f>
        <v xml:space="preserve">  </v>
      </c>
      <c r="G62" s="24"/>
      <c r="H62" s="24"/>
    </row>
    <row r="63" spans="1:8" ht="34.5">
      <c r="A63" s="135" t="s">
        <v>55</v>
      </c>
      <c r="B63" s="136">
        <v>42075371</v>
      </c>
      <c r="C63" s="136">
        <v>42077469</v>
      </c>
      <c r="D63" s="136">
        <v>40582281</v>
      </c>
      <c r="E63" s="92">
        <f t="shared" ref="E63:E72" si="3">D63-B63</f>
        <v>-1493090</v>
      </c>
      <c r="F63" s="397">
        <f t="shared" ref="F63:F80" si="4">IF(ISBLANK(E63),"  ",IF(B63&gt;0,E63/B63,IF(E63&gt;0,1,0)))</f>
        <v>-3.548608044359252E-2</v>
      </c>
      <c r="G63" s="24"/>
      <c r="H63" s="24"/>
    </row>
    <row r="64" spans="1:8" ht="34.5">
      <c r="A64" s="30" t="s">
        <v>56</v>
      </c>
      <c r="B64" s="92">
        <v>686415</v>
      </c>
      <c r="C64" s="92">
        <v>685715</v>
      </c>
      <c r="D64" s="92">
        <v>614436</v>
      </c>
      <c r="E64" s="160">
        <f t="shared" si="3"/>
        <v>-71979</v>
      </c>
      <c r="F64" s="369">
        <f t="shared" si="4"/>
        <v>-0.10486221892004108</v>
      </c>
      <c r="G64" s="24"/>
      <c r="H64" s="24"/>
    </row>
    <row r="65" spans="1:8" ht="34.5">
      <c r="A65" s="31" t="s">
        <v>57</v>
      </c>
      <c r="B65" s="93">
        <v>12051800</v>
      </c>
      <c r="C65" s="93">
        <v>12076528</v>
      </c>
      <c r="D65" s="93">
        <v>12160990</v>
      </c>
      <c r="E65" s="160">
        <f t="shared" si="3"/>
        <v>109190</v>
      </c>
      <c r="F65" s="369">
        <f t="shared" si="4"/>
        <v>9.0600574188088086E-3</v>
      </c>
      <c r="G65" s="24"/>
      <c r="H65" s="24"/>
    </row>
    <row r="66" spans="1:8" ht="35.25">
      <c r="A66" s="114" t="s">
        <v>58</v>
      </c>
      <c r="B66" s="116">
        <f>SUM(B63:B65)</f>
        <v>54813586</v>
      </c>
      <c r="C66" s="116">
        <f>SUM(C63:C65)</f>
        <v>54839712</v>
      </c>
      <c r="D66" s="116">
        <f>SUM(D63:D65)</f>
        <v>53357707</v>
      </c>
      <c r="E66" s="284">
        <f t="shared" si="3"/>
        <v>-1455879</v>
      </c>
      <c r="F66" s="390">
        <f t="shared" si="4"/>
        <v>-2.656055015265741E-2</v>
      </c>
      <c r="G66" s="24"/>
      <c r="H66" s="24"/>
    </row>
    <row r="67" spans="1:8" ht="34.5">
      <c r="A67" s="126" t="s">
        <v>59</v>
      </c>
      <c r="B67" s="128">
        <v>459164</v>
      </c>
      <c r="C67" s="128">
        <v>487794</v>
      </c>
      <c r="D67" s="128">
        <v>181536</v>
      </c>
      <c r="E67" s="160">
        <f t="shared" si="3"/>
        <v>-277628</v>
      </c>
      <c r="F67" s="369">
        <f t="shared" si="4"/>
        <v>-0.60463799426784326</v>
      </c>
      <c r="G67" s="24"/>
      <c r="H67" s="24"/>
    </row>
    <row r="68" spans="1:8" ht="34.5">
      <c r="A68" s="31" t="s">
        <v>60</v>
      </c>
      <c r="B68" s="93">
        <v>6920893</v>
      </c>
      <c r="C68" s="93">
        <v>6956242</v>
      </c>
      <c r="D68" s="93">
        <v>7438189</v>
      </c>
      <c r="E68" s="160">
        <f t="shared" si="3"/>
        <v>517296</v>
      </c>
      <c r="F68" s="369">
        <f t="shared" si="4"/>
        <v>7.4744111778638975E-2</v>
      </c>
      <c r="G68" s="24"/>
      <c r="H68" s="24"/>
    </row>
    <row r="69" spans="1:8" ht="34.5">
      <c r="A69" s="31" t="s">
        <v>61</v>
      </c>
      <c r="B69" s="93">
        <v>827316</v>
      </c>
      <c r="C69" s="93">
        <v>1001389</v>
      </c>
      <c r="D69" s="93">
        <v>1551244</v>
      </c>
      <c r="E69" s="160">
        <f t="shared" si="3"/>
        <v>723928</v>
      </c>
      <c r="F69" s="369">
        <f t="shared" si="4"/>
        <v>0.87503203129155005</v>
      </c>
      <c r="G69" s="24"/>
      <c r="H69" s="24"/>
    </row>
    <row r="70" spans="1:8" ht="35.25">
      <c r="A70" s="114" t="s">
        <v>62</v>
      </c>
      <c r="B70" s="116">
        <f>SUM(B67:B69)</f>
        <v>8207373</v>
      </c>
      <c r="C70" s="116">
        <f>SUM(C67:C69)</f>
        <v>8445425</v>
      </c>
      <c r="D70" s="116">
        <f>SUM(D67:D69)</f>
        <v>9170969</v>
      </c>
      <c r="E70" s="284">
        <f t="shared" si="3"/>
        <v>963596</v>
      </c>
      <c r="F70" s="390">
        <f t="shared" si="4"/>
        <v>0.11740614201401593</v>
      </c>
      <c r="G70" s="24"/>
      <c r="H70" s="24"/>
    </row>
    <row r="71" spans="1:8" ht="34.5">
      <c r="A71" s="117" t="s">
        <v>63</v>
      </c>
      <c r="B71" s="118">
        <v>412732</v>
      </c>
      <c r="C71" s="118">
        <v>430294</v>
      </c>
      <c r="D71" s="118">
        <v>421350</v>
      </c>
      <c r="E71" s="160">
        <f t="shared" si="3"/>
        <v>8618</v>
      </c>
      <c r="F71" s="369">
        <f t="shared" si="4"/>
        <v>2.088037758157836E-2</v>
      </c>
      <c r="G71" s="24"/>
      <c r="H71" s="24"/>
    </row>
    <row r="72" spans="1:8" ht="34.5">
      <c r="A72" s="31" t="s">
        <v>64</v>
      </c>
      <c r="B72" s="93">
        <v>11903709</v>
      </c>
      <c r="C72" s="93">
        <v>11887338</v>
      </c>
      <c r="D72" s="93">
        <v>11945242</v>
      </c>
      <c r="E72" s="458">
        <f t="shared" si="3"/>
        <v>41533</v>
      </c>
      <c r="F72" s="369">
        <f t="shared" si="4"/>
        <v>3.4890805882435466E-3</v>
      </c>
      <c r="G72" s="24"/>
      <c r="H72" s="24"/>
    </row>
    <row r="73" spans="1:8" ht="34.5">
      <c r="A73" s="31" t="s">
        <v>65</v>
      </c>
      <c r="B73" s="93"/>
      <c r="C73" s="93"/>
      <c r="D73" s="93"/>
      <c r="E73" s="93"/>
      <c r="F73" s="369" t="str">
        <f t="shared" si="4"/>
        <v xml:space="preserve">  </v>
      </c>
      <c r="G73" s="24"/>
      <c r="H73" s="24"/>
    </row>
    <row r="74" spans="1:8" ht="34.5">
      <c r="A74" s="31" t="s">
        <v>66</v>
      </c>
      <c r="B74" s="93"/>
      <c r="C74" s="93"/>
      <c r="D74" s="93"/>
      <c r="E74" s="93"/>
      <c r="F74" s="369" t="str">
        <f t="shared" si="4"/>
        <v xml:space="preserve">  </v>
      </c>
      <c r="G74" s="24"/>
      <c r="H74" s="24"/>
    </row>
    <row r="75" spans="1:8" ht="35.25">
      <c r="A75" s="114" t="s">
        <v>67</v>
      </c>
      <c r="B75" s="116">
        <f>SUM(B71:B74)</f>
        <v>12316441</v>
      </c>
      <c r="C75" s="116">
        <f>SUM(C71:C74)</f>
        <v>12317632</v>
      </c>
      <c r="D75" s="116">
        <f>SUM(D71:D74)</f>
        <v>12366592</v>
      </c>
      <c r="E75" s="284">
        <f t="shared" ref="E75:E80" si="5">D75-B75</f>
        <v>50151</v>
      </c>
      <c r="F75" s="390">
        <f t="shared" si="4"/>
        <v>4.0718743344769805E-3</v>
      </c>
      <c r="G75" s="24"/>
      <c r="H75" s="24"/>
    </row>
    <row r="76" spans="1:8" ht="34.5">
      <c r="A76" s="117" t="s">
        <v>68</v>
      </c>
      <c r="B76" s="118">
        <v>899504</v>
      </c>
      <c r="C76" s="118">
        <v>905946</v>
      </c>
      <c r="D76" s="118">
        <v>0</v>
      </c>
      <c r="E76" s="160">
        <f t="shared" si="5"/>
        <v>-899504</v>
      </c>
      <c r="F76" s="369">
        <f t="shared" si="4"/>
        <v>-1</v>
      </c>
      <c r="G76" s="24"/>
      <c r="H76" s="24"/>
    </row>
    <row r="77" spans="1:8" ht="34.5">
      <c r="A77" s="31" t="s">
        <v>69</v>
      </c>
      <c r="B77" s="93">
        <v>562115</v>
      </c>
      <c r="C77" s="93">
        <v>938863</v>
      </c>
      <c r="D77" s="93">
        <v>377663</v>
      </c>
      <c r="E77" s="160">
        <f t="shared" si="5"/>
        <v>-184452</v>
      </c>
      <c r="F77" s="369">
        <f t="shared" si="4"/>
        <v>-0.32813925976001351</v>
      </c>
      <c r="G77" s="24"/>
      <c r="H77" s="24"/>
    </row>
    <row r="78" spans="1:8" ht="34.5">
      <c r="A78" s="31" t="s">
        <v>70</v>
      </c>
      <c r="B78" s="93">
        <v>360450</v>
      </c>
      <c r="C78" s="93">
        <v>178215</v>
      </c>
      <c r="D78" s="93">
        <v>0</v>
      </c>
      <c r="E78" s="160">
        <f t="shared" si="5"/>
        <v>-360450</v>
      </c>
      <c r="F78" s="369">
        <f t="shared" si="4"/>
        <v>-1</v>
      </c>
      <c r="G78" s="24"/>
      <c r="H78" s="24"/>
    </row>
    <row r="79" spans="1:8" ht="35.25">
      <c r="A79" s="114" t="s">
        <v>71</v>
      </c>
      <c r="B79" s="116">
        <f>SUM(B76:B78)</f>
        <v>1822069</v>
      </c>
      <c r="C79" s="116">
        <f>SUM(C76:C78)</f>
        <v>2023024</v>
      </c>
      <c r="D79" s="116">
        <f>SUM(D76:D78)</f>
        <v>377663</v>
      </c>
      <c r="E79" s="284">
        <f t="shared" si="5"/>
        <v>-1444406</v>
      </c>
      <c r="F79" s="390">
        <f t="shared" si="4"/>
        <v>-0.79272848613307179</v>
      </c>
      <c r="G79" s="24"/>
      <c r="H79" s="24"/>
    </row>
    <row r="80" spans="1:8" ht="36" thickBot="1">
      <c r="A80" s="32" t="s">
        <v>53</v>
      </c>
      <c r="B80" s="94">
        <f>B79+B75+B70+B66</f>
        <v>77159469</v>
      </c>
      <c r="C80" s="94">
        <f>C79+C75+C70+C66</f>
        <v>77625793</v>
      </c>
      <c r="D80" s="94">
        <f>D79+D75+D70+D66</f>
        <v>75272931</v>
      </c>
      <c r="E80" s="297">
        <f t="shared" si="5"/>
        <v>-1886538</v>
      </c>
      <c r="F80" s="348">
        <f t="shared" si="4"/>
        <v>-2.4449857217135593E-2</v>
      </c>
      <c r="G80" s="24"/>
      <c r="H80" s="24"/>
    </row>
    <row r="81" spans="1:8" ht="25.5">
      <c r="A81" s="34"/>
      <c r="B81" s="34"/>
      <c r="C81" s="34"/>
      <c r="D81" s="34"/>
      <c r="E81" s="34"/>
      <c r="F81" s="462"/>
      <c r="G81" s="24"/>
      <c r="H81" s="24"/>
    </row>
    <row r="82" spans="1:8" ht="44.25">
      <c r="A82" s="36" t="s">
        <v>316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61" zoomScale="25" zoomScaleNormal="30" workbookViewId="0">
      <selection activeCell="E6" sqref="E6"/>
    </sheetView>
  </sheetViews>
  <sheetFormatPr defaultRowHeight="15"/>
  <cols>
    <col min="1" max="1" width="135" style="16" customWidth="1"/>
    <col min="2" max="2" width="30.5546875" style="16" customWidth="1"/>
    <col min="3" max="3" width="39.109375" style="16" customWidth="1"/>
    <col min="4" max="4" width="41.77734375" style="16" customWidth="1"/>
    <col min="5" max="5" width="38.6640625" style="16" customWidth="1"/>
    <col min="6" max="6" width="38.21875" style="332" customWidth="1"/>
    <col min="7" max="16384" width="8.88671875" style="16"/>
  </cols>
  <sheetData>
    <row r="1" spans="1:10" ht="45">
      <c r="A1" s="17" t="s">
        <v>0</v>
      </c>
      <c r="B1" s="18"/>
      <c r="C1" s="115" t="s">
        <v>1</v>
      </c>
      <c r="D1" s="141" t="s">
        <v>112</v>
      </c>
      <c r="E1" s="113"/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v>73363021</v>
      </c>
      <c r="C8" s="92">
        <v>73382935</v>
      </c>
      <c r="D8" s="92">
        <v>51274932</v>
      </c>
      <c r="E8" s="396">
        <f>D8-B8</f>
        <v>-22088089</v>
      </c>
      <c r="F8" s="397">
        <f>IF(ISBLANK(E8),"  ",IF(B8&gt;0,E8/B8,IF(E8&gt;0,1,0)))</f>
        <v>-0.30107932714493857</v>
      </c>
      <c r="G8" s="24"/>
      <c r="H8" s="24"/>
      <c r="I8" s="24"/>
      <c r="J8" s="24"/>
    </row>
    <row r="9" spans="1:10" ht="34.5">
      <c r="A9" s="31" t="s">
        <v>87</v>
      </c>
      <c r="B9" s="93">
        <v>0</v>
      </c>
      <c r="C9" s="93">
        <v>0</v>
      </c>
      <c r="D9" s="93">
        <f>5536077-431798</f>
        <v>5104279</v>
      </c>
      <c r="E9" s="396">
        <f>D9-B9</f>
        <v>5104279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1" t="s">
        <v>15</v>
      </c>
      <c r="B10" s="93">
        <f>SUM(B11:B25)</f>
        <v>2476562</v>
      </c>
      <c r="C10" s="93">
        <f>SUM(C11:C25)</f>
        <v>2553395</v>
      </c>
      <c r="D10" s="93">
        <f>SUM(D11:D25)</f>
        <v>2640830</v>
      </c>
      <c r="E10" s="396">
        <f>D10-C10</f>
        <v>87435</v>
      </c>
      <c r="F10" s="369">
        <f t="shared" si="0"/>
        <v>3.5304991354950938E-2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431798</v>
      </c>
      <c r="E11" s="396">
        <f>D11-B11</f>
        <v>431798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2476562</v>
      </c>
      <c r="C12" s="93">
        <v>2553395</v>
      </c>
      <c r="D12" s="93">
        <v>2209032</v>
      </c>
      <c r="E12" s="160">
        <f>D12-B12</f>
        <v>-267530</v>
      </c>
      <c r="F12" s="369">
        <f t="shared" si="0"/>
        <v>-0.10802475367061273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2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10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10" ht="34.5">
      <c r="A25" s="31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10" ht="35.25">
      <c r="A26" s="32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10" ht="34.5">
      <c r="A27" s="31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10" ht="35.25">
      <c r="A28" s="32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10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10" ht="34.5">
      <c r="A30" s="31" t="s">
        <v>32</v>
      </c>
      <c r="B30" s="93"/>
      <c r="C30" s="93"/>
      <c r="D30" s="93"/>
      <c r="E30" s="160"/>
      <c r="F30" s="369" t="str">
        <f t="shared" si="0"/>
        <v xml:space="preserve">  </v>
      </c>
      <c r="G30" s="24"/>
      <c r="H30" s="24"/>
    </row>
    <row r="31" spans="1:10" ht="35.25">
      <c r="A31" s="32" t="s">
        <v>33</v>
      </c>
      <c r="B31" s="94">
        <f>B30+B29+B27+B10+B9+B8</f>
        <v>75839583</v>
      </c>
      <c r="C31" s="94">
        <f>C30+C29+C27+C10+C9+C8</f>
        <v>75936330</v>
      </c>
      <c r="D31" s="94">
        <f>D30+D29+D27+D10+D9+D8</f>
        <v>59020041</v>
      </c>
      <c r="E31" s="401">
        <f>D31-B31</f>
        <v>-16819542</v>
      </c>
      <c r="F31" s="390">
        <f t="shared" si="0"/>
        <v>-0.22177788081983521</v>
      </c>
      <c r="G31" s="24"/>
      <c r="H31" s="24"/>
    </row>
    <row r="32" spans="1:10" ht="35.25">
      <c r="A32" s="32"/>
      <c r="B32" s="93"/>
      <c r="C32" s="93"/>
      <c r="D32" s="93"/>
      <c r="E32" s="92"/>
      <c r="F32" s="342" t="str">
        <f>IF(ISBLANK(E32),"  ",IF(C32&gt;0,E32/C32,IF(E32&gt;0,1,0)))</f>
        <v xml:space="preserve">  </v>
      </c>
      <c r="G32" s="24"/>
      <c r="H32" s="24"/>
    </row>
    <row r="33" spans="1:10" ht="35.25">
      <c r="A33" s="33" t="s">
        <v>34</v>
      </c>
      <c r="B33" s="95">
        <v>-14513</v>
      </c>
      <c r="C33" s="95">
        <v>0</v>
      </c>
      <c r="D33" s="95">
        <v>0</v>
      </c>
      <c r="E33" s="401">
        <f>D33-B33</f>
        <v>14513</v>
      </c>
      <c r="F33" s="399">
        <f>IF(ISBLANK(E33),"  ",IF(B33&gt;0,E33/B33,IF(E33&gt;0,1,0)))</f>
        <v>1</v>
      </c>
      <c r="G33" s="24"/>
      <c r="H33" s="24"/>
    </row>
    <row r="34" spans="1:10" ht="35.25">
      <c r="A34" s="31" t="s">
        <v>35</v>
      </c>
      <c r="B34" s="94"/>
      <c r="C34" s="94"/>
      <c r="D34" s="94"/>
      <c r="E34" s="95"/>
      <c r="F34" s="345" t="str">
        <f>IF(ISBLANK(E34),"  ",IF(C34&gt;0,E34/C34,IF(E34&gt;0,1,0)))</f>
        <v xml:space="preserve">  </v>
      </c>
      <c r="G34" s="24"/>
      <c r="H34" s="24"/>
    </row>
    <row r="35" spans="1:10" ht="35.25">
      <c r="A35" s="33" t="s">
        <v>36</v>
      </c>
      <c r="B35" s="95"/>
      <c r="C35" s="95"/>
      <c r="D35" s="95"/>
      <c r="E35" s="95"/>
      <c r="F35" s="345" t="str">
        <f>IF(ISBLANK(E35),"  ",IF(C35&gt;0,E35/C35,IF(E35&gt;0,1,0)))</f>
        <v xml:space="preserve">  </v>
      </c>
      <c r="G35" s="24"/>
      <c r="H35" s="24"/>
    </row>
    <row r="36" spans="1:10" ht="35.25">
      <c r="A36" s="32" t="s">
        <v>35</v>
      </c>
      <c r="B36" s="94"/>
      <c r="C36" s="94"/>
      <c r="D36" s="94"/>
      <c r="E36" s="94"/>
      <c r="F36" s="344" t="str">
        <f>IF(ISBLANK(E36),"  ",IF(C36&gt;0,E36/C36,IF(E36&gt;0,1,0)))</f>
        <v xml:space="preserve">  </v>
      </c>
      <c r="G36" s="24"/>
      <c r="H36" s="24"/>
    </row>
    <row r="37" spans="1:10" ht="35.25">
      <c r="A37" s="33" t="s">
        <v>88</v>
      </c>
      <c r="B37" s="95">
        <v>0</v>
      </c>
      <c r="C37" s="95">
        <v>0</v>
      </c>
      <c r="D37" s="95">
        <v>10222480</v>
      </c>
      <c r="E37" s="401">
        <f>D37-B37</f>
        <v>10222480</v>
      </c>
      <c r="F37" s="399">
        <f>IF(ISBLANK(E37),"  ",IF(B37&gt;0,E37/B37,IF(E37&gt;0,1,0)))</f>
        <v>1</v>
      </c>
      <c r="G37" s="24"/>
      <c r="H37" s="24"/>
    </row>
    <row r="38" spans="1:10" ht="35.25">
      <c r="A38" s="31" t="s">
        <v>35</v>
      </c>
      <c r="B38" s="94"/>
      <c r="C38" s="94"/>
      <c r="D38" s="94"/>
      <c r="E38" s="297"/>
      <c r="F38" s="345" t="str">
        <f>IF(ISBLANK(E38),"  ",IF(C38&gt;0,E38/C38,IF(E38&gt;0,1,0)))</f>
        <v xml:space="preserve">  </v>
      </c>
      <c r="G38" s="24"/>
      <c r="H38" s="24"/>
    </row>
    <row r="39" spans="1:10" ht="35.25">
      <c r="A39" s="33" t="s">
        <v>37</v>
      </c>
      <c r="B39" s="95">
        <f>39644770.61+2644581.5+1123241.92+2321031.58+10748.55+104878.47+86108.8+697776.5+258669.77</f>
        <v>46891807.699999996</v>
      </c>
      <c r="C39" s="95">
        <v>48292680</v>
      </c>
      <c r="D39" s="95">
        <f>44112592+2688283+1039354+2350128+7300+115400+75000+693293+201330</f>
        <v>51282680</v>
      </c>
      <c r="E39" s="401">
        <f>D39-B39</f>
        <v>4390872.3000000045</v>
      </c>
      <c r="F39" s="399">
        <f>IF(ISBLANK(E39),"  ",IF(B39&gt;0,E39/B39,IF(E39&gt;0,1,0)))</f>
        <v>9.3638367027594996E-2</v>
      </c>
      <c r="G39" s="24"/>
      <c r="H39" s="24"/>
    </row>
    <row r="40" spans="1:10" ht="35.25">
      <c r="A40" s="31" t="s">
        <v>35</v>
      </c>
      <c r="B40" s="94"/>
      <c r="C40" s="94"/>
      <c r="D40" s="94"/>
      <c r="E40" s="95"/>
      <c r="F40" s="345" t="str">
        <f>IF(ISBLANK(E40),"  ",IF(C40&gt;0,E40/C40,IF(E40&gt;0,1,0)))</f>
        <v xml:space="preserve">  </v>
      </c>
      <c r="G40" s="24"/>
      <c r="H40" s="24"/>
    </row>
    <row r="41" spans="1:10" ht="35.25">
      <c r="A41" s="33" t="s">
        <v>38</v>
      </c>
      <c r="B41" s="95"/>
      <c r="C41" s="95"/>
      <c r="D41" s="95"/>
      <c r="E41" s="95"/>
      <c r="F41" s="399" t="str">
        <f>IF(ISBLANK(E41),"  ",IF(B41&gt;0,E41/B41,IF(E41&gt;0,1,0)))</f>
        <v xml:space="preserve">  </v>
      </c>
      <c r="G41" s="24"/>
      <c r="H41" s="24"/>
    </row>
    <row r="42" spans="1:10" ht="35.25">
      <c r="A42" s="31"/>
      <c r="B42" s="94"/>
      <c r="C42" s="94"/>
      <c r="D42" s="94"/>
      <c r="E42" s="94"/>
      <c r="F42" s="345" t="str">
        <f>IF(ISBLANK(E42),"  ",IF(C42&gt;0,E42/C42,IF(E42&gt;0,1,0)))</f>
        <v xml:space="preserve">  </v>
      </c>
      <c r="G42" s="24"/>
      <c r="H42" s="24"/>
    </row>
    <row r="43" spans="1:10" ht="35.25">
      <c r="A43" s="29" t="s">
        <v>39</v>
      </c>
      <c r="B43" s="96">
        <f>B41+B39+B37+B35+B31+B33</f>
        <v>122716877.69999999</v>
      </c>
      <c r="C43" s="96">
        <f>C41+C39+C37+C35+C31</f>
        <v>124229010</v>
      </c>
      <c r="D43" s="96">
        <f>D41+D39+D37+D35+D31</f>
        <v>120525201</v>
      </c>
      <c r="E43" s="401">
        <f>D43-B43</f>
        <v>-2191676.6999999881</v>
      </c>
      <c r="F43" s="399">
        <f>IF(ISBLANK(E43),"  ",IF(B43&gt;0,E43/B43,IF(E43&gt;0,1,0)))</f>
        <v>-1.785961915815585E-2</v>
      </c>
      <c r="G43" s="24"/>
      <c r="H43" s="24"/>
    </row>
    <row r="44" spans="1:10" ht="34.5">
      <c r="A44" s="28"/>
      <c r="B44" s="97"/>
      <c r="C44" s="97"/>
      <c r="D44" s="97"/>
      <c r="E44" s="98"/>
      <c r="F44" s="347" t="str">
        <f>IF(ISBLANK(E44),"  ",IF(C44&gt;0,E44/C44,IF(E44&gt;0,1,0)))</f>
        <v xml:space="preserve">  </v>
      </c>
      <c r="G44" s="24"/>
      <c r="H44" s="24"/>
    </row>
    <row r="45" spans="1:10" ht="34.5">
      <c r="A45" s="25"/>
      <c r="B45" s="98"/>
      <c r="C45" s="98"/>
      <c r="D45" s="98"/>
      <c r="E45" s="98"/>
      <c r="F45" s="347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29" t="s">
        <v>40</v>
      </c>
      <c r="B46" s="98"/>
      <c r="C46" s="98"/>
      <c r="D46" s="98"/>
      <c r="E46" s="98"/>
      <c r="F46" s="347" t="str">
        <f>IF(ISBLANK(E46),"  ",IF(C46&gt;0,E46/C46,IF(E46&gt;0,1,0)))</f>
        <v xml:space="preserve">  </v>
      </c>
      <c r="G46" s="24"/>
      <c r="H46" s="24"/>
    </row>
    <row r="47" spans="1:10" ht="34.5">
      <c r="A47" s="30" t="s">
        <v>41</v>
      </c>
      <c r="B47" s="92">
        <v>58115649</v>
      </c>
      <c r="C47" s="92">
        <v>58480084</v>
      </c>
      <c r="D47" s="92">
        <v>58639343</v>
      </c>
      <c r="E47" s="396">
        <f t="shared" ref="E47:E55" si="1">D47-B47</f>
        <v>523694</v>
      </c>
      <c r="F47" s="397">
        <f t="shared" ref="F47:F60" si="2">IF(ISBLANK(E47),"  ",IF(B47&gt;0,E47/B47,IF(E47&gt;0,1,0)))</f>
        <v>9.0112389521796437E-3</v>
      </c>
      <c r="G47" s="24"/>
      <c r="H47" s="24"/>
    </row>
    <row r="48" spans="1:10" ht="34.5">
      <c r="A48" s="31" t="s">
        <v>42</v>
      </c>
      <c r="B48" s="93">
        <v>751835</v>
      </c>
      <c r="C48" s="93">
        <v>797447</v>
      </c>
      <c r="D48" s="93">
        <v>763636</v>
      </c>
      <c r="E48" s="160">
        <f t="shared" si="1"/>
        <v>11801</v>
      </c>
      <c r="F48" s="369">
        <f t="shared" si="2"/>
        <v>1.5696263142843843E-2</v>
      </c>
      <c r="G48" s="24"/>
      <c r="H48" s="24"/>
    </row>
    <row r="49" spans="1:8" ht="34.5">
      <c r="A49" s="31" t="s">
        <v>43</v>
      </c>
      <c r="B49" s="93">
        <v>2428841</v>
      </c>
      <c r="C49" s="93">
        <v>2460083</v>
      </c>
      <c r="D49" s="93">
        <v>2127852</v>
      </c>
      <c r="E49" s="160">
        <f t="shared" si="1"/>
        <v>-300989</v>
      </c>
      <c r="F49" s="369">
        <f t="shared" si="2"/>
        <v>-0.12392289161785394</v>
      </c>
      <c r="G49" s="24"/>
      <c r="H49" s="24"/>
    </row>
    <row r="50" spans="1:8" ht="34.5">
      <c r="A50" s="31" t="s">
        <v>44</v>
      </c>
      <c r="B50" s="93">
        <v>11962510</v>
      </c>
      <c r="C50" s="93">
        <v>12109192</v>
      </c>
      <c r="D50" s="93">
        <v>11430187</v>
      </c>
      <c r="E50" s="160">
        <f t="shared" si="1"/>
        <v>-532323</v>
      </c>
      <c r="F50" s="369">
        <f t="shared" si="2"/>
        <v>-4.4499273145853169E-2</v>
      </c>
      <c r="G50" s="24"/>
      <c r="H50" s="24"/>
    </row>
    <row r="51" spans="1:8" ht="34.5">
      <c r="A51" s="31" t="s">
        <v>45</v>
      </c>
      <c r="B51" s="93">
        <v>7019356</v>
      </c>
      <c r="C51" s="93">
        <v>7161516</v>
      </c>
      <c r="D51" s="93">
        <v>7007598</v>
      </c>
      <c r="E51" s="160">
        <f t="shared" si="1"/>
        <v>-11758</v>
      </c>
      <c r="F51" s="369">
        <f t="shared" si="2"/>
        <v>-1.6750824434606253E-3</v>
      </c>
      <c r="G51" s="24"/>
      <c r="H51" s="24"/>
    </row>
    <row r="52" spans="1:8" ht="34.5">
      <c r="A52" s="31" t="s">
        <v>74</v>
      </c>
      <c r="B52" s="93">
        <v>14684228</v>
      </c>
      <c r="C52" s="93">
        <v>14892311</v>
      </c>
      <c r="D52" s="93">
        <v>14459401</v>
      </c>
      <c r="E52" s="160">
        <f t="shared" si="1"/>
        <v>-224827</v>
      </c>
      <c r="F52" s="369">
        <f t="shared" si="2"/>
        <v>-1.531078106387343E-2</v>
      </c>
      <c r="G52" s="24"/>
      <c r="H52" s="24"/>
    </row>
    <row r="53" spans="1:8" ht="34.5">
      <c r="A53" s="31" t="s">
        <v>46</v>
      </c>
      <c r="B53" s="93">
        <v>6251715</v>
      </c>
      <c r="C53" s="93">
        <v>6460441</v>
      </c>
      <c r="D53" s="93">
        <v>7033669</v>
      </c>
      <c r="E53" s="160">
        <f t="shared" si="1"/>
        <v>781954</v>
      </c>
      <c r="F53" s="369">
        <f t="shared" si="2"/>
        <v>0.12507831850940102</v>
      </c>
      <c r="G53" s="24"/>
      <c r="H53" s="24"/>
    </row>
    <row r="54" spans="1:8" ht="34.5">
      <c r="A54" s="31" t="s">
        <v>47</v>
      </c>
      <c r="B54" s="93">
        <v>15931450</v>
      </c>
      <c r="C54" s="93">
        <v>16296642</v>
      </c>
      <c r="D54" s="93">
        <v>14266209</v>
      </c>
      <c r="E54" s="160">
        <f t="shared" si="1"/>
        <v>-1665241</v>
      </c>
      <c r="F54" s="369">
        <f t="shared" si="2"/>
        <v>-0.1045253884611884</v>
      </c>
      <c r="G54" s="24"/>
      <c r="H54" s="24"/>
    </row>
    <row r="55" spans="1:8" ht="35.25">
      <c r="A55" s="27" t="s">
        <v>48</v>
      </c>
      <c r="B55" s="94">
        <f>SUM(B47:B54)</f>
        <v>117145584</v>
      </c>
      <c r="C55" s="94">
        <f>SUM(C47:C54)</f>
        <v>118657716</v>
      </c>
      <c r="D55" s="94">
        <f>SUM(D47:D54)</f>
        <v>115727895</v>
      </c>
      <c r="E55" s="284">
        <f t="shared" si="1"/>
        <v>-1417689</v>
      </c>
      <c r="F55" s="390">
        <f t="shared" si="2"/>
        <v>-1.2101941461148036E-2</v>
      </c>
      <c r="G55" s="24"/>
      <c r="H55" s="24"/>
    </row>
    <row r="56" spans="1:8" ht="34.5">
      <c r="A56" s="31" t="s">
        <v>49</v>
      </c>
      <c r="B56" s="93"/>
      <c r="C56" s="93"/>
      <c r="D56" s="93"/>
      <c r="E56" s="98"/>
      <c r="F56" s="369" t="str">
        <f t="shared" si="2"/>
        <v xml:space="preserve">  </v>
      </c>
      <c r="G56" s="24"/>
      <c r="H56" s="24"/>
    </row>
    <row r="57" spans="1:8" ht="34.5">
      <c r="A57" s="31" t="s">
        <v>50</v>
      </c>
      <c r="B57" s="93"/>
      <c r="C57" s="93"/>
      <c r="D57" s="93"/>
      <c r="E57" s="159"/>
      <c r="F57" s="369" t="str">
        <f t="shared" si="2"/>
        <v xml:space="preserve">  </v>
      </c>
      <c r="G57" s="24"/>
      <c r="H57" s="24"/>
    </row>
    <row r="58" spans="1:8" ht="34.5">
      <c r="A58" s="31" t="s">
        <v>51</v>
      </c>
      <c r="B58" s="93">
        <v>5571294</v>
      </c>
      <c r="C58" s="93">
        <v>5571294</v>
      </c>
      <c r="D58" s="93">
        <v>4797306</v>
      </c>
      <c r="E58" s="396">
        <f>D58-B58</f>
        <v>-773988</v>
      </c>
      <c r="F58" s="369">
        <f t="shared" si="2"/>
        <v>-0.1389242786325762</v>
      </c>
      <c r="G58" s="24"/>
      <c r="H58" s="24"/>
    </row>
    <row r="59" spans="1:8" ht="34.5">
      <c r="A59" s="31" t="s">
        <v>52</v>
      </c>
      <c r="B59" s="93"/>
      <c r="C59" s="93"/>
      <c r="D59" s="93"/>
      <c r="E59" s="464"/>
      <c r="F59" s="369" t="str">
        <f t="shared" si="2"/>
        <v xml:space="preserve">  </v>
      </c>
      <c r="G59" s="24"/>
      <c r="H59" s="24"/>
    </row>
    <row r="60" spans="1:8" ht="35.25">
      <c r="A60" s="27" t="s">
        <v>53</v>
      </c>
      <c r="B60" s="94">
        <f>B59+B58+B57+B56+B55</f>
        <v>122716878</v>
      </c>
      <c r="C60" s="94">
        <f>C59+C58+C57+C56+C55</f>
        <v>124229010</v>
      </c>
      <c r="D60" s="94">
        <f>D59+D58+D57+D56+D55</f>
        <v>120525201</v>
      </c>
      <c r="E60" s="401">
        <f>D60-B60</f>
        <v>-2191677</v>
      </c>
      <c r="F60" s="390">
        <f t="shared" si="2"/>
        <v>-1.7859621559146902E-2</v>
      </c>
      <c r="G60" s="24"/>
      <c r="H60" s="24"/>
    </row>
    <row r="61" spans="1:8" ht="34.5">
      <c r="A61" s="28"/>
      <c r="B61" s="97"/>
      <c r="C61" s="97"/>
      <c r="D61" s="97"/>
      <c r="E61" s="98"/>
      <c r="F61" s="347" t="str">
        <f>IF(ISBLANK(E61),"  ",IF(C61&gt;0,E61/C61,IF(E61&gt;0,1,0)))</f>
        <v xml:space="preserve">  </v>
      </c>
      <c r="G61" s="24"/>
      <c r="H61" s="24"/>
    </row>
    <row r="62" spans="1:8" ht="35.25">
      <c r="A62" s="29" t="s">
        <v>54</v>
      </c>
      <c r="B62" s="98"/>
      <c r="C62" s="98"/>
      <c r="D62" s="98"/>
      <c r="E62" s="98"/>
      <c r="F62" s="347" t="str">
        <f>IF(ISBLANK(E62),"  ",IF(C62&gt;0,E62/C62,IF(E62&gt;0,1,0)))</f>
        <v xml:space="preserve">  </v>
      </c>
      <c r="G62" s="24"/>
      <c r="H62" s="24"/>
    </row>
    <row r="63" spans="1:8" ht="34.5">
      <c r="A63" s="30" t="s">
        <v>55</v>
      </c>
      <c r="B63" s="92">
        <v>68940831</v>
      </c>
      <c r="C63" s="92">
        <v>68975465</v>
      </c>
      <c r="D63" s="92">
        <v>68371512</v>
      </c>
      <c r="E63" s="396">
        <f t="shared" ref="E63:E72" si="3">D63-B63</f>
        <v>-569319</v>
      </c>
      <c r="F63" s="397">
        <f t="shared" ref="F63:F80" si="4">IF(ISBLANK(E63),"  ",IF(B63&gt;0,E63/B63,IF(E63&gt;0,1,0)))</f>
        <v>-8.2580814843963811E-3</v>
      </c>
      <c r="G63" s="24"/>
      <c r="H63" s="24"/>
    </row>
    <row r="64" spans="1:8" ht="34.5">
      <c r="A64" s="31" t="s">
        <v>56</v>
      </c>
      <c r="B64" s="93">
        <v>1685517</v>
      </c>
      <c r="C64" s="93">
        <v>1902488</v>
      </c>
      <c r="D64" s="93">
        <v>1663061</v>
      </c>
      <c r="E64" s="160">
        <f t="shared" si="3"/>
        <v>-22456</v>
      </c>
      <c r="F64" s="369">
        <f t="shared" si="4"/>
        <v>-1.3322915164901927E-2</v>
      </c>
      <c r="G64" s="24"/>
      <c r="H64" s="24"/>
    </row>
    <row r="65" spans="1:8" ht="34.5">
      <c r="A65" s="31" t="s">
        <v>57</v>
      </c>
      <c r="B65" s="93">
        <v>19706166</v>
      </c>
      <c r="C65" s="93">
        <v>19721051</v>
      </c>
      <c r="D65" s="93">
        <v>20178251</v>
      </c>
      <c r="E65" s="160">
        <f t="shared" si="3"/>
        <v>472085</v>
      </c>
      <c r="F65" s="369">
        <f t="shared" si="4"/>
        <v>2.3956207412441366E-2</v>
      </c>
      <c r="G65" s="24"/>
      <c r="H65" s="24"/>
    </row>
    <row r="66" spans="1:8" ht="35.25">
      <c r="A66" s="27" t="s">
        <v>58</v>
      </c>
      <c r="B66" s="99">
        <f>SUM(B63:B65)</f>
        <v>90332514</v>
      </c>
      <c r="C66" s="99">
        <f>SUM(C63:C65)</f>
        <v>90599004</v>
      </c>
      <c r="D66" s="99">
        <f>SUM(D63:D65)</f>
        <v>90212824</v>
      </c>
      <c r="E66" s="284">
        <f t="shared" si="3"/>
        <v>-119690</v>
      </c>
      <c r="F66" s="390">
        <f t="shared" si="4"/>
        <v>-1.324993567653835E-3</v>
      </c>
      <c r="G66" s="24"/>
      <c r="H66" s="24"/>
    </row>
    <row r="67" spans="1:8" ht="34.5">
      <c r="A67" s="31" t="s">
        <v>59</v>
      </c>
      <c r="B67" s="93">
        <v>970980</v>
      </c>
      <c r="C67" s="93">
        <v>1110988</v>
      </c>
      <c r="D67" s="93">
        <v>1049399</v>
      </c>
      <c r="E67" s="160">
        <f t="shared" si="3"/>
        <v>78419</v>
      </c>
      <c r="F67" s="369">
        <f t="shared" si="4"/>
        <v>8.076273455683948E-2</v>
      </c>
      <c r="G67" s="24"/>
      <c r="H67" s="24"/>
    </row>
    <row r="68" spans="1:8" ht="34.5">
      <c r="A68" s="31" t="s">
        <v>60</v>
      </c>
      <c r="B68" s="93">
        <v>10491714</v>
      </c>
      <c r="C68" s="93">
        <v>10922508</v>
      </c>
      <c r="D68" s="93">
        <v>10991815</v>
      </c>
      <c r="E68" s="160">
        <f t="shared" si="3"/>
        <v>500101</v>
      </c>
      <c r="F68" s="369">
        <f t="shared" si="4"/>
        <v>4.7666282172769865E-2</v>
      </c>
      <c r="G68" s="24"/>
      <c r="H68" s="24"/>
    </row>
    <row r="69" spans="1:8" ht="34.5">
      <c r="A69" s="31" t="s">
        <v>61</v>
      </c>
      <c r="B69" s="93">
        <v>3087785</v>
      </c>
      <c r="C69" s="93">
        <v>3204656</v>
      </c>
      <c r="D69" s="93">
        <v>1936159</v>
      </c>
      <c r="E69" s="160">
        <f t="shared" si="3"/>
        <v>-1151626</v>
      </c>
      <c r="F69" s="369">
        <f t="shared" si="4"/>
        <v>-0.37296184805613086</v>
      </c>
      <c r="G69" s="24"/>
      <c r="H69" s="24"/>
    </row>
    <row r="70" spans="1:8" ht="35.25">
      <c r="A70" s="32" t="s">
        <v>62</v>
      </c>
      <c r="B70" s="94">
        <f>SUM(B67:B69)</f>
        <v>14550479</v>
      </c>
      <c r="C70" s="94">
        <f>SUM(C67:C69)</f>
        <v>15238152</v>
      </c>
      <c r="D70" s="94">
        <f>SUM(D67:D69)</f>
        <v>13977373</v>
      </c>
      <c r="E70" s="284">
        <f t="shared" si="3"/>
        <v>-573106</v>
      </c>
      <c r="F70" s="390">
        <f t="shared" si="4"/>
        <v>-3.9387431850181703E-2</v>
      </c>
      <c r="G70" s="24"/>
      <c r="H70" s="24"/>
    </row>
    <row r="71" spans="1:8" ht="34.5">
      <c r="A71" s="31" t="s">
        <v>63</v>
      </c>
      <c r="B71" s="93">
        <v>940570</v>
      </c>
      <c r="C71" s="93">
        <v>1105565</v>
      </c>
      <c r="D71" s="93">
        <v>1216200</v>
      </c>
      <c r="E71" s="160">
        <f t="shared" si="3"/>
        <v>275630</v>
      </c>
      <c r="F71" s="369">
        <f t="shared" si="4"/>
        <v>0.29304570632701449</v>
      </c>
      <c r="G71" s="24"/>
      <c r="H71" s="24"/>
    </row>
    <row r="72" spans="1:8" ht="35.25">
      <c r="A72" s="31" t="s">
        <v>64</v>
      </c>
      <c r="B72" s="93">
        <v>6922203</v>
      </c>
      <c r="C72" s="93">
        <v>7144605</v>
      </c>
      <c r="D72" s="93">
        <v>7712500</v>
      </c>
      <c r="E72" s="284">
        <f t="shared" si="3"/>
        <v>790297</v>
      </c>
      <c r="F72" s="390">
        <f t="shared" si="4"/>
        <v>0.11416842297170424</v>
      </c>
      <c r="G72" s="24"/>
      <c r="H72" s="24"/>
    </row>
    <row r="73" spans="1:8" ht="34.5">
      <c r="A73" s="31" t="s">
        <v>65</v>
      </c>
      <c r="B73" s="93"/>
      <c r="C73" s="93"/>
      <c r="D73" s="93"/>
      <c r="E73" s="160"/>
      <c r="F73" s="369" t="str">
        <f t="shared" si="4"/>
        <v xml:space="preserve">  </v>
      </c>
      <c r="G73" s="24"/>
      <c r="H73" s="24"/>
    </row>
    <row r="74" spans="1:8" ht="34.5">
      <c r="A74" s="31" t="s">
        <v>66</v>
      </c>
      <c r="B74" s="93">
        <v>6387298</v>
      </c>
      <c r="C74" s="93">
        <v>6387298</v>
      </c>
      <c r="D74" s="93">
        <v>5762674</v>
      </c>
      <c r="E74" s="396">
        <f t="shared" ref="E74:E80" si="5">D74-B74</f>
        <v>-624624</v>
      </c>
      <c r="F74" s="369">
        <f t="shared" si="4"/>
        <v>-9.7791585737819028E-2</v>
      </c>
      <c r="G74" s="24"/>
      <c r="H74" s="24"/>
    </row>
    <row r="75" spans="1:8" ht="35.25">
      <c r="A75" s="32" t="s">
        <v>67</v>
      </c>
      <c r="B75" s="94">
        <f>SUM(B71:B74)</f>
        <v>14250071</v>
      </c>
      <c r="C75" s="94">
        <f>SUM(C71:C74)</f>
        <v>14637468</v>
      </c>
      <c r="D75" s="94">
        <f>SUM(D71:D74)</f>
        <v>14691374</v>
      </c>
      <c r="E75" s="284">
        <f t="shared" si="5"/>
        <v>441303</v>
      </c>
      <c r="F75" s="390">
        <f t="shared" si="4"/>
        <v>3.0968477279867589E-2</v>
      </c>
      <c r="G75" s="24"/>
      <c r="H75" s="24"/>
    </row>
    <row r="76" spans="1:8" ht="34.5">
      <c r="A76" s="31" t="s">
        <v>68</v>
      </c>
      <c r="B76" s="93">
        <v>1318122</v>
      </c>
      <c r="C76" s="93">
        <v>1396988</v>
      </c>
      <c r="D76" s="93">
        <v>741707</v>
      </c>
      <c r="E76" s="160">
        <f t="shared" si="5"/>
        <v>-576415</v>
      </c>
      <c r="F76" s="369">
        <f t="shared" si="4"/>
        <v>-0.43730018920858615</v>
      </c>
      <c r="G76" s="24"/>
      <c r="H76" s="24"/>
    </row>
    <row r="77" spans="1:8" ht="34.5">
      <c r="A77" s="31" t="s">
        <v>69</v>
      </c>
      <c r="B77" s="93">
        <v>1042489</v>
      </c>
      <c r="C77" s="93">
        <v>1042490</v>
      </c>
      <c r="D77" s="93">
        <v>797961</v>
      </c>
      <c r="E77" s="160">
        <f t="shared" si="5"/>
        <v>-244528</v>
      </c>
      <c r="F77" s="369">
        <f t="shared" si="4"/>
        <v>-0.23456170760554787</v>
      </c>
      <c r="G77" s="24"/>
      <c r="H77" s="24"/>
    </row>
    <row r="78" spans="1:8" ht="34.5">
      <c r="A78" s="31" t="s">
        <v>70</v>
      </c>
      <c r="B78" s="93">
        <v>1223204</v>
      </c>
      <c r="C78" s="93">
        <v>1314908</v>
      </c>
      <c r="D78" s="93">
        <v>103962</v>
      </c>
      <c r="E78" s="160">
        <f t="shared" si="5"/>
        <v>-1119242</v>
      </c>
      <c r="F78" s="369">
        <f t="shared" si="4"/>
        <v>-0.91500845320976709</v>
      </c>
      <c r="G78" s="24"/>
      <c r="H78" s="24"/>
    </row>
    <row r="79" spans="1:8" ht="35.25">
      <c r="A79" s="32" t="s">
        <v>71</v>
      </c>
      <c r="B79" s="94">
        <f>SUM(B76:B78)</f>
        <v>3583815</v>
      </c>
      <c r="C79" s="94">
        <f>SUM(C76:C78)</f>
        <v>3754386</v>
      </c>
      <c r="D79" s="94">
        <f>SUM(D76:D78)</f>
        <v>1643630</v>
      </c>
      <c r="E79" s="284">
        <f t="shared" si="5"/>
        <v>-1940185</v>
      </c>
      <c r="F79" s="390">
        <f t="shared" si="4"/>
        <v>-0.54137420597882424</v>
      </c>
      <c r="G79" s="24"/>
      <c r="H79" s="24"/>
    </row>
    <row r="80" spans="1:8" ht="36" thickBot="1">
      <c r="A80" s="27" t="s">
        <v>53</v>
      </c>
      <c r="B80" s="94">
        <f>B79+B75+B70+B66-1</f>
        <v>122716878</v>
      </c>
      <c r="C80" s="94">
        <f>C79+C75+C70+C66</f>
        <v>124229010</v>
      </c>
      <c r="D80" s="94">
        <f>D79+D75+D70+D66</f>
        <v>120525201</v>
      </c>
      <c r="E80" s="442">
        <f t="shared" si="5"/>
        <v>-2191677</v>
      </c>
      <c r="F80" s="348">
        <f t="shared" si="4"/>
        <v>-1.7859621559146902E-2</v>
      </c>
      <c r="G80" s="24"/>
      <c r="H80" s="24"/>
    </row>
    <row r="81" spans="1:8" ht="25.5">
      <c r="A81" s="34"/>
      <c r="B81" s="34"/>
      <c r="C81" s="34"/>
      <c r="D81" s="34"/>
      <c r="E81" s="463"/>
      <c r="F81" s="462" t="s">
        <v>35</v>
      </c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64" zoomScale="30" zoomScaleNormal="30" workbookViewId="0">
      <selection activeCell="E6" sqref="E6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33.77734375" style="332" customWidth="1"/>
    <col min="7" max="16384" width="8.88671875" style="16"/>
  </cols>
  <sheetData>
    <row r="1" spans="1:10" ht="45">
      <c r="A1" s="17" t="s">
        <v>0</v>
      </c>
      <c r="B1" s="18"/>
      <c r="C1" s="115"/>
      <c r="D1" s="142" t="s">
        <v>1</v>
      </c>
      <c r="E1" s="113" t="s">
        <v>285</v>
      </c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v>57765762</v>
      </c>
      <c r="C8" s="92">
        <v>57765762</v>
      </c>
      <c r="D8" s="92">
        <v>41777478</v>
      </c>
      <c r="E8" s="92">
        <f>D8-B8</f>
        <v>-15988284</v>
      </c>
      <c r="F8" s="397">
        <f>IF(ISBLANK(E8),"  ",IF(B8&gt;0,E8/B8,IF(E8&gt;0,1,0)))</f>
        <v>-0.27677786021415246</v>
      </c>
      <c r="G8" s="24"/>
      <c r="H8" s="24"/>
      <c r="I8" s="24"/>
      <c r="J8" s="24"/>
    </row>
    <row r="9" spans="1:10" ht="34.5">
      <c r="A9" s="31" t="s">
        <v>87</v>
      </c>
      <c r="B9" s="93">
        <v>0</v>
      </c>
      <c r="C9" s="93">
        <v>0</v>
      </c>
      <c r="D9" s="93">
        <v>3441148</v>
      </c>
      <c r="E9" s="93">
        <f>D9-C9</f>
        <v>3441148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1" t="s">
        <v>15</v>
      </c>
      <c r="B10" s="93">
        <f>SUM(B11:B25)</f>
        <v>2366015</v>
      </c>
      <c r="C10" s="93">
        <f>SUM(C11:C25)</f>
        <v>2439416</v>
      </c>
      <c r="D10" s="93">
        <f>SUM(D11:D25)</f>
        <v>2401530</v>
      </c>
      <c r="E10" s="160">
        <f>D10-B10</f>
        <v>35515</v>
      </c>
      <c r="F10" s="369">
        <f t="shared" si="0"/>
        <v>1.5010471193124304E-2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291105</v>
      </c>
      <c r="E11" s="160">
        <f>D11-B11</f>
        <v>291105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2366015</v>
      </c>
      <c r="C12" s="93">
        <v>2439416</v>
      </c>
      <c r="D12" s="93">
        <v>2110425</v>
      </c>
      <c r="E12" s="458">
        <f>D12-B12</f>
        <v>-255590</v>
      </c>
      <c r="F12" s="369">
        <f t="shared" si="0"/>
        <v>-0.10802551970296047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10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10" ht="34.5">
      <c r="A25" s="31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10" ht="35.25">
      <c r="A26" s="32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10" ht="34.5">
      <c r="A27" s="31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10" ht="35.25">
      <c r="A28" s="32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10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10" ht="34.5">
      <c r="A30" s="31" t="s">
        <v>32</v>
      </c>
      <c r="B30" s="93"/>
      <c r="C30" s="93"/>
      <c r="D30" s="93"/>
      <c r="E30" s="160"/>
      <c r="F30" s="369" t="str">
        <f t="shared" si="0"/>
        <v xml:space="preserve">  </v>
      </c>
      <c r="G30" s="24"/>
      <c r="H30" s="24"/>
    </row>
    <row r="31" spans="1:10" ht="35.25">
      <c r="A31" s="32" t="s">
        <v>33</v>
      </c>
      <c r="B31" s="94">
        <f>B30+B29+B27+B10+B9+B8</f>
        <v>60131777</v>
      </c>
      <c r="C31" s="94">
        <f>C30+C29+C27+C10+C9+C8</f>
        <v>60205178</v>
      </c>
      <c r="D31" s="94">
        <f>D30+D29+D27+D10+D9+D8</f>
        <v>47620156</v>
      </c>
      <c r="E31" s="299">
        <f>D31-B31</f>
        <v>-12511621</v>
      </c>
      <c r="F31" s="344">
        <f t="shared" si="0"/>
        <v>-0.20807003591462131</v>
      </c>
      <c r="G31" s="24"/>
      <c r="H31" s="24"/>
    </row>
    <row r="32" spans="1:10" ht="35.25">
      <c r="A32" s="32"/>
      <c r="B32" s="93"/>
      <c r="C32" s="93"/>
      <c r="D32" s="93"/>
      <c r="E32" s="93"/>
      <c r="F32" s="343" t="str">
        <f>IF(ISBLANK(E32),"  ",IF(C32&gt;0,E32/C32,IF(E32&gt;0,1,0)))</f>
        <v xml:space="preserve">  </v>
      </c>
      <c r="G32" s="24"/>
      <c r="H32" s="24"/>
    </row>
    <row r="33" spans="1:8" ht="35.25">
      <c r="A33" s="33" t="s">
        <v>34</v>
      </c>
      <c r="B33" s="95"/>
      <c r="C33" s="95"/>
      <c r="D33" s="95"/>
      <c r="E33" s="95"/>
      <c r="F33" s="345" t="str">
        <f>IF(ISBLANK(E33),"  ",IF(B33&gt;0,E33/B33,IF(E33&gt;0,1,0)))</f>
        <v xml:space="preserve">  </v>
      </c>
      <c r="G33" s="24"/>
      <c r="H33" s="24"/>
    </row>
    <row r="34" spans="1:8" ht="35.25">
      <c r="A34" s="31" t="s">
        <v>35</v>
      </c>
      <c r="B34" s="94"/>
      <c r="C34" s="94"/>
      <c r="D34" s="94"/>
      <c r="E34" s="94"/>
      <c r="F34" s="344" t="str">
        <f>IF(ISBLANK(E34),"  ",IF(C34&gt;0,E34/C34,IF(E34&gt;0,1,0)))</f>
        <v xml:space="preserve">  </v>
      </c>
      <c r="G34" s="24"/>
      <c r="H34" s="24"/>
    </row>
    <row r="35" spans="1:8" ht="35.25">
      <c r="A35" s="33" t="s">
        <v>36</v>
      </c>
      <c r="B35" s="95"/>
      <c r="C35" s="95"/>
      <c r="D35" s="95"/>
      <c r="E35" s="95"/>
      <c r="F35" s="345" t="str">
        <f>IF(ISBLANK(E35),"  ",IF(B35&gt;0,E35/B35,IF(E35&gt;0,1,0)))</f>
        <v xml:space="preserve">  </v>
      </c>
      <c r="G35" s="24"/>
      <c r="H35" s="24"/>
    </row>
    <row r="36" spans="1:8" ht="35.25">
      <c r="A36" s="32" t="s">
        <v>35</v>
      </c>
      <c r="B36" s="94"/>
      <c r="C36" s="94"/>
      <c r="D36" s="94"/>
      <c r="E36" s="94"/>
      <c r="F36" s="344" t="str">
        <f>IF(ISBLANK(E36),"  ",IF(C36&gt;0,E36/C36,IF(E36&gt;0,1,0)))</f>
        <v xml:space="preserve">  </v>
      </c>
      <c r="G36" s="24"/>
      <c r="H36" s="24"/>
    </row>
    <row r="37" spans="1:8" ht="35.25">
      <c r="A37" s="33" t="s">
        <v>88</v>
      </c>
      <c r="B37" s="95">
        <v>0</v>
      </c>
      <c r="C37" s="95">
        <v>0</v>
      </c>
      <c r="D37" s="95">
        <v>8049267</v>
      </c>
      <c r="E37" s="299">
        <f>D37-B37</f>
        <v>8049267</v>
      </c>
      <c r="F37" s="345">
        <f>IF(ISBLANK(E37),"  ",IF(B37&gt;0,E37/B37,IF(E37&gt;0,1,0)))</f>
        <v>1</v>
      </c>
      <c r="G37" s="24"/>
      <c r="H37" s="24"/>
    </row>
    <row r="38" spans="1:8" ht="35.25">
      <c r="A38" s="31" t="s">
        <v>35</v>
      </c>
      <c r="B38" s="94"/>
      <c r="C38" s="94"/>
      <c r="D38" s="94"/>
      <c r="E38" s="94"/>
      <c r="F38" s="344" t="str">
        <f>IF(ISBLANK(E38),"  ",IF(C38&gt;0,E38/C38,IF(E38&gt;0,1,0)))</f>
        <v xml:space="preserve">  </v>
      </c>
      <c r="G38" s="24"/>
      <c r="H38" s="24"/>
    </row>
    <row r="39" spans="1:8" ht="35.25">
      <c r="A39" s="33" t="s">
        <v>37</v>
      </c>
      <c r="B39" s="95">
        <v>35553797</v>
      </c>
      <c r="C39" s="95">
        <v>41310617</v>
      </c>
      <c r="D39" s="95">
        <v>43932617</v>
      </c>
      <c r="E39" s="299">
        <f>D39-B39</f>
        <v>8378820</v>
      </c>
      <c r="F39" s="345">
        <f>IF(ISBLANK(E39),"  ",IF(B39&gt;0,E39/B39,IF(E39&gt;0,1,0)))</f>
        <v>0.23566596839150541</v>
      </c>
      <c r="G39" s="24"/>
      <c r="H39" s="24"/>
    </row>
    <row r="40" spans="1:8" ht="35.25">
      <c r="A40" s="31" t="s">
        <v>35</v>
      </c>
      <c r="B40" s="94"/>
      <c r="C40" s="94"/>
      <c r="D40" s="94"/>
      <c r="E40" s="94"/>
      <c r="F40" s="344" t="str">
        <f>IF(ISBLANK(E40),"  ",IF(C40&gt;0,E40/C40,IF(E40&gt;0,1,0)))</f>
        <v xml:space="preserve">  </v>
      </c>
      <c r="G40" s="24"/>
      <c r="H40" s="24"/>
    </row>
    <row r="41" spans="1:8" ht="35.25">
      <c r="A41" s="33" t="s">
        <v>38</v>
      </c>
      <c r="B41" s="95"/>
      <c r="C41" s="95"/>
      <c r="D41" s="95"/>
      <c r="E41" s="9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31"/>
      <c r="B42" s="94"/>
      <c r="C42" s="94"/>
      <c r="D42" s="94"/>
      <c r="E42" s="94"/>
      <c r="F42" s="344" t="str">
        <f>IF(ISBLANK(E42),"  ",IF(C42&gt;0,E42/C42,IF(E42&gt;0,1,0)))</f>
        <v xml:space="preserve">  </v>
      </c>
      <c r="G42" s="24"/>
      <c r="H42" s="24"/>
    </row>
    <row r="43" spans="1:8" ht="35.25">
      <c r="A43" s="29" t="s">
        <v>39</v>
      </c>
      <c r="B43" s="96">
        <f>B41+B39+B37+B35+B31</f>
        <v>95685574</v>
      </c>
      <c r="C43" s="96">
        <f>C41+C39+C37+C35+C31</f>
        <v>101515795</v>
      </c>
      <c r="D43" s="96">
        <f>D41+D39+D37+D35+D31</f>
        <v>99602040</v>
      </c>
      <c r="E43" s="299">
        <f>D43-B43</f>
        <v>3916466</v>
      </c>
      <c r="F43" s="345">
        <f>IF(ISBLANK(E43),"  ",IF(B43&gt;0,E43/B43,IF(E43&gt;0,1,0)))</f>
        <v>4.093057956677984E-2</v>
      </c>
      <c r="G43" s="24"/>
      <c r="H43" s="24"/>
    </row>
    <row r="44" spans="1:8" ht="34.5">
      <c r="A44" s="28"/>
      <c r="B44" s="97"/>
      <c r="C44" s="97"/>
      <c r="D44" s="97"/>
      <c r="E44" s="97"/>
      <c r="F44" s="346" t="str">
        <f>IF(ISBLANK(E44),"  ",IF(C44&gt;0,E44/C44,IF(E44&gt;0,1,0)))</f>
        <v xml:space="preserve">  </v>
      </c>
      <c r="G44" s="24"/>
      <c r="H44" s="24"/>
    </row>
    <row r="45" spans="1:8" ht="34.5">
      <c r="A45" s="25"/>
      <c r="B45" s="98"/>
      <c r="C45" s="98"/>
      <c r="D45" s="98"/>
      <c r="E45" s="98"/>
      <c r="F45" s="347" t="str">
        <f>IF(ISBLANK(E45),"  ",IF(C45&gt;0,E45/C45,IF(E45&gt;0,1,0)))</f>
        <v xml:space="preserve">  </v>
      </c>
      <c r="G45" s="24"/>
      <c r="H45" s="24"/>
    </row>
    <row r="46" spans="1:8" ht="35.25">
      <c r="A46" s="29" t="s">
        <v>40</v>
      </c>
      <c r="B46" s="98"/>
      <c r="C46" s="98"/>
      <c r="D46" s="98"/>
      <c r="E46" s="98"/>
      <c r="F46" s="347" t="str">
        <f>IF(ISBLANK(E46),"  ",IF(C46&gt;0,E46/C46,IF(E46&gt;0,1,0)))</f>
        <v xml:space="preserve">  </v>
      </c>
      <c r="G46" s="24"/>
      <c r="H46" s="24"/>
    </row>
    <row r="47" spans="1:8" ht="34.5">
      <c r="A47" s="30" t="s">
        <v>41</v>
      </c>
      <c r="B47" s="92">
        <v>35480420</v>
      </c>
      <c r="C47" s="92">
        <v>39912718</v>
      </c>
      <c r="D47" s="92">
        <v>39541806</v>
      </c>
      <c r="E47" s="396">
        <f t="shared" ref="E47:E55" si="1">D47-B47</f>
        <v>4061386</v>
      </c>
      <c r="F47" s="397">
        <f t="shared" ref="F47:F60" si="2">IF(ISBLANK(E47),"  ",IF(B47&gt;0,E47/B47,IF(E47&gt;0,1,0)))</f>
        <v>0.11446837438790183</v>
      </c>
      <c r="G47" s="24"/>
      <c r="H47" s="24"/>
    </row>
    <row r="48" spans="1:8" ht="34.5">
      <c r="A48" s="31" t="s">
        <v>42</v>
      </c>
      <c r="B48" s="93">
        <v>11180842</v>
      </c>
      <c r="C48" s="93">
        <v>12163627</v>
      </c>
      <c r="D48" s="93">
        <v>11688499</v>
      </c>
      <c r="E48" s="160">
        <f t="shared" si="1"/>
        <v>507657</v>
      </c>
      <c r="F48" s="369">
        <f t="shared" si="2"/>
        <v>4.5404183334314174E-2</v>
      </c>
      <c r="G48" s="24"/>
      <c r="H48" s="24"/>
    </row>
    <row r="49" spans="1:8" ht="34.5">
      <c r="A49" s="31" t="s">
        <v>43</v>
      </c>
      <c r="B49" s="93">
        <v>195598</v>
      </c>
      <c r="C49" s="93">
        <v>260712</v>
      </c>
      <c r="D49" s="93">
        <v>214947</v>
      </c>
      <c r="E49" s="160">
        <f t="shared" si="1"/>
        <v>19349</v>
      </c>
      <c r="F49" s="369">
        <f t="shared" si="2"/>
        <v>9.8922279368909696E-2</v>
      </c>
      <c r="G49" s="24"/>
      <c r="H49" s="24"/>
    </row>
    <row r="50" spans="1:8" ht="34.5">
      <c r="A50" s="31" t="s">
        <v>44</v>
      </c>
      <c r="B50" s="93">
        <v>10583704</v>
      </c>
      <c r="C50" s="93">
        <v>11366715</v>
      </c>
      <c r="D50" s="93">
        <v>10643730</v>
      </c>
      <c r="E50" s="160">
        <f t="shared" si="1"/>
        <v>60026</v>
      </c>
      <c r="F50" s="369">
        <f t="shared" si="2"/>
        <v>5.6715493932936898E-3</v>
      </c>
      <c r="G50" s="24"/>
      <c r="H50" s="24"/>
    </row>
    <row r="51" spans="1:8" ht="34.5">
      <c r="A51" s="31" t="s">
        <v>45</v>
      </c>
      <c r="B51" s="93">
        <v>4170606</v>
      </c>
      <c r="C51" s="93">
        <v>4655492</v>
      </c>
      <c r="D51" s="93">
        <v>3598764</v>
      </c>
      <c r="E51" s="160">
        <f t="shared" si="1"/>
        <v>-571842</v>
      </c>
      <c r="F51" s="369">
        <f t="shared" si="2"/>
        <v>-0.1371124484067783</v>
      </c>
      <c r="G51" s="24"/>
      <c r="H51" s="24"/>
    </row>
    <row r="52" spans="1:8" ht="34.5">
      <c r="A52" s="31" t="s">
        <v>74</v>
      </c>
      <c r="B52" s="93">
        <v>8775295</v>
      </c>
      <c r="C52" s="93">
        <v>9155732</v>
      </c>
      <c r="D52" s="93">
        <v>8997761</v>
      </c>
      <c r="E52" s="160">
        <f t="shared" si="1"/>
        <v>222466</v>
      </c>
      <c r="F52" s="369">
        <f t="shared" si="2"/>
        <v>2.5351398443015306E-2</v>
      </c>
      <c r="G52" s="24"/>
      <c r="H52" s="24"/>
    </row>
    <row r="53" spans="1:8" ht="34.5">
      <c r="A53" s="31" t="s">
        <v>46</v>
      </c>
      <c r="B53" s="93">
        <v>9405004</v>
      </c>
      <c r="C53" s="93">
        <v>7861847</v>
      </c>
      <c r="D53" s="93">
        <v>8789872</v>
      </c>
      <c r="E53" s="160">
        <f t="shared" si="1"/>
        <v>-615132</v>
      </c>
      <c r="F53" s="369">
        <f t="shared" si="2"/>
        <v>-6.5404756871980066E-2</v>
      </c>
      <c r="G53" s="24"/>
      <c r="H53" s="24"/>
    </row>
    <row r="54" spans="1:8" ht="34.5">
      <c r="A54" s="31" t="s">
        <v>47</v>
      </c>
      <c r="B54" s="93">
        <v>10606422</v>
      </c>
      <c r="C54" s="93">
        <v>11136786</v>
      </c>
      <c r="D54" s="93">
        <v>11374495</v>
      </c>
      <c r="E54" s="160">
        <f t="shared" si="1"/>
        <v>768073</v>
      </c>
      <c r="F54" s="369">
        <f t="shared" si="2"/>
        <v>7.2415843910415778E-2</v>
      </c>
      <c r="G54" s="24"/>
      <c r="H54" s="24"/>
    </row>
    <row r="55" spans="1:8" ht="35.25">
      <c r="A55" s="27" t="s">
        <v>48</v>
      </c>
      <c r="B55" s="94">
        <f>SUM(B47:B54)</f>
        <v>90397891</v>
      </c>
      <c r="C55" s="94">
        <f>SUM(C47:C54)</f>
        <v>96513629</v>
      </c>
      <c r="D55" s="94">
        <f>SUM(D47:D54)</f>
        <v>94849874</v>
      </c>
      <c r="E55" s="297">
        <f t="shared" si="1"/>
        <v>4451983</v>
      </c>
      <c r="F55" s="390">
        <f t="shared" si="2"/>
        <v>4.9248748513391755E-2</v>
      </c>
      <c r="G55" s="24"/>
      <c r="H55" s="24"/>
    </row>
    <row r="56" spans="1:8" ht="34.5">
      <c r="A56" s="31" t="s">
        <v>49</v>
      </c>
      <c r="B56" s="93"/>
      <c r="C56" s="93"/>
      <c r="D56" s="93"/>
      <c r="E56" s="97"/>
      <c r="F56" s="369" t="str">
        <f t="shared" si="2"/>
        <v xml:space="preserve">  </v>
      </c>
      <c r="G56" s="24"/>
      <c r="H56" s="24"/>
    </row>
    <row r="57" spans="1:8" ht="34.5">
      <c r="A57" s="31" t="s">
        <v>50</v>
      </c>
      <c r="B57" s="93"/>
      <c r="C57" s="93"/>
      <c r="D57" s="93"/>
      <c r="E57" s="159"/>
      <c r="F57" s="369" t="str">
        <f t="shared" si="2"/>
        <v xml:space="preserve">  </v>
      </c>
      <c r="G57" s="24"/>
      <c r="H57" s="24"/>
    </row>
    <row r="58" spans="1:8" ht="34.5">
      <c r="A58" s="31" t="s">
        <v>51</v>
      </c>
      <c r="B58" s="93">
        <v>5297661</v>
      </c>
      <c r="C58" s="93">
        <v>4662661</v>
      </c>
      <c r="D58" s="93">
        <v>4412661</v>
      </c>
      <c r="E58" s="396">
        <f>D58-B58</f>
        <v>-885000</v>
      </c>
      <c r="F58" s="369">
        <f t="shared" si="2"/>
        <v>-0.16705485685097632</v>
      </c>
      <c r="G58" s="24"/>
      <c r="H58" s="24"/>
    </row>
    <row r="59" spans="1:8" ht="34.5">
      <c r="A59" s="31" t="s">
        <v>52</v>
      </c>
      <c r="B59" s="93">
        <v>-9978</v>
      </c>
      <c r="C59" s="93">
        <v>339505</v>
      </c>
      <c r="D59" s="93">
        <v>339505</v>
      </c>
      <c r="E59" s="160">
        <f>D59-B59</f>
        <v>349483</v>
      </c>
      <c r="F59" s="369">
        <f t="shared" si="2"/>
        <v>1</v>
      </c>
      <c r="G59" s="24"/>
      <c r="H59" s="24"/>
    </row>
    <row r="60" spans="1:8" ht="35.25">
      <c r="A60" s="27" t="s">
        <v>53</v>
      </c>
      <c r="B60" s="94">
        <f>B59+B58+B57+B56+B55</f>
        <v>95685574</v>
      </c>
      <c r="C60" s="94">
        <f>C59+C58+C57+C56+C55</f>
        <v>101515795</v>
      </c>
      <c r="D60" s="94">
        <f>D59+D58+D57+D56+D55</f>
        <v>99602040</v>
      </c>
      <c r="E60" s="299">
        <f>D60-B60</f>
        <v>3916466</v>
      </c>
      <c r="F60" s="344">
        <f t="shared" si="2"/>
        <v>4.093057956677984E-2</v>
      </c>
      <c r="G60" s="24"/>
      <c r="H60" s="24"/>
    </row>
    <row r="61" spans="1:8" ht="34.5">
      <c r="A61" s="28"/>
      <c r="B61" s="97"/>
      <c r="C61" s="97"/>
      <c r="D61" s="97"/>
      <c r="E61" s="97"/>
      <c r="F61" s="346" t="str">
        <f>IF(ISBLANK(E61),"  ",IF(C61&gt;0,E61/C61,IF(E61&gt;0,1,0)))</f>
        <v xml:space="preserve">  </v>
      </c>
      <c r="G61" s="24"/>
      <c r="H61" s="24"/>
    </row>
    <row r="62" spans="1:8" ht="35.25">
      <c r="A62" s="29" t="s">
        <v>54</v>
      </c>
      <c r="B62" s="98"/>
      <c r="C62" s="98"/>
      <c r="D62" s="98"/>
      <c r="E62" s="98"/>
      <c r="F62" s="347" t="str">
        <f>IF(ISBLANK(E62),"  ",IF(C62&gt;0,E62/C62,IF(E62&gt;0,1,0)))</f>
        <v xml:space="preserve">  </v>
      </c>
      <c r="G62" s="24"/>
      <c r="H62" s="24"/>
    </row>
    <row r="63" spans="1:8" ht="34.5">
      <c r="A63" s="30" t="s">
        <v>55</v>
      </c>
      <c r="B63" s="92">
        <v>51445572</v>
      </c>
      <c r="C63" s="92">
        <v>52417059</v>
      </c>
      <c r="D63" s="92">
        <v>49692172</v>
      </c>
      <c r="E63" s="396">
        <f t="shared" ref="E63:E80" si="3">D63-B63</f>
        <v>-1753400</v>
      </c>
      <c r="F63" s="397">
        <f t="shared" ref="F63:F80" si="4">IF(ISBLANK(E63),"  ",IF(B63&gt;0,E63/B63,IF(E63&gt;0,1,0)))</f>
        <v>-3.4082622310040597E-2</v>
      </c>
      <c r="G63" s="24"/>
      <c r="H63" s="24"/>
    </row>
    <row r="64" spans="1:8" ht="34.5">
      <c r="A64" s="31" t="s">
        <v>56</v>
      </c>
      <c r="B64" s="93">
        <v>1598346</v>
      </c>
      <c r="C64" s="93">
        <v>1896309</v>
      </c>
      <c r="D64" s="93">
        <v>1841799</v>
      </c>
      <c r="E64" s="160">
        <f t="shared" si="3"/>
        <v>243453</v>
      </c>
      <c r="F64" s="369">
        <f t="shared" si="4"/>
        <v>0.15231558123209868</v>
      </c>
      <c r="G64" s="24"/>
      <c r="H64" s="24"/>
    </row>
    <row r="65" spans="1:8" ht="34.5">
      <c r="A65" s="31" t="s">
        <v>57</v>
      </c>
      <c r="B65" s="93">
        <v>15283626</v>
      </c>
      <c r="C65" s="93">
        <v>16527135</v>
      </c>
      <c r="D65" s="93">
        <v>16064555</v>
      </c>
      <c r="E65" s="160">
        <f t="shared" si="3"/>
        <v>780929</v>
      </c>
      <c r="F65" s="369">
        <f t="shared" si="4"/>
        <v>5.1095793629077291E-2</v>
      </c>
      <c r="G65" s="24"/>
      <c r="H65" s="24"/>
    </row>
    <row r="66" spans="1:8" ht="35.25">
      <c r="A66" s="27" t="s">
        <v>58</v>
      </c>
      <c r="B66" s="99">
        <f>SUM(B63:B65)</f>
        <v>68327544</v>
      </c>
      <c r="C66" s="99">
        <f>SUM(C63:C65)</f>
        <v>70840503</v>
      </c>
      <c r="D66" s="99">
        <f>SUM(D63:D65)</f>
        <v>67598526</v>
      </c>
      <c r="E66" s="284">
        <f t="shared" si="3"/>
        <v>-729018</v>
      </c>
      <c r="F66" s="390">
        <f t="shared" si="4"/>
        <v>-1.0669460035033601E-2</v>
      </c>
      <c r="G66" s="24"/>
      <c r="H66" s="24"/>
    </row>
    <row r="67" spans="1:8" ht="34.5">
      <c r="A67" s="31" t="s">
        <v>59</v>
      </c>
      <c r="B67" s="93">
        <v>388817</v>
      </c>
      <c r="C67" s="93">
        <v>507203</v>
      </c>
      <c r="D67" s="93">
        <v>388893</v>
      </c>
      <c r="E67" s="160">
        <f t="shared" si="3"/>
        <v>76</v>
      </c>
      <c r="F67" s="369">
        <f t="shared" si="4"/>
        <v>1.9546470447537017E-4</v>
      </c>
      <c r="G67" s="24"/>
      <c r="H67" s="24"/>
    </row>
    <row r="68" spans="1:8" ht="34.5">
      <c r="A68" s="31" t="s">
        <v>60</v>
      </c>
      <c r="B68" s="93">
        <v>6103761</v>
      </c>
      <c r="C68" s="93">
        <v>6654815</v>
      </c>
      <c r="D68" s="93">
        <v>6393609</v>
      </c>
      <c r="E68" s="160">
        <f t="shared" si="3"/>
        <v>289848</v>
      </c>
      <c r="F68" s="369">
        <f t="shared" si="4"/>
        <v>4.7486787244782357E-2</v>
      </c>
      <c r="G68" s="24"/>
      <c r="H68" s="24"/>
    </row>
    <row r="69" spans="1:8" ht="34.5">
      <c r="A69" s="31" t="s">
        <v>61</v>
      </c>
      <c r="B69" s="93">
        <v>1921316</v>
      </c>
      <c r="C69" s="93">
        <v>1891298</v>
      </c>
      <c r="D69" s="93">
        <v>1727400</v>
      </c>
      <c r="E69" s="160">
        <f t="shared" si="3"/>
        <v>-193916</v>
      </c>
      <c r="F69" s="369">
        <f t="shared" si="4"/>
        <v>-0.10092873842720303</v>
      </c>
      <c r="G69" s="24"/>
      <c r="H69" s="24"/>
    </row>
    <row r="70" spans="1:8" ht="35.25">
      <c r="A70" s="32" t="s">
        <v>62</v>
      </c>
      <c r="B70" s="94">
        <f>SUM(B67:B69)</f>
        <v>8413894</v>
      </c>
      <c r="C70" s="94">
        <v>9053316</v>
      </c>
      <c r="D70" s="94">
        <f>SUM(D67:D69)</f>
        <v>8509902</v>
      </c>
      <c r="E70" s="284">
        <f t="shared" si="3"/>
        <v>96008</v>
      </c>
      <c r="F70" s="390">
        <f t="shared" si="4"/>
        <v>1.1410650050975208E-2</v>
      </c>
      <c r="G70" s="24"/>
      <c r="H70" s="24"/>
    </row>
    <row r="71" spans="1:8" ht="34.5">
      <c r="A71" s="31" t="s">
        <v>63</v>
      </c>
      <c r="B71" s="93">
        <v>160271</v>
      </c>
      <c r="C71" s="93">
        <v>212920</v>
      </c>
      <c r="D71" s="93">
        <v>177920</v>
      </c>
      <c r="E71" s="160">
        <f t="shared" si="3"/>
        <v>17649</v>
      </c>
      <c r="F71" s="369">
        <f t="shared" si="4"/>
        <v>0.11011973469935298</v>
      </c>
      <c r="G71" s="24"/>
      <c r="H71" s="24"/>
    </row>
    <row r="72" spans="1:8" ht="34.5">
      <c r="A72" s="31" t="s">
        <v>64</v>
      </c>
      <c r="B72" s="93">
        <v>15296801</v>
      </c>
      <c r="C72" s="93">
        <v>12690995</v>
      </c>
      <c r="D72" s="93">
        <v>13551657</v>
      </c>
      <c r="E72" s="160">
        <f t="shared" si="3"/>
        <v>-1745144</v>
      </c>
      <c r="F72" s="369">
        <f t="shared" si="4"/>
        <v>-0.11408555292050933</v>
      </c>
      <c r="G72" s="24"/>
      <c r="H72" s="24"/>
    </row>
    <row r="73" spans="1:8" ht="34.5">
      <c r="A73" s="31" t="s">
        <v>65</v>
      </c>
      <c r="B73" s="93">
        <v>1041</v>
      </c>
      <c r="C73" s="93">
        <v>0</v>
      </c>
      <c r="D73" s="93">
        <v>0</v>
      </c>
      <c r="E73" s="160">
        <f t="shared" si="3"/>
        <v>-1041</v>
      </c>
      <c r="F73" s="369">
        <f t="shared" si="4"/>
        <v>-1</v>
      </c>
      <c r="G73" s="24"/>
      <c r="H73" s="24"/>
    </row>
    <row r="74" spans="1:8" ht="34.5">
      <c r="A74" s="31" t="s">
        <v>66</v>
      </c>
      <c r="B74" s="93">
        <v>2035677</v>
      </c>
      <c r="C74" s="93">
        <v>2039354</v>
      </c>
      <c r="D74" s="93">
        <v>2726030</v>
      </c>
      <c r="E74" s="160">
        <f t="shared" si="3"/>
        <v>690353</v>
      </c>
      <c r="F74" s="369">
        <f t="shared" si="4"/>
        <v>0.33912698330825569</v>
      </c>
      <c r="G74" s="24"/>
      <c r="H74" s="24"/>
    </row>
    <row r="75" spans="1:8" ht="35.25">
      <c r="A75" s="32" t="s">
        <v>67</v>
      </c>
      <c r="B75" s="94">
        <f>SUM(B71:B74)</f>
        <v>17493790</v>
      </c>
      <c r="C75" s="94">
        <f>SUM(C71:C74)</f>
        <v>14943269</v>
      </c>
      <c r="D75" s="94">
        <f>SUM(D71:D74)</f>
        <v>16455607</v>
      </c>
      <c r="E75" s="284">
        <f t="shared" si="3"/>
        <v>-1038183</v>
      </c>
      <c r="F75" s="390">
        <f t="shared" si="4"/>
        <v>-5.9345802138930447E-2</v>
      </c>
      <c r="G75" s="24"/>
      <c r="H75" s="24"/>
    </row>
    <row r="76" spans="1:8" ht="34.5">
      <c r="A76" s="31" t="s">
        <v>68</v>
      </c>
      <c r="B76" s="93">
        <v>412352</v>
      </c>
      <c r="C76" s="93">
        <v>5566495</v>
      </c>
      <c r="D76" s="93">
        <v>6107716</v>
      </c>
      <c r="E76" s="160">
        <f t="shared" si="3"/>
        <v>5695364</v>
      </c>
      <c r="F76" s="369">
        <f t="shared" si="4"/>
        <v>13.811898572093746</v>
      </c>
      <c r="G76" s="24"/>
      <c r="H76" s="24"/>
    </row>
    <row r="77" spans="1:8" ht="34.5">
      <c r="A77" s="31" t="s">
        <v>69</v>
      </c>
      <c r="B77" s="93">
        <v>1037994</v>
      </c>
      <c r="C77" s="93">
        <v>1112212</v>
      </c>
      <c r="D77" s="93">
        <v>930289</v>
      </c>
      <c r="E77" s="160">
        <f t="shared" si="3"/>
        <v>-107705</v>
      </c>
      <c r="F77" s="369">
        <f t="shared" si="4"/>
        <v>-0.10376264217326882</v>
      </c>
      <c r="G77" s="24"/>
      <c r="H77" s="24"/>
    </row>
    <row r="78" spans="1:8" ht="34.5">
      <c r="A78" s="31" t="s">
        <v>70</v>
      </c>
      <c r="B78" s="93"/>
      <c r="C78" s="93"/>
      <c r="D78" s="93"/>
      <c r="E78" s="160">
        <f t="shared" si="3"/>
        <v>0</v>
      </c>
      <c r="F78" s="369">
        <f t="shared" si="4"/>
        <v>0</v>
      </c>
      <c r="G78" s="24"/>
      <c r="H78" s="24"/>
    </row>
    <row r="79" spans="1:8" ht="35.25">
      <c r="A79" s="32" t="s">
        <v>71</v>
      </c>
      <c r="B79" s="94">
        <f>SUM(B76:B78)</f>
        <v>1450346</v>
      </c>
      <c r="C79" s="94">
        <f>SUM(C76:C78)</f>
        <v>6678707</v>
      </c>
      <c r="D79" s="94">
        <f>SUM(D76:D78)</f>
        <v>7038005</v>
      </c>
      <c r="E79" s="284">
        <f t="shared" si="3"/>
        <v>5587659</v>
      </c>
      <c r="F79" s="390">
        <f t="shared" si="4"/>
        <v>3.8526386117519542</v>
      </c>
      <c r="G79" s="24"/>
      <c r="H79" s="24"/>
    </row>
    <row r="80" spans="1:8" ht="36" thickBot="1">
      <c r="A80" s="27" t="s">
        <v>53</v>
      </c>
      <c r="B80" s="94">
        <f>B79+B75+B70+B66</f>
        <v>95685574</v>
      </c>
      <c r="C80" s="94">
        <f>C79+C75+C70+C66</f>
        <v>101515795</v>
      </c>
      <c r="D80" s="94">
        <f>D79+D75+D70+D66</f>
        <v>99602040</v>
      </c>
      <c r="E80" s="297">
        <f t="shared" si="3"/>
        <v>3916466</v>
      </c>
      <c r="F80" s="344">
        <f t="shared" si="4"/>
        <v>4.093057956677984E-2</v>
      </c>
      <c r="G80" s="24"/>
      <c r="H80" s="24"/>
    </row>
    <row r="81" spans="1:8" ht="25.5">
      <c r="A81" s="34"/>
      <c r="B81" s="34"/>
      <c r="C81" s="34"/>
      <c r="D81" s="34"/>
      <c r="E81" s="34"/>
      <c r="F81" s="349" t="s">
        <v>35</v>
      </c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zoomScale="31" zoomScaleNormal="31" workbookViewId="0">
      <selection activeCell="F8" sqref="F8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28.77734375" style="332" customWidth="1"/>
    <col min="7" max="16384" width="8.88671875" style="16"/>
  </cols>
  <sheetData>
    <row r="1" spans="1:10" ht="45">
      <c r="A1" s="17" t="s">
        <v>0</v>
      </c>
      <c r="B1" s="18"/>
      <c r="C1" s="142" t="s">
        <v>1</v>
      </c>
      <c r="D1" s="141" t="s">
        <v>150</v>
      </c>
      <c r="E1" s="58"/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f>86509740+523024+230000</f>
        <v>87262764</v>
      </c>
      <c r="C8" s="92">
        <f>91583609-4324595+3750</f>
        <v>87262764</v>
      </c>
      <c r="D8" s="92">
        <v>67186528</v>
      </c>
      <c r="E8" s="396">
        <f>D8-B8</f>
        <v>-20076236</v>
      </c>
      <c r="F8" s="355">
        <f>IF(ISBLANK(E8),"  ",IF(B8&gt;0,E8/B8,IF(E8&gt;0,1,0)))</f>
        <v>-0.23006646912994871</v>
      </c>
      <c r="G8" s="24"/>
      <c r="H8" s="24"/>
      <c r="I8" s="24"/>
      <c r="J8" s="24"/>
    </row>
    <row r="9" spans="1:10" ht="34.5">
      <c r="A9" s="31" t="s">
        <v>87</v>
      </c>
      <c r="B9" s="93">
        <v>0</v>
      </c>
      <c r="C9" s="93">
        <v>0</v>
      </c>
      <c r="D9" s="93">
        <v>5770735</v>
      </c>
      <c r="E9" s="396">
        <f>D9-B9</f>
        <v>5770735</v>
      </c>
      <c r="F9" s="397">
        <f t="shared" ref="F9:F30" si="0">IF(ISBLANK(E9),"  ",IF(B9&gt;0,E9/B9,IF(E9&gt;0,1,0)))</f>
        <v>1</v>
      </c>
      <c r="G9" s="24"/>
      <c r="H9" s="24"/>
      <c r="I9" s="24"/>
      <c r="J9" s="24"/>
    </row>
    <row r="10" spans="1:10" ht="34.5">
      <c r="A10" s="31" t="s">
        <v>15</v>
      </c>
      <c r="B10" s="93">
        <f>SUM(B11:B25)</f>
        <v>3261424</v>
      </c>
      <c r="C10" s="93">
        <f>SUM(C11:C25)</f>
        <v>3360394</v>
      </c>
      <c r="D10" s="93">
        <f>SUM(D11:D25)</f>
        <v>3333731</v>
      </c>
      <c r="E10" s="160">
        <f>D10-C10</f>
        <v>-26663</v>
      </c>
      <c r="F10" s="369">
        <f t="shared" si="0"/>
        <v>-8.1752633205618153E-3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488177</v>
      </c>
      <c r="E11" s="396">
        <f>D11-B11</f>
        <v>488177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3190174</v>
      </c>
      <c r="C12" s="93">
        <v>3289144</v>
      </c>
      <c r="D12" s="93">
        <v>2845554</v>
      </c>
      <c r="E12" s="396">
        <f>D12-B12</f>
        <v>-344620</v>
      </c>
      <c r="F12" s="369">
        <f t="shared" si="0"/>
        <v>-0.10802545566480073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10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10" ht="34.5">
      <c r="A25" s="31" t="s">
        <v>80</v>
      </c>
      <c r="B25" s="93">
        <v>71250</v>
      </c>
      <c r="C25" s="93">
        <v>71250</v>
      </c>
      <c r="D25" s="93">
        <v>0</v>
      </c>
      <c r="E25" s="160">
        <f>D25-B25</f>
        <v>-71250</v>
      </c>
      <c r="F25" s="369">
        <f t="shared" si="0"/>
        <v>-1</v>
      </c>
      <c r="G25" s="24"/>
      <c r="H25" s="24"/>
    </row>
    <row r="26" spans="1:10" ht="35.25">
      <c r="A26" s="32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10" ht="34.5">
      <c r="A27" s="31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10" ht="35.25">
      <c r="A28" s="32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10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10" ht="34.5">
      <c r="A30" s="31" t="s">
        <v>32</v>
      </c>
      <c r="B30" s="93"/>
      <c r="C30" s="93"/>
      <c r="D30" s="93"/>
      <c r="E30" s="93"/>
      <c r="F30" s="343" t="str">
        <f t="shared" si="0"/>
        <v xml:space="preserve">  </v>
      </c>
      <c r="G30" s="24"/>
      <c r="H30" s="24"/>
    </row>
    <row r="31" spans="1:10" ht="35.25">
      <c r="A31" s="32" t="s">
        <v>33</v>
      </c>
      <c r="B31" s="94">
        <f>B30+B29+B27+B10+B9+B8</f>
        <v>90524188</v>
      </c>
      <c r="C31" s="94">
        <f>C30+C29+C27+C10+C9+C8</f>
        <v>90623158</v>
      </c>
      <c r="D31" s="94">
        <f>D30+D29+D27+D10+D9+D8</f>
        <v>76290994</v>
      </c>
      <c r="E31" s="284">
        <f>D31-B31</f>
        <v>-14233194</v>
      </c>
      <c r="F31" s="344">
        <f>IF(ISBLANK(E31),"  ",IF(B31&gt;0,E31/B31,IF(E31&gt;0,1,0)))</f>
        <v>-0.15723083867927101</v>
      </c>
      <c r="G31" s="24"/>
      <c r="H31" s="24"/>
    </row>
    <row r="32" spans="1:10" ht="35.25">
      <c r="A32" s="32"/>
      <c r="B32" s="93"/>
      <c r="C32" s="93"/>
      <c r="D32" s="93"/>
      <c r="E32" s="93"/>
      <c r="F32" s="343" t="str">
        <f>IF(ISBLANK(E32),"  ",IF(C32&gt;0,E32/C32,IF(E32&gt;0,1,0)))</f>
        <v xml:space="preserve">  </v>
      </c>
      <c r="G32" s="24"/>
      <c r="H32" s="24"/>
    </row>
    <row r="33" spans="1:10" ht="35.25">
      <c r="A33" s="33" t="s">
        <v>34</v>
      </c>
      <c r="B33" s="95"/>
      <c r="C33" s="95"/>
      <c r="D33" s="95"/>
      <c r="E33" s="95"/>
      <c r="F33" s="342" t="str">
        <f>IF(ISBLANK(E33),"  ",IF(B33&gt;0,E33/B33,IF(E33&gt;0,1,0)))</f>
        <v xml:space="preserve">  </v>
      </c>
      <c r="G33" s="24"/>
      <c r="H33" s="24"/>
    </row>
    <row r="34" spans="1:10" ht="35.25">
      <c r="A34" s="31" t="s">
        <v>35</v>
      </c>
      <c r="B34" s="94"/>
      <c r="C34" s="94"/>
      <c r="D34" s="94"/>
      <c r="E34" s="94"/>
      <c r="F34" s="344" t="str">
        <f>IF(ISBLANK(E34),"  ",IF(C34&gt;0,E34/C34,IF(E34&gt;0,1,0)))</f>
        <v xml:space="preserve">  </v>
      </c>
      <c r="G34" s="24"/>
      <c r="H34" s="24"/>
    </row>
    <row r="35" spans="1:10" ht="35.25">
      <c r="A35" s="33" t="s">
        <v>36</v>
      </c>
      <c r="B35" s="95">
        <v>6200000</v>
      </c>
      <c r="C35" s="95">
        <v>6200000</v>
      </c>
      <c r="D35" s="95">
        <v>0</v>
      </c>
      <c r="E35" s="401">
        <f>D35-B35</f>
        <v>-6200000</v>
      </c>
      <c r="F35" s="345">
        <f>IF(ISBLANK(E35),"  ",IF(B35&gt;0,E35/B35,IF(E35&gt;0,1,0)))</f>
        <v>-1</v>
      </c>
      <c r="G35" s="24"/>
      <c r="H35" s="24"/>
    </row>
    <row r="36" spans="1:10" ht="35.25">
      <c r="A36" s="32" t="s">
        <v>35</v>
      </c>
      <c r="B36" s="94"/>
      <c r="C36" s="94"/>
      <c r="D36" s="94"/>
      <c r="E36" s="94"/>
      <c r="F36" s="344" t="str">
        <f>IF(ISBLANK(E36),"  ",IF(C36&gt;0,E36/C36,IF(E36&gt;0,1,0)))</f>
        <v xml:space="preserve">  </v>
      </c>
      <c r="G36" s="24"/>
      <c r="H36" s="24"/>
    </row>
    <row r="37" spans="1:10" ht="35.25">
      <c r="A37" s="33" t="s">
        <v>88</v>
      </c>
      <c r="B37" s="95">
        <v>0</v>
      </c>
      <c r="C37" s="95">
        <v>0</v>
      </c>
      <c r="D37" s="95">
        <v>13023402</v>
      </c>
      <c r="E37" s="401">
        <f>D37-B37</f>
        <v>13023402</v>
      </c>
      <c r="F37" s="345">
        <f>IF(ISBLANK(E37),"  ",IF(B37&gt;0,E37/B37,IF(E37&gt;0,1,0)))</f>
        <v>1</v>
      </c>
      <c r="G37" s="24"/>
      <c r="H37" s="24"/>
    </row>
    <row r="38" spans="1:10" ht="35.25">
      <c r="A38" s="31" t="s">
        <v>35</v>
      </c>
      <c r="B38" s="94"/>
      <c r="C38" s="94"/>
      <c r="D38" s="94"/>
      <c r="E38" s="94"/>
      <c r="F38" s="344" t="str">
        <f>IF(ISBLANK(E38),"  ",IF(C38&gt;0,E38/C38,IF(E38&gt;0,1,0)))</f>
        <v xml:space="preserve">  </v>
      </c>
      <c r="G38" s="24"/>
      <c r="H38" s="24"/>
    </row>
    <row r="39" spans="1:10" ht="35.25">
      <c r="A39" s="33" t="s">
        <v>37</v>
      </c>
      <c r="B39" s="95">
        <f>140999173-B8-B10-B35+54</f>
        <v>44275039</v>
      </c>
      <c r="C39" s="95">
        <v>50982547</v>
      </c>
      <c r="D39" s="95">
        <v>54199754</v>
      </c>
      <c r="E39" s="401">
        <f>D39-B39</f>
        <v>9924715</v>
      </c>
      <c r="F39" s="399">
        <f>IF(ISBLANK(E39),"  ",IF(B39&gt;0,E39/B39,IF(E39&gt;0,1,0)))</f>
        <v>0.22416050271576271</v>
      </c>
      <c r="G39" s="24"/>
      <c r="H39" s="24"/>
    </row>
    <row r="40" spans="1:10" ht="35.25">
      <c r="A40" s="31" t="s">
        <v>35</v>
      </c>
      <c r="B40" s="94"/>
      <c r="C40" s="94"/>
      <c r="D40" s="94"/>
      <c r="E40" s="94"/>
      <c r="F40" s="343" t="str">
        <f>IF(ISBLANK(E40),"  ",IF(B40&gt;0,E40/B40,IF(E40&gt;0,1,0)))</f>
        <v xml:space="preserve">  </v>
      </c>
      <c r="G40" s="24"/>
      <c r="H40" s="24"/>
    </row>
    <row r="41" spans="1:10" ht="35.25">
      <c r="A41" s="33" t="s">
        <v>38</v>
      </c>
      <c r="B41" s="95"/>
      <c r="C41" s="95"/>
      <c r="D41" s="95"/>
      <c r="E41" s="95"/>
      <c r="F41" s="345" t="str">
        <f>IF(ISBLANK(E41),"  ",IF(B41&gt;0,E41/B41,IF(E41&gt;0,1,0)))</f>
        <v xml:space="preserve">  </v>
      </c>
      <c r="G41" s="24"/>
      <c r="H41" s="24"/>
    </row>
    <row r="42" spans="1:10" ht="35.25">
      <c r="A42" s="31"/>
      <c r="B42" s="94"/>
      <c r="C42" s="94"/>
      <c r="D42" s="94"/>
      <c r="E42" s="94"/>
      <c r="F42" s="344" t="str">
        <f>IF(ISBLANK(E42),"  ",IF(C42&gt;0,E42/C42,IF(E42&gt;0,1,0)))</f>
        <v xml:space="preserve">  </v>
      </c>
      <c r="G42" s="24"/>
      <c r="H42" s="24"/>
    </row>
    <row r="43" spans="1:10" ht="35.25">
      <c r="A43" s="29" t="s">
        <v>39</v>
      </c>
      <c r="B43" s="96">
        <f>B41+B39+B37+B35+B31</f>
        <v>140999227</v>
      </c>
      <c r="C43" s="96">
        <f>C41+C39+C37+C35+C31</f>
        <v>147805705</v>
      </c>
      <c r="D43" s="96">
        <f>D41+D39+D37+D35+D31</f>
        <v>143514150</v>
      </c>
      <c r="E43" s="401">
        <f>D43-B43</f>
        <v>2514923</v>
      </c>
      <c r="F43" s="345">
        <f>IF(ISBLANK(E43),"  ",IF(B43&gt;0,E43/B43,IF(E43&gt;0,1,0)))</f>
        <v>1.7836431117455701E-2</v>
      </c>
      <c r="G43" s="24"/>
      <c r="H43" s="24"/>
    </row>
    <row r="44" spans="1:10" ht="34.5">
      <c r="A44" s="28"/>
      <c r="B44" s="97"/>
      <c r="C44" s="97"/>
      <c r="D44" s="97"/>
      <c r="E44" s="97"/>
      <c r="F44" s="346" t="str">
        <f>IF(ISBLANK(E44),"  ",IF(C44&gt;0,E44/C44,IF(E44&gt;0,1,0)))</f>
        <v xml:space="preserve">  </v>
      </c>
      <c r="G44" s="24"/>
      <c r="H44" s="24"/>
    </row>
    <row r="45" spans="1:10" ht="34.5">
      <c r="A45" s="25"/>
      <c r="B45" s="98"/>
      <c r="C45" s="98"/>
      <c r="D45" s="98"/>
      <c r="E45" s="98"/>
      <c r="F45" s="347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29" t="s">
        <v>40</v>
      </c>
      <c r="B46" s="98"/>
      <c r="C46" s="98"/>
      <c r="D46" s="98"/>
      <c r="E46" s="98"/>
      <c r="F46" s="347" t="str">
        <f>IF(ISBLANK(E46),"  ",IF(C46&gt;0,E46/C46,IF(E46&gt;0,1,0)))</f>
        <v xml:space="preserve">  </v>
      </c>
      <c r="G46" s="24"/>
      <c r="H46" s="24"/>
    </row>
    <row r="47" spans="1:10" ht="34.5">
      <c r="A47" s="30" t="s">
        <v>41</v>
      </c>
      <c r="B47" s="92">
        <v>58684085</v>
      </c>
      <c r="C47" s="92">
        <v>65425160</v>
      </c>
      <c r="D47" s="92">
        <v>62389489</v>
      </c>
      <c r="E47" s="396">
        <f t="shared" ref="E47:E55" si="1">D47-B47</f>
        <v>3705404</v>
      </c>
      <c r="F47" s="397">
        <f t="shared" ref="F47:F60" si="2">IF(ISBLANK(E47),"  ",IF(B47&gt;0,E47/B47,IF(E47&gt;0,1,0)))</f>
        <v>6.3141548513536511E-2</v>
      </c>
      <c r="G47" s="24"/>
      <c r="H47" s="24"/>
    </row>
    <row r="48" spans="1:10" ht="34.5">
      <c r="A48" s="31" t="s">
        <v>42</v>
      </c>
      <c r="B48" s="93">
        <v>23017842</v>
      </c>
      <c r="C48" s="93">
        <v>21627698</v>
      </c>
      <c r="D48" s="93">
        <v>20668069</v>
      </c>
      <c r="E48" s="396">
        <f t="shared" si="1"/>
        <v>-2349773</v>
      </c>
      <c r="F48" s="369">
        <f t="shared" si="2"/>
        <v>-0.10208485226373523</v>
      </c>
      <c r="G48" s="24"/>
      <c r="H48" s="24"/>
    </row>
    <row r="49" spans="1:8" ht="34.5">
      <c r="A49" s="31" t="s">
        <v>43</v>
      </c>
      <c r="B49" s="93">
        <v>300000</v>
      </c>
      <c r="C49" s="93">
        <v>300000</v>
      </c>
      <c r="D49" s="93">
        <v>300000</v>
      </c>
      <c r="E49" s="396">
        <f t="shared" si="1"/>
        <v>0</v>
      </c>
      <c r="F49" s="369">
        <f t="shared" si="2"/>
        <v>0</v>
      </c>
      <c r="G49" s="24"/>
      <c r="H49" s="24"/>
    </row>
    <row r="50" spans="1:8" ht="34.5">
      <c r="A50" s="31" t="s">
        <v>44</v>
      </c>
      <c r="B50" s="93">
        <v>12309869</v>
      </c>
      <c r="C50" s="93">
        <v>12519078</v>
      </c>
      <c r="D50" s="93">
        <v>13451799</v>
      </c>
      <c r="E50" s="396">
        <f t="shared" si="1"/>
        <v>1141930</v>
      </c>
      <c r="F50" s="369">
        <f t="shared" si="2"/>
        <v>9.2765406358101779E-2</v>
      </c>
      <c r="G50" s="24"/>
      <c r="H50" s="24"/>
    </row>
    <row r="51" spans="1:8" ht="34.5">
      <c r="A51" s="31" t="s">
        <v>45</v>
      </c>
      <c r="B51" s="93">
        <v>4576208</v>
      </c>
      <c r="C51" s="93">
        <v>6011524</v>
      </c>
      <c r="D51" s="93">
        <v>5188715</v>
      </c>
      <c r="E51" s="396">
        <f t="shared" si="1"/>
        <v>612507</v>
      </c>
      <c r="F51" s="369">
        <f t="shared" si="2"/>
        <v>0.13384597028806383</v>
      </c>
      <c r="G51" s="24"/>
      <c r="H51" s="24"/>
    </row>
    <row r="52" spans="1:8" ht="34.5">
      <c r="A52" s="31" t="s">
        <v>74</v>
      </c>
      <c r="B52" s="93">
        <v>16228056</v>
      </c>
      <c r="C52" s="93">
        <v>16296726</v>
      </c>
      <c r="D52" s="93">
        <v>16760301</v>
      </c>
      <c r="E52" s="396">
        <f t="shared" si="1"/>
        <v>532245</v>
      </c>
      <c r="F52" s="369">
        <f t="shared" si="2"/>
        <v>3.2797828649346536E-2</v>
      </c>
      <c r="G52" s="24"/>
      <c r="H52" s="24"/>
    </row>
    <row r="53" spans="1:8" ht="34.5">
      <c r="A53" s="31" t="s">
        <v>46</v>
      </c>
      <c r="B53" s="93">
        <v>4386912</v>
      </c>
      <c r="C53" s="93">
        <v>5156615</v>
      </c>
      <c r="D53" s="93">
        <v>5156615</v>
      </c>
      <c r="E53" s="396">
        <f t="shared" si="1"/>
        <v>769703</v>
      </c>
      <c r="F53" s="369">
        <f t="shared" si="2"/>
        <v>0.17545439707931229</v>
      </c>
      <c r="G53" s="24"/>
      <c r="H53" s="24"/>
    </row>
    <row r="54" spans="1:8" ht="34.5">
      <c r="A54" s="31" t="s">
        <v>47</v>
      </c>
      <c r="B54" s="93">
        <v>15632372</v>
      </c>
      <c r="C54" s="93">
        <v>15070021</v>
      </c>
      <c r="D54" s="93">
        <v>14454488</v>
      </c>
      <c r="E54" s="396">
        <f t="shared" si="1"/>
        <v>-1177884</v>
      </c>
      <c r="F54" s="369">
        <f t="shared" si="2"/>
        <v>-7.5349025726869856E-2</v>
      </c>
      <c r="G54" s="24"/>
      <c r="H54" s="24"/>
    </row>
    <row r="55" spans="1:8" ht="35.25">
      <c r="A55" s="27" t="s">
        <v>48</v>
      </c>
      <c r="B55" s="94">
        <f>SUM(B47:B54)</f>
        <v>135135344</v>
      </c>
      <c r="C55" s="94">
        <f>SUM(C47:C54)</f>
        <v>142406822</v>
      </c>
      <c r="D55" s="94">
        <f>SUM(D47:D54)</f>
        <v>138369476</v>
      </c>
      <c r="E55" s="401">
        <f t="shared" si="1"/>
        <v>3234132</v>
      </c>
      <c r="F55" s="390">
        <f t="shared" si="2"/>
        <v>2.3932539809866468E-2</v>
      </c>
      <c r="G55" s="24"/>
      <c r="H55" s="24"/>
    </row>
    <row r="56" spans="1:8" ht="34.5">
      <c r="A56" s="31" t="s">
        <v>49</v>
      </c>
      <c r="B56" s="93"/>
      <c r="C56" s="93"/>
      <c r="D56" s="93"/>
      <c r="E56" s="97"/>
      <c r="F56" s="369" t="str">
        <f t="shared" si="2"/>
        <v xml:space="preserve">  </v>
      </c>
      <c r="G56" s="24"/>
      <c r="H56" s="24"/>
    </row>
    <row r="57" spans="1:8" ht="34.5">
      <c r="A57" s="31" t="s">
        <v>50</v>
      </c>
      <c r="B57" s="93">
        <v>117883</v>
      </c>
      <c r="C57" s="93">
        <v>152883</v>
      </c>
      <c r="D57" s="93">
        <v>144674</v>
      </c>
      <c r="E57" s="160">
        <f>D57-B57</f>
        <v>26791</v>
      </c>
      <c r="F57" s="369">
        <f t="shared" si="2"/>
        <v>0.22726771459837297</v>
      </c>
      <c r="G57" s="24"/>
      <c r="H57" s="24"/>
    </row>
    <row r="58" spans="1:8" ht="34.5">
      <c r="A58" s="31" t="s">
        <v>51</v>
      </c>
      <c r="B58" s="93">
        <v>5746000</v>
      </c>
      <c r="C58" s="93">
        <v>5246000</v>
      </c>
      <c r="D58" s="93">
        <v>5000000</v>
      </c>
      <c r="E58" s="396">
        <f>D58-B58</f>
        <v>-746000</v>
      </c>
      <c r="F58" s="369">
        <f t="shared" si="2"/>
        <v>-0.12982944657152801</v>
      </c>
      <c r="G58" s="24"/>
      <c r="H58" s="24"/>
    </row>
    <row r="59" spans="1:8" ht="34.5">
      <c r="A59" s="31" t="s">
        <v>52</v>
      </c>
      <c r="B59" s="93"/>
      <c r="C59" s="93"/>
      <c r="D59" s="93"/>
      <c r="E59" s="97"/>
      <c r="F59" s="369" t="str">
        <f t="shared" si="2"/>
        <v xml:space="preserve">  </v>
      </c>
      <c r="G59" s="24"/>
      <c r="H59" s="24"/>
    </row>
    <row r="60" spans="1:8" ht="35.25">
      <c r="A60" s="27" t="s">
        <v>53</v>
      </c>
      <c r="B60" s="94">
        <f>B59+B58+B57+B56+B55</f>
        <v>140999227</v>
      </c>
      <c r="C60" s="94">
        <f>C59+C58+C57+C56+C55</f>
        <v>147805705</v>
      </c>
      <c r="D60" s="94">
        <f>D59+D58+D57+D56+D55</f>
        <v>143514150</v>
      </c>
      <c r="E60" s="284">
        <f>D60-B60</f>
        <v>2514923</v>
      </c>
      <c r="F60" s="344">
        <f t="shared" si="2"/>
        <v>1.7836431117455701E-2</v>
      </c>
      <c r="G60" s="24"/>
      <c r="H60" s="24"/>
    </row>
    <row r="61" spans="1:8" ht="34.5">
      <c r="A61" s="28"/>
      <c r="B61" s="97"/>
      <c r="C61" s="97"/>
      <c r="D61" s="97"/>
      <c r="E61" s="97"/>
      <c r="F61" s="346" t="str">
        <f>IF(ISBLANK(E61),"  ",IF(C61&gt;0,E61/C61,IF(E61&gt;0,1,0)))</f>
        <v xml:space="preserve">  </v>
      </c>
      <c r="G61" s="24"/>
      <c r="H61" s="24"/>
    </row>
    <row r="62" spans="1:8" ht="35.25">
      <c r="A62" s="29" t="s">
        <v>54</v>
      </c>
      <c r="B62" s="98"/>
      <c r="C62" s="98"/>
      <c r="D62" s="98"/>
      <c r="E62" s="98"/>
      <c r="F62" s="347" t="str">
        <f>IF(ISBLANK(E62),"  ",IF(C62&gt;0,E62/C62,IF(E62&gt;0,1,0)))</f>
        <v xml:space="preserve">  </v>
      </c>
      <c r="G62" s="24"/>
      <c r="H62" s="24"/>
    </row>
    <row r="63" spans="1:8" ht="34.5">
      <c r="A63" s="30" t="s">
        <v>55</v>
      </c>
      <c r="B63" s="92">
        <v>76526722</v>
      </c>
      <c r="C63" s="92">
        <v>82660846</v>
      </c>
      <c r="D63" s="92">
        <v>80610496</v>
      </c>
      <c r="E63" s="396">
        <f t="shared" ref="E63:E72" si="3">D63-B63</f>
        <v>4083774</v>
      </c>
      <c r="F63" s="397">
        <f t="shared" ref="F63:F80" si="4">IF(ISBLANK(E63),"  ",IF(B63&gt;0,E63/B63,IF(E63&gt;0,1,0)))</f>
        <v>5.3364026228642066E-2</v>
      </c>
      <c r="G63" s="24"/>
      <c r="H63" s="24"/>
    </row>
    <row r="64" spans="1:8" ht="34.5">
      <c r="A64" s="31" t="s">
        <v>56</v>
      </c>
      <c r="B64" s="93">
        <v>953539</v>
      </c>
      <c r="C64" s="93">
        <v>1228329</v>
      </c>
      <c r="D64" s="93">
        <v>1277634</v>
      </c>
      <c r="E64" s="396">
        <f t="shared" si="3"/>
        <v>324095</v>
      </c>
      <c r="F64" s="369">
        <f t="shared" si="4"/>
        <v>0.339886465052819</v>
      </c>
      <c r="G64" s="24"/>
      <c r="H64" s="24"/>
    </row>
    <row r="65" spans="1:8" ht="34.5">
      <c r="A65" s="31" t="s">
        <v>57</v>
      </c>
      <c r="B65" s="93">
        <v>21144626</v>
      </c>
      <c r="C65" s="93">
        <v>22846416</v>
      </c>
      <c r="D65" s="93">
        <v>23897552</v>
      </c>
      <c r="E65" s="396">
        <f t="shared" si="3"/>
        <v>2752926</v>
      </c>
      <c r="F65" s="369">
        <f t="shared" si="4"/>
        <v>0.13019506705864647</v>
      </c>
      <c r="G65" s="24"/>
      <c r="H65" s="24"/>
    </row>
    <row r="66" spans="1:8" ht="35.25">
      <c r="A66" s="27" t="s">
        <v>58</v>
      </c>
      <c r="B66" s="99">
        <f>SUM(B63:B65)</f>
        <v>98624887</v>
      </c>
      <c r="C66" s="99">
        <f>SUM(C63:C65)</f>
        <v>106735591</v>
      </c>
      <c r="D66" s="99">
        <f>SUM(D63:D65)</f>
        <v>105785682</v>
      </c>
      <c r="E66" s="401">
        <f t="shared" si="3"/>
        <v>7160795</v>
      </c>
      <c r="F66" s="390">
        <f t="shared" si="4"/>
        <v>7.2606369627576856E-2</v>
      </c>
      <c r="G66" s="24"/>
      <c r="H66" s="24"/>
    </row>
    <row r="67" spans="1:8" ht="34.5">
      <c r="A67" s="31" t="s">
        <v>59</v>
      </c>
      <c r="B67" s="93">
        <v>571753</v>
      </c>
      <c r="C67" s="93">
        <v>657402</v>
      </c>
      <c r="D67" s="93">
        <v>697705</v>
      </c>
      <c r="E67" s="396">
        <f t="shared" si="3"/>
        <v>125952</v>
      </c>
      <c r="F67" s="369">
        <f t="shared" si="4"/>
        <v>0.22029092982459209</v>
      </c>
      <c r="G67" s="24"/>
      <c r="H67" s="24"/>
    </row>
    <row r="68" spans="1:8" ht="34.5">
      <c r="A68" s="31" t="s">
        <v>60</v>
      </c>
      <c r="B68" s="93">
        <v>11854334</v>
      </c>
      <c r="C68" s="93">
        <v>10850842</v>
      </c>
      <c r="D68" s="93">
        <v>11845539</v>
      </c>
      <c r="E68" s="396">
        <f t="shared" si="3"/>
        <v>-8795</v>
      </c>
      <c r="F68" s="369">
        <f t="shared" si="4"/>
        <v>-7.4192274319248976E-4</v>
      </c>
      <c r="G68" s="24"/>
      <c r="H68" s="24"/>
    </row>
    <row r="69" spans="1:8" ht="34.5">
      <c r="A69" s="31" t="s">
        <v>61</v>
      </c>
      <c r="B69" s="93">
        <v>1769666</v>
      </c>
      <c r="C69" s="93">
        <v>1754852</v>
      </c>
      <c r="D69" s="93">
        <v>1773223</v>
      </c>
      <c r="E69" s="396">
        <f t="shared" si="3"/>
        <v>3557</v>
      </c>
      <c r="F69" s="369">
        <f t="shared" si="4"/>
        <v>2.0099838048535713E-3</v>
      </c>
      <c r="G69" s="24"/>
      <c r="H69" s="24"/>
    </row>
    <row r="70" spans="1:8" ht="35.25">
      <c r="A70" s="32" t="s">
        <v>62</v>
      </c>
      <c r="B70" s="94">
        <f>SUM(B67:B69)</f>
        <v>14195753</v>
      </c>
      <c r="C70" s="94">
        <f>SUM(C67:C69)</f>
        <v>13263096</v>
      </c>
      <c r="D70" s="94">
        <f>SUM(D67:D69)</f>
        <v>14316467</v>
      </c>
      <c r="E70" s="401">
        <f t="shared" si="3"/>
        <v>120714</v>
      </c>
      <c r="F70" s="390">
        <f t="shared" si="4"/>
        <v>8.5035291893286683E-3</v>
      </c>
      <c r="G70" s="24"/>
      <c r="H70" s="24"/>
    </row>
    <row r="71" spans="1:8" ht="34.5">
      <c r="A71" s="31" t="s">
        <v>63</v>
      </c>
      <c r="B71" s="93">
        <v>305444</v>
      </c>
      <c r="C71" s="93">
        <v>282785</v>
      </c>
      <c r="D71" s="93">
        <v>300812</v>
      </c>
      <c r="E71" s="396">
        <f t="shared" si="3"/>
        <v>-4632</v>
      </c>
      <c r="F71" s="369">
        <f t="shared" si="4"/>
        <v>-1.5164809261272115E-2</v>
      </c>
      <c r="G71" s="24"/>
      <c r="H71" s="24"/>
    </row>
    <row r="72" spans="1:8" ht="34.5">
      <c r="A72" s="31" t="s">
        <v>64</v>
      </c>
      <c r="B72" s="93">
        <f>24248449-B74</f>
        <v>23944028</v>
      </c>
      <c r="C72" s="93">
        <f>23155929-C74</f>
        <v>22869970</v>
      </c>
      <c r="D72" s="93">
        <f>20717885-D74</f>
        <v>20331581</v>
      </c>
      <c r="E72" s="396">
        <f t="shared" si="3"/>
        <v>-3612447</v>
      </c>
      <c r="F72" s="369">
        <f t="shared" si="4"/>
        <v>-0.15087048010468415</v>
      </c>
      <c r="G72" s="24"/>
      <c r="H72" s="24"/>
    </row>
    <row r="73" spans="1:8" ht="34.5">
      <c r="A73" s="31" t="s">
        <v>65</v>
      </c>
      <c r="B73" s="93"/>
      <c r="C73" s="93"/>
      <c r="D73" s="93"/>
      <c r="E73" s="93"/>
      <c r="F73" s="369" t="str">
        <f t="shared" si="4"/>
        <v xml:space="preserve">  </v>
      </c>
      <c r="G73" s="24"/>
      <c r="H73" s="24"/>
    </row>
    <row r="74" spans="1:8" ht="34.5">
      <c r="A74" s="31" t="s">
        <v>66</v>
      </c>
      <c r="B74" s="93">
        <v>304421</v>
      </c>
      <c r="C74" s="93">
        <v>285959</v>
      </c>
      <c r="D74" s="93">
        <f>240951+145353</f>
        <v>386304</v>
      </c>
      <c r="E74" s="160">
        <f>D74-B74</f>
        <v>81883</v>
      </c>
      <c r="F74" s="369">
        <f t="shared" si="4"/>
        <v>0.26897947250682441</v>
      </c>
      <c r="G74" s="24"/>
      <c r="H74" s="24"/>
    </row>
    <row r="75" spans="1:8" ht="35.25">
      <c r="A75" s="32" t="s">
        <v>67</v>
      </c>
      <c r="B75" s="94">
        <f>SUM(B71:B74)</f>
        <v>24553893</v>
      </c>
      <c r="C75" s="94">
        <f>SUM(C71:C74)</f>
        <v>23438714</v>
      </c>
      <c r="D75" s="94">
        <f>SUM(D71:D74)</f>
        <v>21018697</v>
      </c>
      <c r="E75" s="401">
        <f>D75-B75</f>
        <v>-3535196</v>
      </c>
      <c r="F75" s="390">
        <f t="shared" si="4"/>
        <v>-0.14397700600878238</v>
      </c>
      <c r="G75" s="24"/>
      <c r="H75" s="24"/>
    </row>
    <row r="76" spans="1:8" ht="34.5">
      <c r="A76" s="31" t="s">
        <v>68</v>
      </c>
      <c r="B76" s="93">
        <f>3624694-B77</f>
        <v>2453194</v>
      </c>
      <c r="C76" s="93">
        <f>4368304-C77</f>
        <v>3205304</v>
      </c>
      <c r="D76" s="93">
        <f>2393304-D77</f>
        <v>1230304</v>
      </c>
      <c r="E76" s="396">
        <f>D76-B76</f>
        <v>-1222890</v>
      </c>
      <c r="F76" s="369">
        <f t="shared" si="4"/>
        <v>-0.49848890874508905</v>
      </c>
      <c r="G76" s="24"/>
      <c r="H76" s="24"/>
    </row>
    <row r="77" spans="1:8" ht="34.5">
      <c r="A77" s="31" t="s">
        <v>69</v>
      </c>
      <c r="B77" s="93">
        <v>1171500</v>
      </c>
      <c r="C77" s="93">
        <v>1163000</v>
      </c>
      <c r="D77" s="93">
        <v>1163000</v>
      </c>
      <c r="E77" s="396">
        <f>D77-B77</f>
        <v>-8500</v>
      </c>
      <c r="F77" s="369">
        <f t="shared" si="4"/>
        <v>-7.2556551429790866E-3</v>
      </c>
      <c r="G77" s="24"/>
      <c r="H77" s="24"/>
    </row>
    <row r="78" spans="1:8" ht="34.5">
      <c r="A78" s="31" t="s">
        <v>70</v>
      </c>
      <c r="B78" s="93"/>
      <c r="C78" s="93"/>
      <c r="D78" s="93"/>
      <c r="E78" s="93"/>
      <c r="F78" s="369" t="str">
        <f t="shared" si="4"/>
        <v xml:space="preserve">  </v>
      </c>
      <c r="G78" s="24"/>
      <c r="H78" s="24"/>
    </row>
    <row r="79" spans="1:8" ht="35.25">
      <c r="A79" s="32" t="s">
        <v>71</v>
      </c>
      <c r="B79" s="94">
        <f>SUM(B76:B78)</f>
        <v>3624694</v>
      </c>
      <c r="C79" s="94">
        <f>SUM(C76:C78)</f>
        <v>4368304</v>
      </c>
      <c r="D79" s="94">
        <f>SUM(D76:D78)</f>
        <v>2393304</v>
      </c>
      <c r="E79" s="284">
        <f>D79-B79</f>
        <v>-1231390</v>
      </c>
      <c r="F79" s="390">
        <f t="shared" si="4"/>
        <v>-0.3397224703657743</v>
      </c>
      <c r="G79" s="24"/>
      <c r="H79" s="24"/>
    </row>
    <row r="80" spans="1:8" ht="36" thickBot="1">
      <c r="A80" s="27" t="s">
        <v>53</v>
      </c>
      <c r="B80" s="94">
        <f>B79+B75+B70+B66</f>
        <v>140999227</v>
      </c>
      <c r="C80" s="94">
        <f>C79+C75+C70+C66</f>
        <v>147805705</v>
      </c>
      <c r="D80" s="94">
        <f>D79+D75+D70+D66</f>
        <v>143514150</v>
      </c>
      <c r="E80" s="401">
        <f>D80-B80</f>
        <v>2514923</v>
      </c>
      <c r="F80" s="344">
        <f t="shared" si="4"/>
        <v>1.7836431117455701E-2</v>
      </c>
      <c r="G80" s="24"/>
      <c r="H80" s="24"/>
    </row>
    <row r="81" spans="1:8" ht="25.5">
      <c r="A81" s="34"/>
      <c r="B81" s="34"/>
      <c r="C81" s="34"/>
      <c r="D81" s="34"/>
      <c r="E81" s="34"/>
      <c r="F81" s="349" t="s">
        <v>35</v>
      </c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67" zoomScale="30" zoomScaleNormal="130" workbookViewId="0">
      <selection activeCell="F8" sqref="F8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26.88671875" style="332" customWidth="1"/>
    <col min="7" max="7" width="8.88671875" style="16"/>
    <col min="8" max="8" width="12.44140625" style="16" bestFit="1" customWidth="1"/>
    <col min="9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286</v>
      </c>
      <c r="E1" s="58"/>
      <c r="F1" s="364"/>
      <c r="G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1" t="s">
        <v>14</v>
      </c>
      <c r="B8" s="93">
        <v>52320070</v>
      </c>
      <c r="C8" s="93">
        <v>52320070</v>
      </c>
      <c r="D8" s="93">
        <v>37263624</v>
      </c>
      <c r="E8" s="93">
        <f>+D8-B8</f>
        <v>-15056446</v>
      </c>
      <c r="F8" s="343">
        <f>IF(ISBLANK(E8),"  ",IF(B8&gt;0,E8/B8,IF(E8&gt;0,1,0)))</f>
        <v>-0.28777572354165426</v>
      </c>
      <c r="G8" s="24"/>
      <c r="H8" s="24"/>
      <c r="I8" s="24"/>
      <c r="J8" s="24"/>
    </row>
    <row r="9" spans="1:10" ht="34.5">
      <c r="A9" s="252" t="s">
        <v>106</v>
      </c>
      <c r="B9" s="93">
        <v>0</v>
      </c>
      <c r="C9" s="93">
        <v>0</v>
      </c>
      <c r="D9" s="93">
        <v>3376246</v>
      </c>
      <c r="E9" s="93">
        <f>+D9-B9</f>
        <v>3376246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115</v>
      </c>
      <c r="B10" s="93">
        <f>SUM(B11:B25)</f>
        <v>3152847</v>
      </c>
      <c r="C10" s="93">
        <f>C12+C25</f>
        <v>3222892</v>
      </c>
      <c r="D10" s="93">
        <f>SUM(D11:D25)</f>
        <v>2299556</v>
      </c>
      <c r="E10" s="93">
        <f>+D10-C10</f>
        <v>-923336</v>
      </c>
      <c r="F10" s="343">
        <f t="shared" si="0"/>
        <v>-0.29285785196680969</v>
      </c>
      <c r="G10" s="24"/>
      <c r="H10" s="24"/>
      <c r="I10" s="24"/>
      <c r="J10" s="24"/>
    </row>
    <row r="11" spans="1:10" ht="34.5">
      <c r="A11" s="30" t="s">
        <v>116</v>
      </c>
      <c r="B11" s="93">
        <v>0</v>
      </c>
      <c r="C11" s="93">
        <v>0</v>
      </c>
      <c r="D11" s="93">
        <v>285615</v>
      </c>
      <c r="E11" s="93">
        <f>+D11-B11</f>
        <v>285615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117</v>
      </c>
      <c r="B12" s="93">
        <v>2257847</v>
      </c>
      <c r="C12" s="93">
        <v>2327892</v>
      </c>
      <c r="D12" s="93">
        <v>2013941</v>
      </c>
      <c r="E12" s="93">
        <f>+D12-B12</f>
        <v>-243906</v>
      </c>
      <c r="F12" s="343">
        <f t="shared" si="0"/>
        <v>-0.10802592026829098</v>
      </c>
      <c r="G12" s="24"/>
      <c r="H12" s="24"/>
      <c r="I12" s="24"/>
      <c r="J12" s="24"/>
    </row>
    <row r="13" spans="1:10" ht="34.5">
      <c r="A13" s="31" t="s">
        <v>118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120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121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122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123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124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125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126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127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128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287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129</v>
      </c>
      <c r="B25" s="93">
        <v>895000</v>
      </c>
      <c r="C25" s="93">
        <v>895000</v>
      </c>
      <c r="D25" s="93">
        <v>0</v>
      </c>
      <c r="E25" s="93">
        <f>+D25-B25</f>
        <v>-895000</v>
      </c>
      <c r="F25" s="343">
        <f t="shared" si="0"/>
        <v>-1</v>
      </c>
      <c r="G25" s="24"/>
      <c r="H25" s="24"/>
    </row>
    <row r="26" spans="1:8" ht="35.25">
      <c r="A26" s="114" t="s">
        <v>130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131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132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94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B10+B9+B8</f>
        <v>55472917</v>
      </c>
      <c r="C31" s="122">
        <f>C10+C8</f>
        <v>55542962</v>
      </c>
      <c r="D31" s="122">
        <f>SUM(D8:D30)</f>
        <v>45238982</v>
      </c>
      <c r="E31" s="94">
        <f>+D31-B31</f>
        <v>-10233935</v>
      </c>
      <c r="F31" s="399">
        <f t="shared" si="0"/>
        <v>-0.18448525070350996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133</v>
      </c>
      <c r="B33" s="147">
        <v>-8239</v>
      </c>
      <c r="C33" s="147">
        <v>0</v>
      </c>
      <c r="D33" s="147">
        <v>0</v>
      </c>
      <c r="E33" s="401">
        <f>+D33-B33</f>
        <v>8239</v>
      </c>
      <c r="F33" s="399">
        <f>IF(ISBLANK(E33),"  ",IF(B33&gt;0,E33/B33,IF(E33&gt;0,1,0)))</f>
        <v>1</v>
      </c>
      <c r="G33" s="24"/>
      <c r="H33" s="24"/>
    </row>
    <row r="34" spans="1:8" ht="35.25">
      <c r="A34" s="132"/>
      <c r="B34" s="133"/>
      <c r="C34" s="133"/>
      <c r="D34" s="133"/>
      <c r="E34" s="95"/>
      <c r="F34" s="345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01">
        <f>+D35-B35</f>
        <v>0</v>
      </c>
      <c r="F35" s="399">
        <f>IF(ISBLANK(E35),"  ",IF(B35&gt;0,E35/B35,IF(E35&gt;0,1,0)))</f>
        <v>0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107</v>
      </c>
      <c r="B37" s="147">
        <v>0</v>
      </c>
      <c r="C37" s="147">
        <v>0</v>
      </c>
      <c r="D37" s="147">
        <v>7291143</v>
      </c>
      <c r="E37" s="401">
        <f>+D37-B37</f>
        <v>7291143</v>
      </c>
      <c r="F37" s="399">
        <f>IF(ISBLANK(E37),"  ",IF(B37&gt;0,E37/B37,IF(E37&gt;0,1,0)))</f>
        <v>1</v>
      </c>
      <c r="G37" s="24"/>
      <c r="H37" s="24"/>
    </row>
    <row r="38" spans="1:8" ht="35.25">
      <c r="A38" s="132"/>
      <c r="B38" s="133"/>
      <c r="C38" s="133"/>
      <c r="D38" s="133"/>
      <c r="E38" s="95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134</v>
      </c>
      <c r="B39" s="147">
        <f>30391667+5000</f>
        <v>30396667</v>
      </c>
      <c r="C39" s="147">
        <v>31037115</v>
      </c>
      <c r="D39" s="147">
        <f>30709960+1905436</f>
        <v>32615396</v>
      </c>
      <c r="E39" s="401">
        <f>+D39-B39</f>
        <v>2218729</v>
      </c>
      <c r="F39" s="399">
        <f>IF(ISBLANK(E39),"  ",IF(B39&gt;0,E39/B39,IF(E39&gt;0,1,0)))</f>
        <v>7.2992509343211873E-2</v>
      </c>
      <c r="G39" s="24"/>
      <c r="H39" s="35"/>
    </row>
    <row r="40" spans="1:8" ht="35.25">
      <c r="A40" s="33"/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01">
        <f>+D41-B41</f>
        <v>0</v>
      </c>
      <c r="F41" s="399">
        <f>IF(ISBLANK(E41),"  ",IF(B41&gt;0,E41/B41,IF(E41&gt;0,1,0)))</f>
        <v>0</v>
      </c>
      <c r="G41" s="24"/>
      <c r="H41" s="24"/>
    </row>
    <row r="42" spans="1:8" ht="35.25">
      <c r="A42" s="132"/>
      <c r="B42" s="133"/>
      <c r="C42" s="133"/>
      <c r="D42" s="133"/>
      <c r="E42" s="95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47">
        <f>+B31+B39+B33</f>
        <v>85861345</v>
      </c>
      <c r="C43" s="147">
        <f>SUM(C31:C41)</f>
        <v>86580077</v>
      </c>
      <c r="D43" s="147">
        <f>SUM(D31:D41)</f>
        <v>85145521</v>
      </c>
      <c r="E43" s="401">
        <f>+D43-B43</f>
        <v>-715824</v>
      </c>
      <c r="F43" s="399">
        <f>IF(ISBLANK(E43),"  ",IF(B43&gt;0,E43/B43,IF(E43&gt;0,1,0)))</f>
        <v>-8.3369763192039439E-3</v>
      </c>
      <c r="G43" s="24"/>
      <c r="H43" s="37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30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33" t="s">
        <v>40</v>
      </c>
      <c r="B46" s="95"/>
      <c r="C46" s="95"/>
      <c r="D46" s="95"/>
      <c r="E46" s="95"/>
      <c r="F46" s="345" t="str">
        <f>IF(ISBLANK(E46),"  ",IF(C46&gt;0,E46/C46,IF(E46&gt;0,1,0)))</f>
        <v xml:space="preserve">  </v>
      </c>
      <c r="G46" s="24"/>
      <c r="H46" s="24"/>
    </row>
    <row r="47" spans="1:8" ht="34.5">
      <c r="A47" s="153" t="s">
        <v>135</v>
      </c>
      <c r="B47" s="154">
        <f>[1]BOR4!$C$25</f>
        <v>36809616</v>
      </c>
      <c r="C47" s="154">
        <f>[1]BOR4!$D$25</f>
        <v>38474284</v>
      </c>
      <c r="D47" s="154">
        <f>[1]BOR4!$E$25-1</f>
        <v>38023524.08096154</v>
      </c>
      <c r="E47" s="93">
        <f t="shared" ref="E47:E55" si="1">+D47-B47</f>
        <v>1213908.0809615403</v>
      </c>
      <c r="F47" s="343">
        <f t="shared" ref="F47:F60" si="2">IF(ISBLANK(E47),"  ",IF(B47&gt;0,E47/B47,IF(E47&gt;0,1,0)))</f>
        <v>3.2978015336034484E-2</v>
      </c>
      <c r="G47" s="24"/>
      <c r="H47" s="24"/>
    </row>
    <row r="48" spans="1:8" ht="34.5">
      <c r="A48" s="155" t="s">
        <v>136</v>
      </c>
      <c r="B48" s="154">
        <f>[1]BOR4!$C$48</f>
        <v>4617307</v>
      </c>
      <c r="C48" s="154">
        <f>[1]BOR4!$D$48</f>
        <v>5121547</v>
      </c>
      <c r="D48" s="154">
        <f>[1]BOR4!$E$48</f>
        <v>4653575.3</v>
      </c>
      <c r="E48" s="93">
        <f t="shared" si="1"/>
        <v>36268.299999999814</v>
      </c>
      <c r="F48" s="343">
        <f t="shared" si="2"/>
        <v>7.8548599865678869E-3</v>
      </c>
      <c r="G48" s="24"/>
      <c r="H48" s="24"/>
    </row>
    <row r="49" spans="1:8" ht="34.5">
      <c r="A49" s="155" t="s">
        <v>137</v>
      </c>
      <c r="B49" s="154">
        <f>[1]BOR4!$C$72</f>
        <v>1286560</v>
      </c>
      <c r="C49" s="154">
        <f>[1]BOR4!$D$72</f>
        <v>1264466</v>
      </c>
      <c r="D49" s="154">
        <f>[1]BOR4!$E$72</f>
        <v>285401.21000000002</v>
      </c>
      <c r="E49" s="93">
        <f t="shared" si="1"/>
        <v>-1001158.79</v>
      </c>
      <c r="F49" s="343">
        <f t="shared" si="2"/>
        <v>-0.7781671977987813</v>
      </c>
      <c r="G49" s="24"/>
      <c r="H49" s="24"/>
    </row>
    <row r="50" spans="1:8" ht="34.5">
      <c r="A50" s="156" t="s">
        <v>138</v>
      </c>
      <c r="B50" s="157">
        <f>[1]BOR4!$C$96+[1]BOR4!C$118</f>
        <v>6863525</v>
      </c>
      <c r="C50" s="157">
        <f>[1]BOR4!$D$96+[1]BOR4!D$118</f>
        <v>6641798</v>
      </c>
      <c r="D50" s="157">
        <f>[1]BOR4!$E$96+[1]BOR4!E$118</f>
        <v>6589285.8190384619</v>
      </c>
      <c r="E50" s="93">
        <f t="shared" si="1"/>
        <v>-274239.18096153811</v>
      </c>
      <c r="F50" s="343">
        <f t="shared" si="2"/>
        <v>-3.9956025651766126E-2</v>
      </c>
      <c r="G50" s="24"/>
      <c r="H50" s="24"/>
    </row>
    <row r="51" spans="1:8" ht="34.5">
      <c r="A51" s="158" t="s">
        <v>139</v>
      </c>
      <c r="B51" s="159">
        <f>[1]BOR4!$C$143</f>
        <v>5564301</v>
      </c>
      <c r="C51" s="159">
        <f>[1]BOR4!$D$143</f>
        <v>5485914</v>
      </c>
      <c r="D51" s="159">
        <f>[1]BOR4!$E$143</f>
        <v>5228663.74</v>
      </c>
      <c r="E51" s="93">
        <f t="shared" si="1"/>
        <v>-335637.25999999978</v>
      </c>
      <c r="F51" s="343">
        <f t="shared" si="2"/>
        <v>-6.0319752651770593E-2</v>
      </c>
      <c r="G51" s="24"/>
      <c r="H51" s="24"/>
    </row>
    <row r="52" spans="1:8" ht="34.5">
      <c r="A52" s="158" t="s">
        <v>140</v>
      </c>
      <c r="B52" s="159">
        <f>[1]BOR4!$C$167</f>
        <v>11600842</v>
      </c>
      <c r="C52" s="159">
        <f>[1]BOR4!$D$167</f>
        <v>10543770</v>
      </c>
      <c r="D52" s="159">
        <f>[1]BOR4!$E$167</f>
        <v>10432134.668846153</v>
      </c>
      <c r="E52" s="93">
        <f t="shared" si="1"/>
        <v>-1168707.3311538473</v>
      </c>
      <c r="F52" s="343">
        <f t="shared" si="2"/>
        <v>-0.1007433194205944</v>
      </c>
      <c r="G52" s="24"/>
      <c r="H52" s="24"/>
    </row>
    <row r="53" spans="1:8" ht="34.5">
      <c r="A53" s="156" t="s">
        <v>141</v>
      </c>
      <c r="B53" s="159">
        <f>[1]BOR4!$C$191</f>
        <v>4953964</v>
      </c>
      <c r="C53" s="159">
        <f>[1]BOR4!$D$191</f>
        <v>5490785</v>
      </c>
      <c r="D53" s="159">
        <f>[1]BOR4!$E$191</f>
        <v>5240785</v>
      </c>
      <c r="E53" s="93">
        <f t="shared" si="1"/>
        <v>286821</v>
      </c>
      <c r="F53" s="343">
        <f t="shared" si="2"/>
        <v>5.7897271760553773E-2</v>
      </c>
      <c r="G53" s="24"/>
      <c r="H53" s="24"/>
    </row>
    <row r="54" spans="1:8" ht="34.5">
      <c r="A54" s="153" t="s">
        <v>142</v>
      </c>
      <c r="B54" s="160">
        <f>[1]BOR4!$C$215</f>
        <v>9317635</v>
      </c>
      <c r="C54" s="160">
        <f>[1]BOR4!$D$215</f>
        <v>9686371</v>
      </c>
      <c r="D54" s="160">
        <f>[1]BOR4!$E$215</f>
        <v>9664454.629999999</v>
      </c>
      <c r="E54" s="93">
        <f t="shared" si="1"/>
        <v>346819.62999999896</v>
      </c>
      <c r="F54" s="343">
        <f t="shared" si="2"/>
        <v>3.7221851896967306E-2</v>
      </c>
      <c r="G54" s="24"/>
      <c r="H54" s="24"/>
    </row>
    <row r="55" spans="1:8" ht="35.25">
      <c r="A55" s="114" t="s">
        <v>143</v>
      </c>
      <c r="B55" s="116">
        <f>SUM(B47:B54)-9</f>
        <v>81013741</v>
      </c>
      <c r="C55" s="116">
        <f>SUM(C47:C54)+2</f>
        <v>82708937</v>
      </c>
      <c r="D55" s="116">
        <f>SUM(D47:D54)</f>
        <v>80117824.448846146</v>
      </c>
      <c r="E55" s="94">
        <f t="shared" si="1"/>
        <v>-895916.55115385354</v>
      </c>
      <c r="F55" s="344">
        <f t="shared" si="2"/>
        <v>-1.1058822121963897E-2</v>
      </c>
      <c r="G55" s="24"/>
      <c r="H55" s="24"/>
    </row>
    <row r="56" spans="1:8" ht="34.5">
      <c r="A56" s="31" t="s">
        <v>144</v>
      </c>
      <c r="B56" s="93"/>
      <c r="C56" s="93"/>
      <c r="D56" s="93"/>
      <c r="E56" s="97"/>
      <c r="F56" s="343" t="str">
        <f t="shared" si="2"/>
        <v xml:space="preserve">  </v>
      </c>
      <c r="G56" s="24"/>
      <c r="H56" s="24"/>
    </row>
    <row r="57" spans="1:8" ht="34.5">
      <c r="A57" s="31" t="s">
        <v>145</v>
      </c>
      <c r="B57" s="93">
        <f>[1]BOR4!$C$246</f>
        <v>44454</v>
      </c>
      <c r="C57" s="93">
        <f>[1]BOR4!$D$246</f>
        <v>43000</v>
      </c>
      <c r="D57" s="93">
        <f>[1]BOR4!$E$246</f>
        <v>45000</v>
      </c>
      <c r="E57" s="93">
        <f>+D57-B57</f>
        <v>546</v>
      </c>
      <c r="F57" s="343">
        <f t="shared" si="2"/>
        <v>1.2282359292752058E-2</v>
      </c>
      <c r="G57" s="24"/>
      <c r="H57" s="24"/>
    </row>
    <row r="58" spans="1:8" ht="34.5">
      <c r="A58" s="31" t="s">
        <v>146</v>
      </c>
      <c r="B58" s="93">
        <f>[1]BOR4!$C$276</f>
        <v>4003141</v>
      </c>
      <c r="C58" s="93">
        <f>[1]BOR4!$D$276</f>
        <v>3033141</v>
      </c>
      <c r="D58" s="93">
        <f>[1]BOR4!$E$276</f>
        <v>2683141</v>
      </c>
      <c r="E58" s="93">
        <f>+D58-B58</f>
        <v>-1320000</v>
      </c>
      <c r="F58" s="343">
        <f t="shared" si="2"/>
        <v>-0.32974107082413534</v>
      </c>
      <c r="G58" s="24"/>
      <c r="H58" s="24"/>
    </row>
    <row r="59" spans="1:8" ht="34.5">
      <c r="A59" s="31" t="s">
        <v>147</v>
      </c>
      <c r="B59" s="93">
        <f>[1]BOR4!$C$245</f>
        <v>800000</v>
      </c>
      <c r="C59" s="93">
        <f>[1]BOR4!$D$245</f>
        <v>800000</v>
      </c>
      <c r="D59" s="93">
        <f>[1]BOR4!$E$252</f>
        <v>0</v>
      </c>
      <c r="E59" s="93">
        <f>+D59-B59</f>
        <v>-800000</v>
      </c>
      <c r="F59" s="343">
        <f t="shared" si="2"/>
        <v>-1</v>
      </c>
      <c r="G59" s="24"/>
      <c r="H59" s="24"/>
    </row>
    <row r="60" spans="1:8" ht="35.25">
      <c r="A60" s="114" t="s">
        <v>53</v>
      </c>
      <c r="B60" s="116">
        <f>SUM(B55:B59)+9</f>
        <v>85861345</v>
      </c>
      <c r="C60" s="116">
        <f>SUM(C55:C59)-1</f>
        <v>86585077</v>
      </c>
      <c r="D60" s="116">
        <f>SUM(D55:D59)</f>
        <v>82845965.448846146</v>
      </c>
      <c r="E60" s="94">
        <f>+D60-B60</f>
        <v>-3015379.5511538535</v>
      </c>
      <c r="F60" s="344">
        <f t="shared" si="2"/>
        <v>-3.5119174421899095E-2</v>
      </c>
      <c r="G60" s="24"/>
      <c r="H60" s="24"/>
    </row>
    <row r="61" spans="1:8" ht="35.25">
      <c r="A61" s="114"/>
      <c r="B61" s="116"/>
      <c r="C61" s="116"/>
      <c r="D61" s="116"/>
      <c r="E61" s="127"/>
      <c r="F61" s="354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92"/>
      <c r="C62" s="92"/>
      <c r="D62" s="92"/>
      <c r="E62" s="98"/>
      <c r="F62" s="342" t="str">
        <f>IF(ISBLANK(E62),"  ",IF(C62&gt;0,E62/C62,IF(E62&gt;0,1,0)))</f>
        <v xml:space="preserve">  </v>
      </c>
      <c r="G62" s="24"/>
      <c r="H62" s="24"/>
    </row>
    <row r="63" spans="1:8" ht="34.5">
      <c r="A63" s="126" t="s">
        <v>55</v>
      </c>
      <c r="B63" s="118">
        <f>[1]BOR4!$C$284</f>
        <v>48146534</v>
      </c>
      <c r="C63" s="118">
        <f>[1]BOR4!$D$284</f>
        <v>47368208</v>
      </c>
      <c r="D63" s="118">
        <f>[1]BOR4!$E$284</f>
        <v>45595971.823076926</v>
      </c>
      <c r="E63" s="93">
        <f t="shared" ref="E63:E72" si="3">+D63-B63</f>
        <v>-2550562.1769230738</v>
      </c>
      <c r="F63" s="343">
        <f t="shared" ref="F63:F80" si="4">IF(ISBLANK(E63),"  ",IF(B63&gt;0,E63/B63,IF(E63&gt;0,1,0)))</f>
        <v>-5.2974990409965415E-2</v>
      </c>
      <c r="G63" s="24"/>
      <c r="H63" s="24"/>
    </row>
    <row r="64" spans="1:8" ht="34.5">
      <c r="A64" s="31" t="s">
        <v>56</v>
      </c>
      <c r="B64" s="93">
        <f>[1]BOR4!$C$285</f>
        <v>518689</v>
      </c>
      <c r="C64" s="93">
        <f>[1]BOR4!$D$285</f>
        <v>513030</v>
      </c>
      <c r="D64" s="93">
        <f>[1]BOR4!$E$285</f>
        <v>475200</v>
      </c>
      <c r="E64" s="93">
        <f t="shared" si="3"/>
        <v>-43489</v>
      </c>
      <c r="F64" s="343">
        <f t="shared" si="4"/>
        <v>-8.384407612268624E-2</v>
      </c>
      <c r="G64" s="24"/>
      <c r="H64" s="24"/>
    </row>
    <row r="65" spans="1:8" ht="34.5">
      <c r="A65" s="31" t="s">
        <v>57</v>
      </c>
      <c r="B65" s="93">
        <f>[1]BOR4!$C$286</f>
        <v>15013509</v>
      </c>
      <c r="C65" s="93">
        <f>[1]BOR4!$D$286</f>
        <v>14958127</v>
      </c>
      <c r="D65" s="93">
        <f>[1]BOR4!$E$286</f>
        <v>15083494.935769232</v>
      </c>
      <c r="E65" s="93">
        <f t="shared" si="3"/>
        <v>69985.93576923199</v>
      </c>
      <c r="F65" s="343">
        <f t="shared" si="4"/>
        <v>4.6615308765746892E-3</v>
      </c>
      <c r="G65" s="24"/>
      <c r="H65" s="24"/>
    </row>
    <row r="66" spans="1:8" ht="35.25">
      <c r="A66" s="114" t="s">
        <v>58</v>
      </c>
      <c r="B66" s="116">
        <f>SUM(B63:B65)+1</f>
        <v>63678733</v>
      </c>
      <c r="C66" s="116">
        <f>SUM(C63:C65)+1</f>
        <v>62839366</v>
      </c>
      <c r="D66" s="116">
        <f>SUM(D63:D65)+1</f>
        <v>61154667.758846156</v>
      </c>
      <c r="E66" s="94">
        <f t="shared" si="3"/>
        <v>-2524065.2411538437</v>
      </c>
      <c r="F66" s="344">
        <f t="shared" si="4"/>
        <v>-3.9637491549240525E-2</v>
      </c>
      <c r="G66" s="24"/>
      <c r="H66" s="24"/>
    </row>
    <row r="67" spans="1:8" ht="34.5">
      <c r="A67" s="31" t="s">
        <v>59</v>
      </c>
      <c r="B67" s="93">
        <f>[1]BOR4!$C$288</f>
        <v>426417</v>
      </c>
      <c r="C67" s="93">
        <f>[1]BOR4!$D$288</f>
        <v>566400</v>
      </c>
      <c r="D67" s="93">
        <f>[1]BOR4!$E$288</f>
        <v>520958</v>
      </c>
      <c r="E67" s="93">
        <f t="shared" si="3"/>
        <v>94541</v>
      </c>
      <c r="F67" s="343">
        <f t="shared" si="4"/>
        <v>0.22171020386147833</v>
      </c>
      <c r="G67" s="24"/>
      <c r="H67" s="24"/>
    </row>
    <row r="68" spans="1:8" ht="34.5">
      <c r="A68" s="126" t="s">
        <v>60</v>
      </c>
      <c r="B68" s="118">
        <f>[1]BOR4!$C$289</f>
        <v>7609285</v>
      </c>
      <c r="C68" s="118">
        <f>[1]BOR4!$D$289</f>
        <v>7875818</v>
      </c>
      <c r="D68" s="118">
        <f>[1]BOR4!$E$289</f>
        <v>8206617</v>
      </c>
      <c r="E68" s="93">
        <f t="shared" si="3"/>
        <v>597332</v>
      </c>
      <c r="F68" s="343">
        <f t="shared" si="4"/>
        <v>7.8500411011021398E-2</v>
      </c>
      <c r="G68" s="24"/>
      <c r="H68" s="24"/>
    </row>
    <row r="69" spans="1:8" ht="34.5">
      <c r="A69" s="152" t="s">
        <v>61</v>
      </c>
      <c r="B69" s="162">
        <f>[1]BOR4!$C$290</f>
        <v>1480612</v>
      </c>
      <c r="C69" s="162">
        <f>[1]BOR4!$D$290</f>
        <v>1781537</v>
      </c>
      <c r="D69" s="162">
        <f>[1]BOR4!$E$290</f>
        <v>1810915</v>
      </c>
      <c r="E69" s="93">
        <f t="shared" si="3"/>
        <v>330303</v>
      </c>
      <c r="F69" s="343">
        <f t="shared" si="4"/>
        <v>0.22308545385286624</v>
      </c>
      <c r="G69" s="24"/>
      <c r="H69" s="24"/>
    </row>
    <row r="70" spans="1:8" ht="35.25">
      <c r="A70" s="253" t="s">
        <v>62</v>
      </c>
      <c r="B70" s="134">
        <f>SUM(B67:B69)</f>
        <v>9516314</v>
      </c>
      <c r="C70" s="134">
        <f>SUM(C67:C69)</f>
        <v>10223755</v>
      </c>
      <c r="D70" s="134">
        <f>SUM(D67:D69)</f>
        <v>10538490</v>
      </c>
      <c r="E70" s="94">
        <f t="shared" si="3"/>
        <v>1022176</v>
      </c>
      <c r="F70" s="344">
        <f t="shared" si="4"/>
        <v>0.10741301726697963</v>
      </c>
      <c r="G70" s="24"/>
      <c r="H70" s="24"/>
    </row>
    <row r="71" spans="1:8" ht="34.5">
      <c r="A71" s="30" t="s">
        <v>63</v>
      </c>
      <c r="B71" s="92">
        <f>[1]BOR4!$C$292</f>
        <v>566591</v>
      </c>
      <c r="C71" s="92">
        <f>[1]BOR4!$D$292</f>
        <v>516902</v>
      </c>
      <c r="D71" s="92">
        <f>[1]BOR4!$E$292</f>
        <v>503783</v>
      </c>
      <c r="E71" s="93">
        <f t="shared" si="3"/>
        <v>-62808</v>
      </c>
      <c r="F71" s="343">
        <f t="shared" si="4"/>
        <v>-0.11085244912114735</v>
      </c>
      <c r="G71" s="24"/>
      <c r="H71" s="24"/>
    </row>
    <row r="72" spans="1:8" ht="34.5">
      <c r="A72" s="31" t="s">
        <v>64</v>
      </c>
      <c r="B72" s="93">
        <f>+[1]BOR4!$C$293</f>
        <v>11054553</v>
      </c>
      <c r="C72" s="93">
        <f>+[1]BOR4!$D$293</f>
        <v>10454053</v>
      </c>
      <c r="D72" s="93">
        <f>+[1]BOR4!$E$293</f>
        <v>8207163</v>
      </c>
      <c r="E72" s="93">
        <f t="shared" si="3"/>
        <v>-2847390</v>
      </c>
      <c r="F72" s="343">
        <f t="shared" si="4"/>
        <v>-0.25757622221359833</v>
      </c>
      <c r="G72" s="24"/>
      <c r="H72" s="24"/>
    </row>
    <row r="73" spans="1:8" ht="34.5">
      <c r="A73" s="31" t="s">
        <v>148</v>
      </c>
      <c r="B73" s="93"/>
      <c r="C73" s="93"/>
      <c r="D73" s="93"/>
      <c r="E73" s="97"/>
      <c r="F73" s="343" t="str">
        <f t="shared" si="4"/>
        <v xml:space="preserve">  </v>
      </c>
      <c r="G73" s="24"/>
      <c r="H73" s="24"/>
    </row>
    <row r="74" spans="1:8" ht="34.5">
      <c r="A74" s="126" t="s">
        <v>66</v>
      </c>
      <c r="B74" s="128">
        <f>[1]BOR4!$C$246</f>
        <v>44454</v>
      </c>
      <c r="C74" s="128">
        <f>[1]BOR4!$D$246</f>
        <v>43000</v>
      </c>
      <c r="D74" s="128">
        <f>[1]BOR4!$E$246</f>
        <v>45000</v>
      </c>
      <c r="E74" s="93">
        <f>+D74-B74</f>
        <v>546</v>
      </c>
      <c r="F74" s="343">
        <f t="shared" si="4"/>
        <v>1.2282359292752058E-2</v>
      </c>
      <c r="G74" s="24"/>
      <c r="H74" s="24"/>
    </row>
    <row r="75" spans="1:8" ht="35.25">
      <c r="A75" s="114" t="s">
        <v>67</v>
      </c>
      <c r="B75" s="116">
        <f>SUM(B71:B74)</f>
        <v>11665598</v>
      </c>
      <c r="C75" s="116">
        <f>SUM(C71:C74)</f>
        <v>11013955</v>
      </c>
      <c r="D75" s="116">
        <f>SUM(D71:D74)</f>
        <v>8755946</v>
      </c>
      <c r="E75" s="94">
        <f>+D75-B75</f>
        <v>-2909652</v>
      </c>
      <c r="F75" s="344">
        <f t="shared" si="4"/>
        <v>-0.24942158987477539</v>
      </c>
      <c r="G75" s="24"/>
      <c r="H75" s="24"/>
    </row>
    <row r="76" spans="1:8" ht="34.5">
      <c r="A76" s="31" t="s">
        <v>68</v>
      </c>
      <c r="B76" s="93">
        <f>[1]BOR4!$C$297</f>
        <v>750832</v>
      </c>
      <c r="C76" s="93">
        <f>[1]BOR4!$D$297</f>
        <v>2258002</v>
      </c>
      <c r="D76" s="93">
        <f>[1]BOR4!$E$297</f>
        <v>2216861</v>
      </c>
      <c r="E76" s="93">
        <f>+D76-B76</f>
        <v>1466029</v>
      </c>
      <c r="F76" s="343">
        <f t="shared" si="4"/>
        <v>1.9525393163850235</v>
      </c>
      <c r="G76" s="24"/>
      <c r="H76" s="24"/>
    </row>
    <row r="77" spans="1:8" ht="34.5">
      <c r="A77" s="31" t="s">
        <v>69</v>
      </c>
      <c r="B77" s="93">
        <f>[1]BOR4!$C$298</f>
        <v>249867</v>
      </c>
      <c r="C77" s="93">
        <f>[1]BOR4!$D$298</f>
        <v>250000</v>
      </c>
      <c r="D77" s="93">
        <f>[1]BOR4!$E$298</f>
        <v>180000</v>
      </c>
      <c r="E77" s="93">
        <f>+D77-B77</f>
        <v>-69867</v>
      </c>
      <c r="F77" s="343">
        <f t="shared" si="4"/>
        <v>-0.2796167561142528</v>
      </c>
      <c r="G77" s="24"/>
      <c r="H77" s="24"/>
    </row>
    <row r="78" spans="1:8" ht="34.5">
      <c r="A78" s="117" t="s">
        <v>70</v>
      </c>
      <c r="B78" s="118"/>
      <c r="C78" s="118"/>
      <c r="D78" s="118"/>
      <c r="E78" s="118"/>
      <c r="F78" s="343" t="str">
        <f t="shared" si="4"/>
        <v xml:space="preserve">  </v>
      </c>
      <c r="G78" s="24"/>
      <c r="H78" s="24"/>
    </row>
    <row r="79" spans="1:8" ht="35.25">
      <c r="A79" s="114" t="s">
        <v>149</v>
      </c>
      <c r="B79" s="116">
        <f>SUM(B76:B78)</f>
        <v>1000699</v>
      </c>
      <c r="C79" s="116">
        <f>SUM(C76:C78)</f>
        <v>2508002</v>
      </c>
      <c r="D79" s="116">
        <f>SUM(D76:D78)</f>
        <v>2396861</v>
      </c>
      <c r="E79" s="94">
        <f>+D79-B79</f>
        <v>1396162</v>
      </c>
      <c r="F79" s="344">
        <f t="shared" si="4"/>
        <v>1.3951867644516482</v>
      </c>
      <c r="G79" s="24"/>
      <c r="H79" s="24"/>
    </row>
    <row r="80" spans="1:8" ht="36" thickBot="1">
      <c r="A80" s="114" t="s">
        <v>53</v>
      </c>
      <c r="B80" s="116">
        <f>+B66+B70+B75+B79+1</f>
        <v>85861345</v>
      </c>
      <c r="C80" s="116">
        <f>+C66+C70+C75+C79-1</f>
        <v>86585077</v>
      </c>
      <c r="D80" s="116">
        <f>+D66+D70+D75+D79</f>
        <v>82845964.758846164</v>
      </c>
      <c r="E80" s="94">
        <f>+D80-B80</f>
        <v>-3015380.2411538363</v>
      </c>
      <c r="F80" s="344">
        <f t="shared" si="4"/>
        <v>-3.5119182458111228E-2</v>
      </c>
      <c r="G80" s="24"/>
      <c r="H80" s="24"/>
    </row>
    <row r="81" spans="1:8" ht="25.5">
      <c r="A81" s="34"/>
      <c r="B81" s="34"/>
      <c r="C81" s="34"/>
      <c r="D81" s="34"/>
      <c r="E81" s="34"/>
      <c r="F81" s="349"/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/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zoomScale="31" zoomScaleNormal="31" workbookViewId="0">
      <selection activeCell="J12" sqref="J12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26.8867187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288</v>
      </c>
      <c r="G1" s="143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1" t="s">
        <v>14</v>
      </c>
      <c r="B8" s="93">
        <v>9055260</v>
      </c>
      <c r="C8" s="93">
        <v>9055260</v>
      </c>
      <c r="D8" s="93">
        <f>2619151-D9</f>
        <v>2427627</v>
      </c>
      <c r="E8" s="93">
        <f>D8-B8</f>
        <v>-6627633</v>
      </c>
      <c r="F8" s="343">
        <f>IF(ISBLANK(E8),"  ",IF(B8&gt;0,E8/B8,IF(E8&gt;0,1,0)))</f>
        <v>-0.73190974085779981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191524</v>
      </c>
      <c r="E9" s="93">
        <f>D9-B9</f>
        <v>191524</v>
      </c>
      <c r="F9" s="343">
        <f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/>
      <c r="C10" s="93"/>
      <c r="D10" s="93"/>
      <c r="E10" s="93"/>
      <c r="F10" s="343" t="str">
        <f t="shared" ref="F10:F62" si="0">IF(ISBLANK(E10),"  ",IF(C10&gt;0,E10/C10,IF(E10&gt;0,1,0)))</f>
        <v xml:space="preserve">  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93"/>
      <c r="F11" s="343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/>
      <c r="C12" s="93"/>
      <c r="D12" s="93"/>
      <c r="E12" s="93"/>
      <c r="F12" s="343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94"/>
      <c r="F30" s="344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9055260</v>
      </c>
      <c r="C31" s="122">
        <f>C30+C29+C27+C10+C9+C8</f>
        <v>9055260</v>
      </c>
      <c r="D31" s="122">
        <f>D30+D29+D27+D10+D9+D8</f>
        <v>2619151</v>
      </c>
      <c r="E31" s="94">
        <f>D31-B31</f>
        <v>-6436109</v>
      </c>
      <c r="F31" s="390">
        <f>IF(ISBLANK(E31),"  ",IF(B31&gt;0,E31/B31,IF(E31&gt;0,1,0)))</f>
        <v>-0.71075916097384284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 t="shared" si="0"/>
        <v xml:space="preserve">  </v>
      </c>
      <c r="G32" s="24"/>
      <c r="H32" s="24"/>
    </row>
    <row r="33" spans="1:10" ht="35.25">
      <c r="A33" s="130" t="s">
        <v>34</v>
      </c>
      <c r="B33" s="147"/>
      <c r="C33" s="147"/>
      <c r="D33" s="147"/>
      <c r="E33" s="92"/>
      <c r="F33" s="397" t="str">
        <f>IF(ISBLANK(E33),"  ",IF(B33&gt;0,E33/B33,IF(E33&gt;0,1,0)))</f>
        <v xml:space="preserve">  </v>
      </c>
      <c r="G33" s="24"/>
      <c r="H33" s="24"/>
    </row>
    <row r="34" spans="1:10" ht="35.25">
      <c r="A34" s="132" t="s">
        <v>35</v>
      </c>
      <c r="B34" s="133"/>
      <c r="C34" s="133"/>
      <c r="D34" s="133"/>
      <c r="E34" s="133"/>
      <c r="F34" s="345" t="str">
        <f t="shared" si="0"/>
        <v xml:space="preserve">  </v>
      </c>
      <c r="G34" s="24"/>
      <c r="H34" s="24"/>
    </row>
    <row r="35" spans="1:10" ht="35.25">
      <c r="A35" s="137" t="s">
        <v>36</v>
      </c>
      <c r="B35" s="147">
        <v>6964</v>
      </c>
      <c r="C35" s="147">
        <v>36000</v>
      </c>
      <c r="D35" s="147">
        <v>36000</v>
      </c>
      <c r="E35" s="401">
        <f>D35-B35</f>
        <v>29036</v>
      </c>
      <c r="F35" s="399">
        <f>IF(ISBLANK(E35),"  ",IF(B35&gt;0,E35/B35,IF(E35&gt;0,1,0)))</f>
        <v>4.1694428489373925</v>
      </c>
      <c r="G35" s="24"/>
      <c r="H35" s="24"/>
    </row>
    <row r="36" spans="1:10" ht="35.25">
      <c r="A36" s="30" t="s">
        <v>35</v>
      </c>
      <c r="B36" s="95"/>
      <c r="C36" s="95"/>
      <c r="D36" s="95"/>
      <c r="E36" s="95"/>
      <c r="F36" s="345" t="str">
        <f t="shared" si="0"/>
        <v xml:space="preserve">  </v>
      </c>
      <c r="G36" s="24"/>
      <c r="H36" s="24"/>
    </row>
    <row r="37" spans="1:10" ht="35.25">
      <c r="A37" s="130" t="s">
        <v>113</v>
      </c>
      <c r="B37" s="147"/>
      <c r="C37" s="147"/>
      <c r="D37" s="147"/>
      <c r="E37" s="401"/>
      <c r="F37" s="366" t="str">
        <f t="shared" si="0"/>
        <v xml:space="preserve">  </v>
      </c>
      <c r="G37" s="24"/>
      <c r="H37" s="24"/>
    </row>
    <row r="38" spans="1:10" ht="35.25">
      <c r="A38" s="132" t="s">
        <v>35</v>
      </c>
      <c r="B38" s="133"/>
      <c r="C38" s="133"/>
      <c r="D38" s="133"/>
      <c r="E38" s="95"/>
      <c r="F38" s="356" t="str">
        <f t="shared" si="0"/>
        <v xml:space="preserve">  </v>
      </c>
      <c r="G38" s="24"/>
      <c r="H38" s="24"/>
    </row>
    <row r="39" spans="1:10" ht="35.25">
      <c r="A39" s="130" t="s">
        <v>37</v>
      </c>
      <c r="B39" s="147">
        <v>489800</v>
      </c>
      <c r="C39" s="147">
        <v>1150000</v>
      </c>
      <c r="D39" s="147">
        <v>1150000</v>
      </c>
      <c r="E39" s="401">
        <f>D39-B39</f>
        <v>660200</v>
      </c>
      <c r="F39" s="399">
        <f>IF(ISBLANK(E39),"  ",IF(B39&gt;0,E39/B39,IF(E39&gt;0,1,0)))</f>
        <v>1.3478971008574929</v>
      </c>
      <c r="G39" s="24"/>
      <c r="H39" s="24"/>
    </row>
    <row r="40" spans="1:10" ht="35.25">
      <c r="A40" s="33" t="s">
        <v>35</v>
      </c>
      <c r="B40" s="95"/>
      <c r="C40" s="95"/>
      <c r="D40" s="95" t="s">
        <v>35</v>
      </c>
      <c r="E40" s="95"/>
      <c r="F40" s="345" t="str">
        <f t="shared" si="0"/>
        <v xml:space="preserve">  </v>
      </c>
      <c r="G40" s="24"/>
      <c r="H40" s="24"/>
    </row>
    <row r="41" spans="1:10" ht="35.25">
      <c r="A41" s="130" t="s">
        <v>38</v>
      </c>
      <c r="B41" s="147"/>
      <c r="C41" s="147"/>
      <c r="D41" s="147"/>
      <c r="E41" s="401"/>
      <c r="F41" s="399" t="str">
        <f>IF(ISBLANK(E41),"  ",IF(B41&gt;0,E41/B41,IF(E41&gt;0,1,0)))</f>
        <v xml:space="preserve">  </v>
      </c>
      <c r="G41" s="24"/>
      <c r="H41" s="24"/>
    </row>
    <row r="42" spans="1:10" ht="35.25">
      <c r="A42" s="132"/>
      <c r="B42" s="133"/>
      <c r="C42" s="133"/>
      <c r="D42" s="133"/>
      <c r="E42" s="95"/>
      <c r="F42" s="345" t="str">
        <f t="shared" si="0"/>
        <v xml:space="preserve">  </v>
      </c>
      <c r="G42" s="24"/>
      <c r="H42" s="24"/>
    </row>
    <row r="43" spans="1:10" ht="35.25">
      <c r="A43" s="137" t="s">
        <v>39</v>
      </c>
      <c r="B43" s="147">
        <f>B41+B39+B37+B35+B31+B33</f>
        <v>9552024</v>
      </c>
      <c r="C43" s="147">
        <f>C41+C39+C37+C35+C31</f>
        <v>10241260</v>
      </c>
      <c r="D43" s="147">
        <f>D41+D39+D37+D35+D31</f>
        <v>3805151</v>
      </c>
      <c r="E43" s="401">
        <f>D43-B43</f>
        <v>-5746873</v>
      </c>
      <c r="F43" s="399">
        <f>IF(ISBLANK(E43),"  ",IF(B43&gt;0,E43/B43,IF(E43&gt;0,1,0)))</f>
        <v>-0.6016392965511812</v>
      </c>
      <c r="G43" s="24"/>
      <c r="H43" s="24"/>
    </row>
    <row r="44" spans="1:10" ht="35.25">
      <c r="A44" s="119"/>
      <c r="B44" s="95"/>
      <c r="C44" s="95"/>
      <c r="D44" s="95"/>
      <c r="E44" s="95"/>
      <c r="F44" s="345" t="str">
        <f t="shared" si="0"/>
        <v xml:space="preserve">  </v>
      </c>
      <c r="G44" s="24"/>
      <c r="H44" s="24"/>
    </row>
    <row r="45" spans="1:10" ht="35.25">
      <c r="A45" s="30"/>
      <c r="B45" s="95"/>
      <c r="C45" s="95"/>
      <c r="D45" s="95"/>
      <c r="E45" s="95"/>
      <c r="F45" s="345" t="str">
        <f t="shared" si="0"/>
        <v xml:space="preserve">  </v>
      </c>
      <c r="G45" s="24"/>
      <c r="H45" s="24"/>
      <c r="J45" s="16" t="s">
        <v>35</v>
      </c>
    </row>
    <row r="46" spans="1:10" ht="35.25">
      <c r="A46" s="33" t="s">
        <v>40</v>
      </c>
      <c r="B46" s="95"/>
      <c r="C46" s="95"/>
      <c r="D46" s="95"/>
      <c r="E46" s="95"/>
      <c r="F46" s="345" t="str">
        <f t="shared" si="0"/>
        <v xml:space="preserve">  </v>
      </c>
      <c r="G46" s="24"/>
      <c r="H46" s="24"/>
    </row>
    <row r="47" spans="1:10" ht="34.5">
      <c r="A47" s="153" t="s">
        <v>41</v>
      </c>
      <c r="B47" s="154"/>
      <c r="C47" s="154"/>
      <c r="D47" s="154"/>
      <c r="E47" s="154"/>
      <c r="F47" s="343" t="str">
        <f t="shared" ref="F47:F57" si="1">IF(ISBLANK(E47),"  ",IF(B47&gt;0,E47/B47,IF(E47&gt;0,1,0)))</f>
        <v xml:space="preserve">  </v>
      </c>
      <c r="G47" s="24"/>
      <c r="H47" s="24"/>
    </row>
    <row r="48" spans="1:10" ht="34.5">
      <c r="A48" s="155" t="s">
        <v>42</v>
      </c>
      <c r="B48" s="154"/>
      <c r="C48" s="154"/>
      <c r="D48" s="154"/>
      <c r="E48" s="154"/>
      <c r="F48" s="343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43" t="str">
        <f t="shared" si="1"/>
        <v xml:space="preserve">  </v>
      </c>
      <c r="G49" s="24"/>
      <c r="H49" s="24"/>
    </row>
    <row r="50" spans="1:8" ht="34.5">
      <c r="A50" s="156" t="s">
        <v>44</v>
      </c>
      <c r="B50" s="157"/>
      <c r="C50" s="157"/>
      <c r="D50" s="157"/>
      <c r="E50" s="157"/>
      <c r="F50" s="343" t="str">
        <f t="shared" si="1"/>
        <v xml:space="preserve">  </v>
      </c>
      <c r="G50" s="24"/>
      <c r="H50" s="24"/>
    </row>
    <row r="51" spans="1:8" ht="34.5">
      <c r="A51" s="158" t="s">
        <v>45</v>
      </c>
      <c r="B51" s="159"/>
      <c r="C51" s="159"/>
      <c r="D51" s="159"/>
      <c r="E51" s="159"/>
      <c r="F51" s="343" t="str">
        <f t="shared" si="1"/>
        <v xml:space="preserve">  </v>
      </c>
      <c r="G51" s="24"/>
      <c r="H51" s="24"/>
    </row>
    <row r="52" spans="1:8" ht="34.5">
      <c r="A52" s="158" t="s">
        <v>74</v>
      </c>
      <c r="B52" s="159">
        <v>9552024</v>
      </c>
      <c r="C52" s="159">
        <v>10241260</v>
      </c>
      <c r="D52" s="159">
        <v>3805151</v>
      </c>
      <c r="E52" s="93">
        <f>D52-B52</f>
        <v>-5746873</v>
      </c>
      <c r="F52" s="343">
        <f t="shared" si="1"/>
        <v>-0.6016392965511812</v>
      </c>
      <c r="G52" s="24"/>
      <c r="H52" s="24"/>
    </row>
    <row r="53" spans="1:8" ht="34.5">
      <c r="A53" s="156" t="s">
        <v>46</v>
      </c>
      <c r="B53" s="159"/>
      <c r="C53" s="159"/>
      <c r="D53" s="159"/>
      <c r="E53" s="159"/>
      <c r="F53" s="343" t="str">
        <f t="shared" si="1"/>
        <v xml:space="preserve">  </v>
      </c>
      <c r="G53" s="24"/>
      <c r="H53" s="24"/>
    </row>
    <row r="54" spans="1:8" ht="34.5">
      <c r="A54" s="153" t="s">
        <v>47</v>
      </c>
      <c r="B54" s="160"/>
      <c r="C54" s="160"/>
      <c r="D54" s="160"/>
      <c r="E54" s="159"/>
      <c r="F54" s="343" t="str">
        <f t="shared" si="1"/>
        <v xml:space="preserve">  </v>
      </c>
      <c r="G54" s="24"/>
      <c r="H54" s="24"/>
    </row>
    <row r="55" spans="1:8" ht="35.25">
      <c r="A55" s="114" t="s">
        <v>48</v>
      </c>
      <c r="B55" s="116">
        <f>SUM(B47:B54)</f>
        <v>9552024</v>
      </c>
      <c r="C55" s="116">
        <f>SUM(C47:C54)</f>
        <v>10241260</v>
      </c>
      <c r="D55" s="116">
        <f>SUM(D47:D54)</f>
        <v>3805151</v>
      </c>
      <c r="E55" s="94">
        <f>D55-B55</f>
        <v>-5746873</v>
      </c>
      <c r="F55" s="344">
        <f t="shared" si="1"/>
        <v>-0.6016392965511812</v>
      </c>
      <c r="G55" s="24"/>
      <c r="H55" s="24"/>
    </row>
    <row r="56" spans="1:8" ht="34.5">
      <c r="A56" s="31" t="s">
        <v>49</v>
      </c>
      <c r="B56" s="93"/>
      <c r="C56" s="93"/>
      <c r="D56" s="93"/>
      <c r="E56" s="97"/>
      <c r="F56" s="343" t="str">
        <f t="shared" si="1"/>
        <v xml:space="preserve">  </v>
      </c>
      <c r="G56" s="24"/>
      <c r="H56" s="24"/>
    </row>
    <row r="57" spans="1:8" ht="34.5">
      <c r="A57" s="31" t="s">
        <v>50</v>
      </c>
      <c r="B57" s="93"/>
      <c r="C57" s="93"/>
      <c r="D57" s="93"/>
      <c r="E57" s="97"/>
      <c r="F57" s="343" t="str">
        <f t="shared" si="1"/>
        <v xml:space="preserve">  </v>
      </c>
      <c r="G57" s="24"/>
      <c r="H57" s="24"/>
    </row>
    <row r="58" spans="1:8" ht="34.5">
      <c r="A58" s="31" t="s">
        <v>51</v>
      </c>
      <c r="B58" s="93"/>
      <c r="C58" s="93"/>
      <c r="D58" s="93"/>
      <c r="E58" s="97"/>
      <c r="F58" s="343" t="str">
        <f>IF(ISBLANK(E58),"  ",IF(B58&gt;0,E58/B58,IF(E58&gt;0,1,0)))</f>
        <v xml:space="preserve">  </v>
      </c>
      <c r="G58" s="24"/>
      <c r="H58" s="24"/>
    </row>
    <row r="59" spans="1:8" ht="34.5">
      <c r="A59" s="31" t="s">
        <v>52</v>
      </c>
      <c r="B59" s="93"/>
      <c r="C59" s="93"/>
      <c r="D59" s="93"/>
      <c r="E59" s="97"/>
      <c r="F59" s="343" t="str">
        <f>IF(ISBLANK(E59),"  ",IF(B59&gt;0,E59/B59,IF(E59&gt;0,1,0)))</f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9552024</v>
      </c>
      <c r="C60" s="116">
        <f>C59+C58+C57+C56+C55</f>
        <v>10241260</v>
      </c>
      <c r="D60" s="116">
        <f>D59+D58+D57+D56+D55</f>
        <v>3805151</v>
      </c>
      <c r="E60" s="94">
        <f>D60-B60</f>
        <v>-5746873</v>
      </c>
      <c r="F60" s="344">
        <f>IF(ISBLANK(E60),"  ",IF(B60&gt;0,E60/B60,IF(E60&gt;0,1,0)))</f>
        <v>-0.6016392965511812</v>
      </c>
      <c r="G60" s="24"/>
      <c r="H60" s="24"/>
    </row>
    <row r="61" spans="1:8" ht="35.25">
      <c r="A61" s="114"/>
      <c r="B61" s="116"/>
      <c r="C61" s="116"/>
      <c r="D61" s="116"/>
      <c r="E61" s="127"/>
      <c r="F61" s="354" t="str">
        <f t="shared" si="0"/>
        <v xml:space="preserve">  </v>
      </c>
      <c r="G61" s="24"/>
      <c r="H61" s="24"/>
    </row>
    <row r="62" spans="1:8" ht="35.25">
      <c r="A62" s="119" t="s">
        <v>54</v>
      </c>
      <c r="B62" s="92"/>
      <c r="C62" s="92"/>
      <c r="D62" s="92"/>
      <c r="E62" s="98"/>
      <c r="F62" s="342" t="str">
        <f t="shared" si="0"/>
        <v xml:space="preserve">  </v>
      </c>
      <c r="G62" s="24"/>
      <c r="H62" s="24"/>
    </row>
    <row r="63" spans="1:8" ht="34.5">
      <c r="A63" s="126" t="s">
        <v>55</v>
      </c>
      <c r="B63" s="118">
        <v>2358642</v>
      </c>
      <c r="C63" s="118">
        <v>2487741</v>
      </c>
      <c r="D63" s="118">
        <v>2007187</v>
      </c>
      <c r="E63" s="93">
        <f t="shared" ref="E63:E72" si="2">D63-B63</f>
        <v>-351455</v>
      </c>
      <c r="F63" s="343">
        <f t="shared" ref="F63:F69" si="3">IF(ISBLANK(E63),"  ",IF(B63&gt;0,E63/B63,IF(E63&gt;0,1,0)))</f>
        <v>-0.14900735253590838</v>
      </c>
      <c r="G63" s="24"/>
      <c r="H63" s="24"/>
    </row>
    <row r="64" spans="1:8" ht="34.5">
      <c r="A64" s="31" t="s">
        <v>56</v>
      </c>
      <c r="B64" s="93">
        <v>50394</v>
      </c>
      <c r="C64" s="93">
        <v>73083</v>
      </c>
      <c r="D64" s="93">
        <v>45000</v>
      </c>
      <c r="E64" s="93">
        <f t="shared" si="2"/>
        <v>-5394</v>
      </c>
      <c r="F64" s="343">
        <f t="shared" si="3"/>
        <v>-0.10703655197047268</v>
      </c>
      <c r="G64" s="24"/>
      <c r="H64" s="24"/>
    </row>
    <row r="65" spans="1:8" ht="34.5">
      <c r="A65" s="31" t="s">
        <v>57</v>
      </c>
      <c r="B65" s="93">
        <v>677814</v>
      </c>
      <c r="C65" s="93">
        <v>682697</v>
      </c>
      <c r="D65" s="93">
        <v>454616</v>
      </c>
      <c r="E65" s="93">
        <f t="shared" si="2"/>
        <v>-223198</v>
      </c>
      <c r="F65" s="343">
        <f t="shared" si="3"/>
        <v>-0.32929092641934216</v>
      </c>
      <c r="G65" s="24"/>
      <c r="H65" s="24"/>
    </row>
    <row r="66" spans="1:8" ht="35.25">
      <c r="A66" s="114" t="s">
        <v>58</v>
      </c>
      <c r="B66" s="116">
        <f>SUM(B63:B65)</f>
        <v>3086850</v>
      </c>
      <c r="C66" s="116">
        <f>SUM(C63:C65)</f>
        <v>3243521</v>
      </c>
      <c r="D66" s="116">
        <f>SUM(D63:D65)</f>
        <v>2506803</v>
      </c>
      <c r="E66" s="94">
        <f t="shared" si="2"/>
        <v>-580047</v>
      </c>
      <c r="F66" s="344">
        <f t="shared" si="3"/>
        <v>-0.18790903348073279</v>
      </c>
      <c r="G66" s="24"/>
      <c r="H66" s="24"/>
    </row>
    <row r="67" spans="1:8" ht="34.5">
      <c r="A67" s="31" t="s">
        <v>59</v>
      </c>
      <c r="B67" s="93">
        <v>54696</v>
      </c>
      <c r="C67" s="93">
        <v>62464</v>
      </c>
      <c r="D67" s="93">
        <v>50275</v>
      </c>
      <c r="E67" s="93">
        <f t="shared" si="2"/>
        <v>-4421</v>
      </c>
      <c r="F67" s="343">
        <f t="shared" si="3"/>
        <v>-8.0828579786456051E-2</v>
      </c>
      <c r="G67" s="24"/>
      <c r="H67" s="24"/>
    </row>
    <row r="68" spans="1:8" ht="34.5">
      <c r="A68" s="126" t="s">
        <v>60</v>
      </c>
      <c r="B68" s="118">
        <v>74631</v>
      </c>
      <c r="C68" s="118">
        <v>86398</v>
      </c>
      <c r="D68" s="118">
        <v>85000</v>
      </c>
      <c r="E68" s="93">
        <f t="shared" si="2"/>
        <v>10369</v>
      </c>
      <c r="F68" s="343">
        <f t="shared" si="3"/>
        <v>0.13893690289557958</v>
      </c>
      <c r="G68" s="24"/>
      <c r="H68" s="24"/>
    </row>
    <row r="69" spans="1:8" ht="34.5">
      <c r="A69" s="152" t="s">
        <v>61</v>
      </c>
      <c r="B69" s="162">
        <v>9252</v>
      </c>
      <c r="C69" s="162">
        <v>15899</v>
      </c>
      <c r="D69" s="162">
        <v>12000</v>
      </c>
      <c r="E69" s="93">
        <f t="shared" si="2"/>
        <v>2748</v>
      </c>
      <c r="F69" s="343">
        <f t="shared" si="3"/>
        <v>0.29701686121919585</v>
      </c>
      <c r="G69" s="24"/>
      <c r="H69" s="24"/>
    </row>
    <row r="70" spans="1:8" ht="35.25">
      <c r="A70" s="253" t="s">
        <v>62</v>
      </c>
      <c r="B70" s="134">
        <f>SUM(B67:B69)</f>
        <v>138579</v>
      </c>
      <c r="C70" s="134">
        <f>SUM(C67:C69)</f>
        <v>164761</v>
      </c>
      <c r="D70" s="134">
        <f>SUM(D67:D69)</f>
        <v>147275</v>
      </c>
      <c r="E70" s="94">
        <f t="shared" si="2"/>
        <v>8696</v>
      </c>
      <c r="F70" s="344">
        <f>IF(ISBLANK(E70),"  ",IF(B70&gt;0,E70/B70,IF(E70&gt;0,1,0)))</f>
        <v>6.2751210500869542E-2</v>
      </c>
      <c r="G70" s="24"/>
      <c r="H70" s="24"/>
    </row>
    <row r="71" spans="1:8" ht="34.5">
      <c r="A71" s="30" t="s">
        <v>63</v>
      </c>
      <c r="B71" s="92">
        <v>127747</v>
      </c>
      <c r="C71" s="92">
        <v>268249</v>
      </c>
      <c r="D71" s="92">
        <v>180000</v>
      </c>
      <c r="E71" s="93">
        <f t="shared" si="2"/>
        <v>52253</v>
      </c>
      <c r="F71" s="343">
        <f>IF(ISBLANK(E71),"  ",IF(B71&gt;0,E71/B71,IF(E71&gt;0,1,0)))</f>
        <v>0.40903504583277883</v>
      </c>
      <c r="G71" s="24"/>
      <c r="H71" s="24"/>
    </row>
    <row r="72" spans="1:8" ht="34.5">
      <c r="A72" s="31" t="s">
        <v>64</v>
      </c>
      <c r="B72" s="93">
        <f>11839+151+1</f>
        <v>11991</v>
      </c>
      <c r="C72" s="93">
        <v>65952</v>
      </c>
      <c r="D72" s="93">
        <v>65952</v>
      </c>
      <c r="E72" s="93">
        <f t="shared" si="2"/>
        <v>53961</v>
      </c>
      <c r="F72" s="343">
        <f>IF(ISBLANK(E72),"  ",IF(B72&gt;0,E72/B72,IF(E72&gt;0,1,0)))</f>
        <v>4.5001250938203654</v>
      </c>
      <c r="G72" s="24"/>
      <c r="H72" s="24"/>
    </row>
    <row r="73" spans="1:8" ht="34.5">
      <c r="A73" s="31" t="s">
        <v>65</v>
      </c>
      <c r="B73" s="93"/>
      <c r="C73" s="93"/>
      <c r="D73" s="93"/>
      <c r="E73" s="97"/>
      <c r="F73" s="343" t="str">
        <f t="shared" ref="F73:F80" si="4">IF(ISBLANK(E73),"  ",IF(B73&gt;0,E73/B73,IF(E73&gt;0,1,0)))</f>
        <v xml:space="preserve">  </v>
      </c>
      <c r="G73" s="24"/>
      <c r="H73" s="24"/>
    </row>
    <row r="74" spans="1:8" ht="34.5">
      <c r="A74" s="126" t="s">
        <v>66</v>
      </c>
      <c r="B74" s="128">
        <f>6182505-B72+1</f>
        <v>6170515</v>
      </c>
      <c r="C74" s="128">
        <f>6060220+469849-C72</f>
        <v>6464117</v>
      </c>
      <c r="D74" s="128">
        <v>870121</v>
      </c>
      <c r="E74" s="93">
        <f>D74-B74</f>
        <v>-5300394</v>
      </c>
      <c r="F74" s="343">
        <f t="shared" si="4"/>
        <v>-0.85898729684637343</v>
      </c>
      <c r="G74" s="24"/>
      <c r="H74" s="24"/>
    </row>
    <row r="75" spans="1:8" ht="35.25">
      <c r="A75" s="114" t="s">
        <v>67</v>
      </c>
      <c r="B75" s="116">
        <f>SUM(B71:B74)</f>
        <v>6310253</v>
      </c>
      <c r="C75" s="116">
        <f>SUM(C71:C74)</f>
        <v>6798318</v>
      </c>
      <c r="D75" s="116">
        <f>SUM(D71:D74)</f>
        <v>1116073</v>
      </c>
      <c r="E75" s="94">
        <f>D75-B75</f>
        <v>-5194180</v>
      </c>
      <c r="F75" s="344">
        <f t="shared" si="4"/>
        <v>-0.82313339893028059</v>
      </c>
      <c r="G75" s="24"/>
      <c r="H75" s="24"/>
    </row>
    <row r="76" spans="1:8" ht="34.5">
      <c r="A76" s="31" t="s">
        <v>68</v>
      </c>
      <c r="B76" s="93">
        <v>16342</v>
      </c>
      <c r="C76" s="93">
        <v>34660</v>
      </c>
      <c r="D76" s="93">
        <v>35000</v>
      </c>
      <c r="E76" s="93">
        <f>D76-B76</f>
        <v>18658</v>
      </c>
      <c r="F76" s="343">
        <f t="shared" si="4"/>
        <v>1.1417207196181618</v>
      </c>
      <c r="G76" s="24"/>
      <c r="H76" s="24"/>
    </row>
    <row r="77" spans="1:8" ht="34.5">
      <c r="A77" s="31" t="s">
        <v>69</v>
      </c>
      <c r="B77" s="93"/>
      <c r="C77" s="93"/>
      <c r="D77" s="93"/>
      <c r="E77" s="93"/>
      <c r="F77" s="343" t="str">
        <f t="shared" si="4"/>
        <v xml:space="preserve">  </v>
      </c>
      <c r="G77" s="24"/>
      <c r="H77" s="24"/>
    </row>
    <row r="78" spans="1:8" ht="34.5">
      <c r="A78" s="117" t="s">
        <v>70</v>
      </c>
      <c r="B78" s="118"/>
      <c r="C78" s="118"/>
      <c r="D78" s="118"/>
      <c r="E78" s="118"/>
      <c r="F78" s="343" t="str">
        <f t="shared" si="4"/>
        <v xml:space="preserve">  </v>
      </c>
      <c r="G78" s="24"/>
      <c r="H78" s="24"/>
    </row>
    <row r="79" spans="1:8" ht="35.25">
      <c r="A79" s="114" t="s">
        <v>71</v>
      </c>
      <c r="B79" s="116">
        <f>SUM(B76:B78)</f>
        <v>16342</v>
      </c>
      <c r="C79" s="116">
        <f>SUM(C76:C78)</f>
        <v>34660</v>
      </c>
      <c r="D79" s="116">
        <f>SUM(D76:D78)</f>
        <v>35000</v>
      </c>
      <c r="E79" s="94">
        <f>D79-B79</f>
        <v>18658</v>
      </c>
      <c r="F79" s="344">
        <f t="shared" si="4"/>
        <v>1.1417207196181618</v>
      </c>
      <c r="G79" s="24"/>
      <c r="H79" s="24"/>
    </row>
    <row r="80" spans="1:8" ht="36" thickBot="1">
      <c r="A80" s="114" t="s">
        <v>53</v>
      </c>
      <c r="B80" s="116">
        <f>B79+B75+B70+B66</f>
        <v>9552024</v>
      </c>
      <c r="C80" s="116">
        <f>C79+C75+C70+C66</f>
        <v>10241260</v>
      </c>
      <c r="D80" s="116">
        <f>D79+D75+D70+D66</f>
        <v>3805151</v>
      </c>
      <c r="E80" s="94">
        <f>D80-B80</f>
        <v>-5746873</v>
      </c>
      <c r="F80" s="344">
        <f t="shared" si="4"/>
        <v>-0.6016392965511812</v>
      </c>
      <c r="G80" s="24"/>
      <c r="H80" s="24"/>
    </row>
    <row r="81" spans="1:8" ht="25.5">
      <c r="A81" s="34"/>
      <c r="B81" s="34"/>
      <c r="C81" s="34"/>
      <c r="D81" s="34"/>
      <c r="E81" s="34"/>
      <c r="F81" s="349" t="s">
        <v>35</v>
      </c>
      <c r="G81" s="24"/>
      <c r="H81" s="24"/>
    </row>
    <row r="82" spans="1:8" ht="44.25">
      <c r="A82" s="36" t="s">
        <v>99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6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70" zoomScaleSheetLayoutView="70" zoomScalePageLayoutView="55" workbookViewId="0">
      <selection activeCell="Q7" sqref="Q7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299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 t="s">
        <v>35</v>
      </c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f ca="1">SUM(BOS!B8,LSU!B8,VET!B8,UNO!B8,LSUA!B8,LSUE!B8,LSUS!B8,AG!B8,HSCNO!B8,HSCS!B8,EACON!B8,HPLMC!B8,LAW!B8,PBRC!B8)</f>
        <v>661794107</v>
      </c>
      <c r="C8" s="92">
        <f ca="1">SUM(BOS!C8,LSU!C8,VET!C8,UNO!C8,LSUA!C8,LSUE!C8,LSUS!C8,AG!C8,HSCNO!C8,HSCS!C8,EACON!C8,HPLMC!C8,LAW!C8,PBRC!C8)</f>
        <v>661794107</v>
      </c>
      <c r="D8" s="92">
        <f ca="1">SUM(BOS!D8,LSU!D8,VET!D8,UNO!D8,LSUA!D8,LSUE!D8,LSUS!D8,AG!D8,HSCNO!D8,HSCS!D8,EACON!D8,HPLMC!D8,LAW!D8,PBRC!D8)</f>
        <v>474424047</v>
      </c>
      <c r="E8" s="178">
        <f>D8-B8</f>
        <v>-187370060</v>
      </c>
      <c r="F8" s="355">
        <f>IF(ISBLANK(E8),"  ",IF(B8&gt;0,E8/B8,IF(E8&gt;0,1,0)))</f>
        <v>-0.28312440080401019</v>
      </c>
      <c r="G8" s="24"/>
      <c r="H8" s="24"/>
      <c r="I8" s="24"/>
      <c r="J8" s="24"/>
    </row>
    <row r="9" spans="1:10" ht="34.5">
      <c r="A9" s="153" t="s">
        <v>87</v>
      </c>
      <c r="B9" s="93">
        <f ca="1">SUM(BOS!B9,LSU!B9,VET!B9,UNO!B9,LSUA!B9,LSUE!B9,LSUS!B9,AG!B9,HSCNO!B9,HSCS!B9,EACON!B9,HPLMC!B9,LAW!B9,PBRC!B9)</f>
        <v>0</v>
      </c>
      <c r="C9" s="93">
        <f ca="1">SUM(BOS!C9,LSU!C9,VET!C9,UNO!C9,LSUA!C9,LSUE!C9,LSUS!C9,AG!C9,HSCNO!C9,HSCS!C9,EACON!C9,HPLMC!C9,LAW!C9,PBRC!C9)</f>
        <v>0</v>
      </c>
      <c r="D9" s="93">
        <f ca="1">SUM(BOS!D9,LSU!D9,VET!D9,UNO!D9,LSUA!D9,LSUE!D9,LSUS!D9,AG!D9,HSCNO!D9,HSCS!D9,EACON!D9,HPLMC!D9,LAW!D9,PBRC!D9)</f>
        <v>43048349</v>
      </c>
      <c r="E9" s="178">
        <f>D9-B9</f>
        <v>43048349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 ca="1">SUM(B11:B25)</f>
        <v>59719669</v>
      </c>
      <c r="C10" s="93">
        <f ca="1">SUM(BOS!C10,LSU!C10,VET!C10,UNO!C10,LSUA!C10,LSUE!C10,LSUS!C10,AG!C10,HSCNO!C10,HSCS!C10,EACON!C10,HPLMC!C10,LAW!C10,PBRC!C10)</f>
        <v>60543538</v>
      </c>
      <c r="D10" s="93">
        <f ca="1">SUM(BOS!D10,LSU!D10,VET!D10,UNO!D10,LSUA!D10,LSUE!D10,LSUS!D10,AG!D10,HSCNO!D10,HSCS!D10,EACON!D10,HPLMC!D10,LAW!D10,PBRC!D10)</f>
        <v>60940232</v>
      </c>
      <c r="E10" s="93">
        <f>D10-C10</f>
        <v>396694</v>
      </c>
      <c r="F10" s="369">
        <f t="shared" si="0"/>
        <v>6.6426021215891199E-3</v>
      </c>
      <c r="G10" s="24"/>
      <c r="H10" s="24"/>
      <c r="I10" s="24"/>
      <c r="J10" s="24"/>
    </row>
    <row r="11" spans="1:10" ht="34.5">
      <c r="A11" s="30" t="s">
        <v>16</v>
      </c>
      <c r="B11" s="93">
        <f ca="1">SUM(BOS!B11,LSU!B11,VET!B11,UNO!B11,LSUA!B11,LSUE!B11,LSUS!B11,AG!B11,HSCNO!B11,HSCS!B11,EACON!B11,HPLMC!B11,LAW!B11,PBRC!B11)</f>
        <v>0</v>
      </c>
      <c r="C11" s="93">
        <f ca="1">SUM(BOS!C11,LSU!C11,VET!C11,UNO!C11,LSUA!C11,LSUE!C11,LSUS!C11,AG!C11,HSCNO!C11,HSCS!C11,EACON!C11,HPLMC!C11,LAW!C11,PBRC!C11)</f>
        <v>0</v>
      </c>
      <c r="D11" s="93">
        <f ca="1">SUM(BOS!D11,LSU!D11,VET!D11,UNO!D11,LSUA!D11,LSUE!D11,LSUS!D11,AG!D11,HSCNO!D11,HSCS!D11,EACON!D11,HPLMC!D11,LAW!D11,PBRC!D11)</f>
        <v>2670756</v>
      </c>
      <c r="E11" s="178">
        <f t="shared" ref="E11:E31" si="1">D11-B11</f>
        <v>2670756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 ca="1">SUM(BOS!B12,LSU!B12,VET!B12,UNO!B12,LSUA!B12,LSUE!B12,LSUS!B12,AG!B12,HSCNO!B12,HSCS!B12,EACON!B12,HPLMC!B12,LAW!B12,PBRC!B12)</f>
        <v>26571352</v>
      </c>
      <c r="C12" s="93">
        <f ca="1">SUM(BOS!C12,LSU!C12,VET!C12,UNO!C12,LSUA!C12,LSUE!C12,LSUS!C12,AG!C12,HSCNO!C12,HSCS!C12,EACON!C12,HPLMC!C12,LAW!C12,PBRC!C12)</f>
        <v>27395221</v>
      </c>
      <c r="D12" s="93">
        <f ca="1">SUM(BOS!D12,LSU!D12,VET!D12,UNO!D12,LSUA!D12,LSUE!D12,LSUS!D12,AG!D12,HSCNO!D12,HSCS!D12,EACON!D12,HPLMC!D12,LAW!D12,PBRC!D12)</f>
        <v>23700572</v>
      </c>
      <c r="E12" s="178">
        <f t="shared" si="1"/>
        <v>-2870780</v>
      </c>
      <c r="F12" s="369">
        <f t="shared" si="0"/>
        <v>-0.10804041886916406</v>
      </c>
      <c r="G12" s="24"/>
      <c r="H12" s="24"/>
      <c r="I12" s="24"/>
      <c r="J12" s="24"/>
    </row>
    <row r="13" spans="1:10" ht="34.5">
      <c r="A13" s="31" t="s">
        <v>18</v>
      </c>
      <c r="B13" s="93">
        <f ca="1">SUM(BOS!B13,LSU!B13,VET!B13,UNO!B13,LSUA!B13,LSUE!B13,LSUS!B13,AG!B13,HSCNO!B13,HSCS!B13,EACON!B13,HPLMC!B13,LAW!B13,PBRC!B13)</f>
        <v>26983034</v>
      </c>
      <c r="C13" s="93">
        <f ca="1">SUM(BOS!C13,LSU!C13,VET!C13,UNO!C13,LSUA!C13,LSUE!C13,LSUS!C13,AG!C13,HSCNO!C13,HSCS!C13,EACON!C13,HPLMC!C13,LAW!C13,PBRC!C13)</f>
        <v>26983034</v>
      </c>
      <c r="D13" s="93">
        <f ca="1">SUM(BOS!D13,LSU!D13,VET!D13,UNO!D13,LSUA!D13,LSUE!D13,LSUS!D13,AG!D13,HSCNO!D13,HSCS!D13,EACON!D13,HPLMC!D13,LAW!D13,PBRC!D13)</f>
        <v>27819885</v>
      </c>
      <c r="E13" s="178">
        <f t="shared" si="1"/>
        <v>836851</v>
      </c>
      <c r="F13" s="369">
        <f t="shared" si="0"/>
        <v>3.1013969741134375E-2</v>
      </c>
      <c r="G13" s="24"/>
      <c r="H13" s="24"/>
      <c r="I13" s="24"/>
      <c r="J13" s="24"/>
    </row>
    <row r="14" spans="1:10" ht="34.5">
      <c r="A14" s="31" t="s">
        <v>19</v>
      </c>
      <c r="B14" s="93">
        <f ca="1">SUM(BOS!B14,LSU!B14,VET!B14,UNO!B14,LSUA!B14,LSUE!B14,LSUS!B14,AG!B14,HSCNO!B14,HSCS!B14,EACON!B14,HPLMC!B14,LAW!B14,PBRC!B14)</f>
        <v>0</v>
      </c>
      <c r="C14" s="93">
        <f ca="1">SUM(BOS!C14,LSU!C14,VET!C14,UNO!C14,LSUA!C14,LSUE!C14,LSUS!C14,AG!C14,HSCNO!C14,HSCS!C14,EACON!C14,HPLMC!C14,LAW!C14,PBRC!C14)</f>
        <v>0</v>
      </c>
      <c r="D14" s="93">
        <f ca="1">SUM(BOS!D14,LSU!D14,VET!D14,UNO!D14,LSUA!D14,LSUE!D14,LSUS!D14,AG!D14,HSCNO!D14,HSCS!D14,EACON!D14,HPLMC!D14,LAW!D14,PBRC!D14)</f>
        <v>0</v>
      </c>
      <c r="E14" s="178">
        <f t="shared" si="1"/>
        <v>0</v>
      </c>
      <c r="F14" s="369">
        <f t="shared" si="0"/>
        <v>0</v>
      </c>
      <c r="G14" s="24"/>
      <c r="H14" s="24"/>
      <c r="I14" s="24"/>
      <c r="J14" s="24"/>
    </row>
    <row r="15" spans="1:10" ht="34.5">
      <c r="A15" s="31" t="s">
        <v>20</v>
      </c>
      <c r="B15" s="93">
        <f ca="1">SUM(BOS!B15,LSU!B15,VET!B15,UNO!B15,LSUA!B15,LSUE!B15,LSUS!B15,AG!B15,HSCNO!B15,HSCS!B15,EACON!B15,HPLMC!B15,LAW!B15,PBRC!B15)</f>
        <v>0</v>
      </c>
      <c r="C15" s="93">
        <f ca="1">SUM(BOS!C15,LSU!C15,VET!C15,UNO!C15,LSUA!C15,LSUE!C15,LSUS!C15,AG!C15,HSCNO!C15,HSCS!C15,EACON!C15,HPLMC!C15,LAW!C15,PBRC!C15)</f>
        <v>0</v>
      </c>
      <c r="D15" s="93">
        <f ca="1">SUM(BOS!D15,LSU!D15,VET!D15,UNO!D15,LSUA!D15,LSUE!D15,LSUS!D15,AG!D15,HSCNO!D15,HSCS!D15,EACON!D15,HPLMC!D15,LAW!D15,PBRC!D15)</f>
        <v>0</v>
      </c>
      <c r="E15" s="178">
        <f t="shared" si="1"/>
        <v>0</v>
      </c>
      <c r="F15" s="369">
        <f t="shared" si="0"/>
        <v>0</v>
      </c>
      <c r="G15" s="24"/>
      <c r="H15" s="24"/>
      <c r="I15" s="24"/>
      <c r="J15" s="24"/>
    </row>
    <row r="16" spans="1:10" ht="34.5">
      <c r="A16" s="31" t="s">
        <v>21</v>
      </c>
      <c r="B16" s="93">
        <f ca="1">SUM(BOS!B16,LSU!B16,VET!B16,UNO!B16,LSUA!B16,LSUE!B16,LSUS!B16,AG!B16,HSCNO!B16,HSCS!B16,EACON!B16,HPLMC!B16,LAW!B16,PBRC!B16)</f>
        <v>0</v>
      </c>
      <c r="C16" s="93">
        <f ca="1">SUM(BOS!C16,LSU!C16,VET!C16,UNO!C16,LSUA!C16,LSUE!C16,LSUS!C16,AG!C16,HSCNO!C16,HSCS!C16,EACON!C16,HPLMC!C16,LAW!C16,PBRC!C16)</f>
        <v>0</v>
      </c>
      <c r="D16" s="93">
        <f ca="1">SUM(BOS!D16,LSU!D16,VET!D16,UNO!D16,LSUA!D16,LSUE!D16,LSUS!D16,AG!D16,HSCNO!D16,HSCS!D16,EACON!D16,HPLMC!D16,LAW!D16,PBRC!D16)</f>
        <v>0</v>
      </c>
      <c r="E16" s="178">
        <f t="shared" si="1"/>
        <v>0</v>
      </c>
      <c r="F16" s="369">
        <f t="shared" si="0"/>
        <v>0</v>
      </c>
      <c r="G16" s="24"/>
      <c r="H16" s="24"/>
      <c r="I16" s="24"/>
      <c r="J16" s="24"/>
    </row>
    <row r="17" spans="1:8" ht="34.5">
      <c r="A17" s="31" t="s">
        <v>22</v>
      </c>
      <c r="B17" s="93">
        <f ca="1">SUM(BOS!B17,LSU!B17,VET!B17,UNO!B17,LSUA!B17,LSUE!B17,LSUS!B17,AG!B17,HSCNO!B17,HSCS!B17,EACON!B17,HPLMC!B17,LAW!B17,PBRC!B17)</f>
        <v>0</v>
      </c>
      <c r="C17" s="93">
        <f ca="1">SUM(BOS!C17,LSU!C17,VET!C17,UNO!C17,LSUA!C17,LSUE!C17,LSUS!C17,AG!C17,HSCNO!C17,HSCS!C17,EACON!C17,HPLMC!C17,LAW!C17,PBRC!C17)</f>
        <v>0</v>
      </c>
      <c r="D17" s="93">
        <f ca="1">SUM(BOS!D17,LSU!D17,VET!D17,UNO!D17,LSUA!D17,LSUE!D17,LSUS!D17,AG!D17,HSCNO!D17,HSCS!D17,EACON!D17,HPLMC!D17,LAW!D17,PBRC!D17)</f>
        <v>0</v>
      </c>
      <c r="E17" s="178">
        <f t="shared" si="1"/>
        <v>0</v>
      </c>
      <c r="F17" s="369">
        <f t="shared" si="0"/>
        <v>0</v>
      </c>
      <c r="G17" s="24"/>
      <c r="H17" s="24"/>
    </row>
    <row r="18" spans="1:8" ht="34.5">
      <c r="A18" s="31" t="s">
        <v>23</v>
      </c>
      <c r="B18" s="93">
        <f ca="1">SUM(BOS!B18,LSU!B18,VET!B18,UNO!B18,LSUA!B18,LSUE!B18,LSUS!B18,AG!B18,HSCNO!B18,HSCS!B18,EACON!B18,HPLMC!B18,LAW!B18,PBRC!B18)</f>
        <v>750000</v>
      </c>
      <c r="C18" s="93">
        <f ca="1">SUM(BOS!C18,LSU!C18,VET!C18,UNO!C18,LSUA!C18,LSUE!C18,LSUS!C18,AG!C18,HSCNO!C18,HSCS!C18,EACON!C18,HPLMC!C18,LAW!C18,PBRC!C18)</f>
        <v>750000</v>
      </c>
      <c r="D18" s="93">
        <f ca="1">SUM(BOS!D18,LSU!D18,VET!D18,UNO!D18,LSUA!D18,LSUE!D18,LSUS!D18,AG!D18,HSCNO!D18,HSCS!D18,EACON!D18,HPLMC!D18,LAW!D18,PBRC!D18)</f>
        <v>750000</v>
      </c>
      <c r="E18" s="178">
        <f t="shared" si="1"/>
        <v>0</v>
      </c>
      <c r="F18" s="369">
        <f t="shared" si="0"/>
        <v>0</v>
      </c>
      <c r="G18" s="24"/>
      <c r="H18" s="24"/>
    </row>
    <row r="19" spans="1:8" ht="34.5">
      <c r="A19" s="31" t="s">
        <v>24</v>
      </c>
      <c r="B19" s="93">
        <f ca="1">SUM(BOS!B19,LSU!B19,VET!B19,UNO!B19,LSUA!B19,LSUE!B19,LSUS!B19,AG!B19,HSCNO!B19,HSCS!B19,EACON!B19,HPLMC!B19,LAW!B19,PBRC!B19)</f>
        <v>2900000</v>
      </c>
      <c r="C19" s="93">
        <f ca="1">SUM(BOS!C19,LSU!C19,VET!C19,UNO!C19,LSUA!C19,LSUE!C19,LSUS!C19,AG!C19,HSCNO!C19,HSCS!C19,EACON!C19,HPLMC!C19,LAW!C19,PBRC!C19)</f>
        <v>2900000</v>
      </c>
      <c r="D19" s="93">
        <f ca="1">SUM(BOS!D19,LSU!D19,VET!D19,UNO!D19,LSUA!D19,LSUE!D19,LSUS!D19,AG!D19,HSCNO!D19,HSCS!D19,EACON!D19,HPLMC!D19,LAW!D19,PBRC!D19)</f>
        <v>2500000</v>
      </c>
      <c r="E19" s="178">
        <f t="shared" si="1"/>
        <v>-400000</v>
      </c>
      <c r="F19" s="369">
        <f t="shared" si="0"/>
        <v>-0.13793103448275862</v>
      </c>
      <c r="G19" s="24"/>
      <c r="H19" s="24"/>
    </row>
    <row r="20" spans="1:8" ht="34.5">
      <c r="A20" s="31" t="s">
        <v>25</v>
      </c>
      <c r="B20" s="93">
        <f ca="1">SUM(BOS!B20,LSU!B20,VET!B20,UNO!B20,LSUA!B20,LSUE!B20,LSUS!B20,AG!B20,HSCNO!B20,HSCS!B20,EACON!B20,HPLMC!B20,LAW!B20,PBRC!B20)</f>
        <v>210000</v>
      </c>
      <c r="C20" s="93">
        <f ca="1">SUM(BOS!C20,LSU!C20,VET!C20,UNO!C20,LSUA!C20,LSUE!C20,LSUS!C20,AG!C20,HSCNO!C20,HSCS!C20,EACON!C20,HPLMC!C20,LAW!C20,PBRC!C20)</f>
        <v>210000</v>
      </c>
      <c r="D20" s="93">
        <f ca="1">SUM(BOS!D20,LSU!D20,VET!D20,UNO!D20,LSUA!D20,LSUE!D20,LSUS!D20,AG!D20,HSCNO!D20,HSCS!D20,EACON!D20,HPLMC!D20,LAW!D20,PBRC!D20)</f>
        <v>210000</v>
      </c>
      <c r="E20" s="178">
        <f t="shared" si="1"/>
        <v>0</v>
      </c>
      <c r="F20" s="369">
        <f t="shared" si="0"/>
        <v>0</v>
      </c>
      <c r="G20" s="24"/>
      <c r="H20" s="24"/>
    </row>
    <row r="21" spans="1:8" ht="34.5">
      <c r="A21" s="31" t="s">
        <v>26</v>
      </c>
      <c r="B21" s="93">
        <f ca="1">SUM(BOS!B21,LSU!B21,VET!B21,UNO!B21,LSUA!B21,LSUE!B21,LSUS!B21,AG!B21,HSCNO!B21,HSCS!B21,EACON!B21,HPLMC!B21,LAW!B21,PBRC!B21)</f>
        <v>0</v>
      </c>
      <c r="C21" s="93">
        <f ca="1">SUM(BOS!C21,LSU!C21,VET!C21,UNO!C21,LSUA!C21,LSUE!C21,LSUS!C21,AG!C21,HSCNO!C21,HSCS!C21,EACON!C21,HPLMC!C21,LAW!C21,PBRC!C21)</f>
        <v>0</v>
      </c>
      <c r="D21" s="93">
        <f ca="1">SUM(BOS!D21,LSU!D21,VET!D21,UNO!D21,LSUA!D21,LSUE!D21,LSUS!D21,AG!D21,HSCNO!D21,HSCS!D21,EACON!D21,HPLMC!D21,LAW!D21,PBRC!D21)</f>
        <v>0</v>
      </c>
      <c r="E21" s="178">
        <f t="shared" si="1"/>
        <v>0</v>
      </c>
      <c r="F21" s="369">
        <f t="shared" si="0"/>
        <v>0</v>
      </c>
      <c r="G21" s="24"/>
      <c r="H21" s="24"/>
    </row>
    <row r="22" spans="1:8" ht="34.5">
      <c r="A22" s="31" t="s">
        <v>27</v>
      </c>
      <c r="B22" s="93">
        <f ca="1">SUM(BOS!B22,LSU!B22,VET!B22,UNO!B22,LSUA!B22,LSUE!B22,LSUS!B22,AG!B22,HSCNO!B22,HSCS!B22,EACON!B22,HPLMC!B22,LAW!B22,PBRC!B22)</f>
        <v>0</v>
      </c>
      <c r="C22" s="93">
        <f ca="1">SUM(BOS!C22,LSU!C22,VET!C22,UNO!C22,LSUA!C22,LSUE!C22,LSUS!C22,AG!C22,HSCNO!C22,HSCS!C22,EACON!C22,HPLMC!C22,LAW!C22,PBRC!C22)</f>
        <v>0</v>
      </c>
      <c r="D22" s="93">
        <f ca="1">SUM(BOS!D22,LSU!D22,VET!D22,UNO!D22,LSUA!D22,LSUE!D22,LSUS!D22,AG!D22,HSCNO!D22,HSCS!D22,EACON!D22,HPLMC!D22,LAW!D22,PBRC!D22)</f>
        <v>0</v>
      </c>
      <c r="E22" s="178">
        <f t="shared" si="1"/>
        <v>0</v>
      </c>
      <c r="F22" s="369">
        <f t="shared" si="0"/>
        <v>0</v>
      </c>
      <c r="G22" s="24"/>
      <c r="H22" s="24"/>
    </row>
    <row r="23" spans="1:8" ht="34.5">
      <c r="A23" s="31" t="s">
        <v>28</v>
      </c>
      <c r="B23" s="93">
        <f ca="1">SUM(BOS!B23,LSU!B23,VET!B23,UNO!B23,LSUA!B23,LSUE!B23,LSUS!B23,AG!B23,HSCNO!B23,HSCS!B23,EACON!B23,HPLMC!B23,LAW!B23,PBRC!B23)</f>
        <v>0</v>
      </c>
      <c r="C23" s="93">
        <f ca="1">SUM(BOS!C23,LSU!C23,VET!C23,UNO!C23,LSUA!C23,LSUE!C23,LSUS!C23,AG!C23,HSCNO!C23,HSCS!C23,EACON!C23,HPLMC!C23,LAW!C23,PBRC!C23)</f>
        <v>0</v>
      </c>
      <c r="D23" s="93">
        <f ca="1">SUM(BOS!D23,LSU!D23,VET!D23,UNO!D23,LSUA!D23,LSUE!D23,LSUS!D23,AG!D23,HSCNO!D23,HSCS!D23,EACON!D23,HPLMC!D23,LAW!D23,PBRC!D23)</f>
        <v>0</v>
      </c>
      <c r="E23" s="178">
        <f t="shared" si="1"/>
        <v>0</v>
      </c>
      <c r="F23" s="369">
        <f t="shared" si="0"/>
        <v>0</v>
      </c>
      <c r="G23" s="24"/>
      <c r="H23" s="24"/>
    </row>
    <row r="24" spans="1:8" ht="34.5">
      <c r="A24" s="31" t="s">
        <v>91</v>
      </c>
      <c r="B24" s="93">
        <f ca="1">SUM(BOS!B24,LSU!B24,VET!B24,UNO!B24,LSUA!B24,LSUE!B24,LSUS!B24,AG!B24,HSCNO!B24,HSCS!B24,EACON!B24,HPLMC!B24,LAW!B24,PBRC!B24)</f>
        <v>0</v>
      </c>
      <c r="C24" s="93">
        <f ca="1">SUM(BOS!C24,LSU!C24,VET!C24,UNO!C24,LSUA!C24,LSUE!C24,LSUS!C24,AG!C24,HSCNO!C24,HSCS!C24,EACON!C24,HPLMC!C24,LAW!C24,PBRC!C24)</f>
        <v>0</v>
      </c>
      <c r="D24" s="93">
        <f ca="1">SUM(BOS!D24,LSU!D24,VET!D24,UNO!D24,LSUA!D24,LSUE!D24,LSUS!D24,AG!D24,HSCNO!D24,HSCS!D24,EACON!D24,HPLMC!D24,LAW!D24,PBRC!D24)</f>
        <v>0</v>
      </c>
      <c r="E24" s="178">
        <f t="shared" si="1"/>
        <v>0</v>
      </c>
      <c r="F24" s="369">
        <f t="shared" si="0"/>
        <v>0</v>
      </c>
      <c r="G24" s="24"/>
      <c r="H24" s="24"/>
    </row>
    <row r="25" spans="1:8" ht="34.5">
      <c r="A25" s="117" t="s">
        <v>80</v>
      </c>
      <c r="B25" s="93">
        <f ca="1">SUM(BOS!B25,LSU!B25,VET!B25,UNO!B25,LSUA!B25,LSUE!B25,LSUS!B25,AG!B25,HSCNO!B25,HSCS!B25,EACON!B25,HPLMC!B25,LAW!B25,PBRC!B25)</f>
        <v>2305283</v>
      </c>
      <c r="C25" s="93">
        <f ca="1">SUM(BOS!C25,LSU!C25,VET!C25,UNO!C25,LSUA!C25,LSUE!C25,LSUS!C25,AG!C25,HSCNO!C25,HSCS!C25,EACON!C25,HPLMC!C25,LAW!C25,PBRC!C25)</f>
        <v>2305283</v>
      </c>
      <c r="D25" s="93">
        <f ca="1">SUM(BOS!D25,LSU!D25,VET!D25,UNO!D25,LSUA!D25,LSUE!D25,LSUS!D25,AG!D25,HSCNO!D25,HSCS!D25,EACON!D25,HPLMC!D25,LAW!D25,PBRC!D25)</f>
        <v>3289019</v>
      </c>
      <c r="E25" s="178">
        <f t="shared" si="1"/>
        <v>983736</v>
      </c>
      <c r="F25" s="369">
        <f t="shared" si="0"/>
        <v>0.42673112151523263</v>
      </c>
      <c r="G25" s="24"/>
      <c r="H25" s="24"/>
    </row>
    <row r="26" spans="1:8" ht="35.25">
      <c r="A26" s="114" t="s">
        <v>29</v>
      </c>
      <c r="B26" s="93">
        <f ca="1">SUM(BOS!B26,LSU!B26,VET!B26,UNO!B26,LSUA!B26,LSUE!B26,LSUS!B26,AG!B26,HSCNO!B26,HSCS!B26,EACON!B26,HPLMC!B26,LAW!B26,PBRC!B26)</f>
        <v>0</v>
      </c>
      <c r="C26" s="93">
        <f ca="1">SUM(BOS!C26,LSU!C26,VET!C26,UNO!C26,LSUA!C26,LSUE!C26,LSUS!C26,AG!C26,HSCNO!C26,HSCS!C26,EACON!C26,HPLMC!C26,LAW!C26,PBRC!C26)</f>
        <v>0</v>
      </c>
      <c r="D26" s="93">
        <f ca="1">SUM(BOS!D26,LSU!D26,VET!D26,UNO!D26,LSUA!D26,LSUE!D26,LSUS!D26,AG!D26,HSCNO!D26,HSCS!D26,EACON!D26,HPLMC!D26,LAW!D26,PBRC!D26)</f>
        <v>0</v>
      </c>
      <c r="E26" s="178">
        <f t="shared" si="1"/>
        <v>0</v>
      </c>
      <c r="F26" s="369">
        <f t="shared" si="0"/>
        <v>0</v>
      </c>
      <c r="G26" s="24"/>
      <c r="H26" s="24"/>
    </row>
    <row r="27" spans="1:8" ht="34.5">
      <c r="A27" s="117" t="s">
        <v>30</v>
      </c>
      <c r="B27" s="93">
        <f ca="1">SUM(BOS!B27,LSU!B27,VET!B27,UNO!B27,LSUA!B27,LSUE!B27,LSUS!B27,AG!B27,HSCNO!B27,HSCS!B27,EACON!B27,HPLMC!B27,LAW!B27,PBRC!B27)</f>
        <v>0</v>
      </c>
      <c r="C27" s="93">
        <f ca="1">SUM(BOS!C27,LSU!C27,VET!C27,UNO!C27,LSUA!C27,LSUE!C27,LSUS!C27,AG!C27,HSCNO!C27,HSCS!C27,EACON!C27,HPLMC!C27,LAW!C27,PBRC!C27)</f>
        <v>0</v>
      </c>
      <c r="D27" s="93">
        <f ca="1">SUM(BOS!D27,LSU!D27,VET!D27,UNO!D27,LSUA!D27,LSUE!D27,LSUS!D27,AG!D27,HSCNO!D27,HSCS!D27,EACON!D27,HPLMC!D27,LAW!D27,PBRC!D27)</f>
        <v>0</v>
      </c>
      <c r="E27" s="178">
        <f t="shared" si="1"/>
        <v>0</v>
      </c>
      <c r="F27" s="369">
        <f t="shared" si="0"/>
        <v>0</v>
      </c>
      <c r="G27" s="24"/>
      <c r="H27" s="24"/>
    </row>
    <row r="28" spans="1:8" ht="35.25">
      <c r="A28" s="114" t="s">
        <v>31</v>
      </c>
      <c r="B28" s="93">
        <f ca="1">SUM(BOS!B28,LSU!B28,VET!B28,UNO!B28,LSUA!B28,LSUE!B28,LSUS!B28,AG!B28,HSCNO!B28,HSCS!B28,EACON!B28,HPLMC!B28,LAW!B28,PBRC!B28)</f>
        <v>0</v>
      </c>
      <c r="C28" s="93">
        <f ca="1">SUM(BOS!C28,LSU!C28,VET!C28,UNO!C28,LSUA!C28,LSUE!C28,LSUS!C28,AG!C28,HSCNO!C28,HSCS!C28,EACON!C28,HPLMC!C28,LAW!C28,PBRC!C28)</f>
        <v>0</v>
      </c>
      <c r="D28" s="93">
        <f ca="1">SUM(BOS!D28,LSU!D28,VET!D28,UNO!D28,LSUA!D28,LSUE!D28,LSUS!D28,AG!D28,HSCNO!D28,HSCS!D28,EACON!D28,HPLMC!D28,LAW!D28,PBRC!D28)</f>
        <v>0</v>
      </c>
      <c r="E28" s="178">
        <f t="shared" si="1"/>
        <v>0</v>
      </c>
      <c r="F28" s="369">
        <f t="shared" si="0"/>
        <v>0</v>
      </c>
      <c r="G28" s="24"/>
      <c r="H28" s="24"/>
    </row>
    <row r="29" spans="1:8" ht="34.5">
      <c r="A29" s="31" t="s">
        <v>30</v>
      </c>
      <c r="B29" s="93">
        <f ca="1">SUM(BOS!B29,LSU!B29,VET!B29,UNO!B29,LSUA!B29,LSUE!B29,LSUS!B29,AG!B29,HSCNO!B29,HSCS!B29,EACON!B29,HPLMC!B29,LAW!B29,PBRC!B29)</f>
        <v>0</v>
      </c>
      <c r="C29" s="93">
        <f ca="1">SUM(BOS!C29,LSU!C29,VET!C29,UNO!C29,LSUA!C29,LSUE!C29,LSUS!C29,AG!C29,HSCNO!C29,HSCS!C29,EACON!C29,HPLMC!C29,LAW!C29,PBRC!C29)</f>
        <v>0</v>
      </c>
      <c r="D29" s="93">
        <f ca="1">SUM(BOS!D29,LSU!D29,VET!D29,UNO!D29,LSUA!D29,LSUE!D29,LSUS!D29,AG!D29,HSCNO!D29,HSCS!D29,EACON!D29,HPLMC!D29,LAW!D29,PBRC!D29)</f>
        <v>0</v>
      </c>
      <c r="E29" s="178">
        <f t="shared" si="1"/>
        <v>0</v>
      </c>
      <c r="F29" s="369">
        <f t="shared" si="0"/>
        <v>0</v>
      </c>
      <c r="G29" s="24"/>
      <c r="H29" s="24"/>
    </row>
    <row r="30" spans="1:8" ht="34.5">
      <c r="A30" s="117" t="s">
        <v>32</v>
      </c>
      <c r="B30" s="118">
        <f ca="1">SUM(BOS!B30,LSU!B30,VET!B30,UNO!B30,LSUA!B30,LSUE!B30,LSUS!B30,AG!B30,HSCNO!B30,HSCS!B30,EACON!B30,HPLMC!B30,LAW!B30,PBRC!B30)</f>
        <v>0</v>
      </c>
      <c r="C30" s="118">
        <f ca="1">SUM(BOS!C30,LSU!C30,VET!C30,UNO!C30,LSUA!C30,LSUE!C30,LSUS!C30,AG!C30,HSCNO!C30,HSCS!C30,EACON!C30,HPLMC!C30,LAW!C30,PBRC!C30)</f>
        <v>0</v>
      </c>
      <c r="D30" s="118">
        <f ca="1">SUM(BOS!D30,LSU!D30,VET!D30,UNO!D30,LSUA!D30,LSUE!D30,LSUS!D30,AG!D30,HSCNO!D30,HSCS!D30,EACON!D30,HPLMC!D30,LAW!D30,PBRC!D30)</f>
        <v>0</v>
      </c>
      <c r="E30" s="178">
        <f t="shared" si="1"/>
        <v>0</v>
      </c>
      <c r="F30" s="369">
        <f t="shared" si="0"/>
        <v>0</v>
      </c>
      <c r="G30" s="24"/>
      <c r="H30" s="24"/>
    </row>
    <row r="31" spans="1:8" ht="35.25">
      <c r="A31" s="146" t="s">
        <v>33</v>
      </c>
      <c r="B31" s="122">
        <f ca="1">SUM(BOS!B31,LSU!B31,VET!B31,UNO!B31,LSUA!B31,LSUE!B31,LSUS!B31,AG!B31,HSCNO!B31,HSCS!B31,EACON!B31,HPLMC!B31,LAW!B31,PBRC!B31)</f>
        <v>721513776</v>
      </c>
      <c r="C31" s="122">
        <f ca="1">SUM(BOS!C31,LSU!C31,VET!C31,UNO!C31,LSUA!C31,LSUE!C31,LSUS!C31,AG!C31,HSCNO!C31,HSCS!C31,EACON!C31,HPLMC!C31,LAW!C31,PBRC!C31)</f>
        <v>722337645</v>
      </c>
      <c r="D31" s="122">
        <f ca="1">SUM(BOS!D31,LSU!D31,VET!D31,UNO!D31,LSUA!D31,LSUE!D31,LSUS!D31,AG!D31,HSCNO!D31,HSCS!D31,EACON!D31,HPLMC!D31,LAW!D31,PBRC!D31)</f>
        <v>578412628</v>
      </c>
      <c r="E31" s="465">
        <f t="shared" si="1"/>
        <v>-143101148</v>
      </c>
      <c r="F31" s="390">
        <f t="shared" si="0"/>
        <v>-0.19833460255372865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>
        <f ca="1">SUM(BOS!B33,LSU!B33,VET!B33,UNO!B33,LSUA!B33,LSUE!B33,LSUS!B33,AG!B33,HSCNO!B33,HSCS!B33,EACON!B33,HPLMC!B33,LAW!B33,PBRC!B33)</f>
        <v>0</v>
      </c>
      <c r="C33" s="147">
        <f ca="1">SUM(BOS!C33,LSU!C33,VET!C33,UNO!C33,LSUA!C33,LSUE!C33,LSUS!C33,AG!C33,HSCNO!C33,HSCS!C33,EACON!C33,HPLMC!C33,LAW!C33,PBRC!C33)</f>
        <v>0</v>
      </c>
      <c r="D33" s="147">
        <f ca="1">SUM(BOS!D33,LSU!D33,VET!D33,UNO!D33,LSUA!D33,LSUE!D33,LSUS!D33,AG!D33,HSCNO!D33,HSCS!D33,EACON!D33,HPLMC!D33,LAW!D33,PBRC!D33)</f>
        <v>0</v>
      </c>
      <c r="E33" s="178">
        <f>D33-B33</f>
        <v>0</v>
      </c>
      <c r="F33" s="342">
        <f>IF(ISBLANK(E33),"  ",IF(B33&gt;0,E33/B33,IF(E33&gt;0,1,0)))</f>
        <v>0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f ca="1">SUM(BOS!B35,LSU!B35,VET!B35,UNO!B35,LSUA!B35,LSUE!B35,LSUS!B35,AG!B35,HSCNO!B35,HSCS!B35,EACON!B35,HPLMC!B35,LAW!B35,PBRC!B35)</f>
        <v>377973332.13999999</v>
      </c>
      <c r="C35" s="147">
        <f ca="1">SUM(BOS!C35,LSU!C35,VET!C35,UNO!C35,LSUA!C35,LSUE!C35,LSUS!C35,AG!C35,HSCNO!C35,HSCS!C35,EACON!C35,HPLMC!C35,LAW!C35,PBRC!C35)</f>
        <v>392826105</v>
      </c>
      <c r="D35" s="147">
        <f ca="1">SUM(BOS!D35,LSU!D35,VET!D35,UNO!D35,LSUA!D35,LSUE!D35,LSUS!D35,AG!D35,HSCNO!D35,HSCS!D35,EACON!D35,HPLMC!D35,LAW!D35,PBRC!D35)</f>
        <v>414360943</v>
      </c>
      <c r="E35" s="465">
        <f>D35-B35</f>
        <v>36387610.860000014</v>
      </c>
      <c r="F35" s="399">
        <f>IF(ISBLANK(E35),"  ",IF(B35&gt;0,E35/B35,IF(E35&gt;0,1,0)))</f>
        <v>9.6270312654021237E-2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f ca="1">SUM(BOS!B37,LSU!B37,VET!B37,UNO!B37,LSUA!B37,LSUE!B37,LSUS!B37,AG!B37,HSCNO!B37,HSCS!B37,EACON!B37,HPLMC!B37,LAW!B37,PBRC!B37)</f>
        <v>0</v>
      </c>
      <c r="C37" s="147">
        <f ca="1">SUM(BOS!C37,LSU!C37,VET!C37,UNO!C37,LSUA!C37,LSUE!C37,LSUS!C37,AG!C37,HSCNO!C37,HSCS!C37,EACON!C37,HPLMC!C37,LAW!C37,PBRC!C37)</f>
        <v>0</v>
      </c>
      <c r="D37" s="147">
        <f ca="1">SUM(BOS!D37,LSU!D37,VET!D37,UNO!D37,LSUA!D37,LSUE!D37,LSUS!D37,AG!D37,HSCNO!D37,HSCS!D37,EACON!D37,HPLMC!D37,LAW!D37,PBRC!D37)</f>
        <v>91518430</v>
      </c>
      <c r="E37" s="465">
        <f>D37-B37</f>
        <v>91518430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 ca="1">SUM(BOS!B39,LSU!B39,VET!B39,UNO!B39,LSUA!B39,LSUE!B39,LSUS!B39,AG!B39,HSCNO!B39,HSCS!B39,EACON!B39,HPLMC!B39,LAW!B39,PBRC!B39)</f>
        <v>352916774.38000005</v>
      </c>
      <c r="C39" s="147">
        <f ca="1">SUM(BOS!C39,LSU!C39,VET!C39,UNO!C39,LSUA!C39,LSUE!C39,LSUS!C39,AG!C39,HSCNO!C39,HSCS!C39,EACON!C39,HPLMC!C39,LAW!C39,PBRC!C39)</f>
        <v>361529205</v>
      </c>
      <c r="D39" s="147">
        <f ca="1">SUM(BOS!D39,LSU!D39,VET!D39,UNO!D39,LSUA!D39,LSUE!D39,LSUS!D39,AG!D39,HSCNO!D39,HSCS!D39,EACON!D39,HPLMC!D39,LAW!D39,PBRC!D39)</f>
        <v>387727511</v>
      </c>
      <c r="E39" s="465">
        <f>D39-B39</f>
        <v>34810736.619999945</v>
      </c>
      <c r="F39" s="399">
        <f>IF(ISBLANK(E39),"  ",IF(B39&gt;0,E39/B39,IF(E39&gt;0,1,0)))</f>
        <v>9.8637240128795323E-2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f ca="1">SUM(BOS!B41,LSU!B41,VET!B41,UNO!B41,LSUA!B41,LSUE!B41,LSUS!B41,AG!B41,HSCNO!B41,HSCS!B41,EACON!B41,HPLMC!B41,LAW!B41,PBRC!B41)</f>
        <v>81214675.680000007</v>
      </c>
      <c r="C41" s="147">
        <f ca="1">SUM(BOS!C41,LSU!C41,VET!C41,UNO!C41,LSUA!C41,LSUE!C41,LSUS!C41,AG!C41,HSCNO!C41,HSCS!C41,EACON!C41,HPLMC!C41,LAW!C41,PBRC!C41)</f>
        <v>80843133</v>
      </c>
      <c r="D41" s="147">
        <f ca="1">SUM(BOS!D41,LSU!D41,VET!D41,UNO!D41,LSUA!D41,LSUE!D41,LSUS!D41,AG!D41,HSCNO!D41,HSCS!D41,EACON!D41,HPLMC!D41,LAW!D41,PBRC!D41)</f>
        <v>73958154</v>
      </c>
      <c r="E41" s="465">
        <f>D41-B41</f>
        <v>-7256521.6800000072</v>
      </c>
      <c r="F41" s="345">
        <f>IF(ISBLANK(E41),"  ",IF(B41&gt;0,E41/B41,IF(E41&gt;0,1,0)))</f>
        <v>-8.9349881893168781E-2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>
        <f ca="1">SUM(BOS!B43,LSU!B43,VET!B43,UNO!B43,LSUA!B43,LSUE!B43,LSUS!B43,AG!B43,HSCNO!B43,HSCS!B43,EACON!B43,HPLMC!B43,LAW!B43,PBRC!B43)</f>
        <v>0</v>
      </c>
      <c r="C43" s="147">
        <f ca="1">SUM(BOS!C43,LSU!C43,VET!C43,UNO!C43,LSUA!C43,LSUE!C43,LSUS!C43,AG!C43,HSCNO!C43,HSCS!C43,EACON!C43,HPLMC!C43,LAW!C43,PBRC!C43)</f>
        <v>0</v>
      </c>
      <c r="D43" s="147">
        <f ca="1">SUM(BOS!D43,LSU!D43,VET!D43,UNO!D43,LSUA!D43,LSUE!D43,LSUS!D43,AG!D43,HSCNO!D43,HSCS!D43,EACON!D43,HPLMC!D43,LAW!D43,PBRC!D43)</f>
        <v>0</v>
      </c>
      <c r="E43" s="465">
        <f>D43-B43</f>
        <v>0</v>
      </c>
      <c r="F43" s="399">
        <f>IF(ISBLANK(E43),"  ",IF(B43&gt;0,E43/B43,IF(E43&gt;0,1,0)))</f>
        <v>0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 ca="1">SUM(BOS!B45,LSU!B45,VET!B45,UNO!B45,LSUA!B45,LSUE!B45,LSUS!B45,AG!B45,HSCNO!B45,HSCS!B45,EACON!B45,HPLMC!B45,LAW!B45,PBRC!B45)</f>
        <v>1533618558.1999998</v>
      </c>
      <c r="C45" s="147">
        <f ca="1">SUM(BOS!C45,LSU!C45,VET!C45,UNO!C45,LSUA!C45,LSUE!C45,LSUS!C45,AG!C45,HSCNO!C45,HSCS!C45,EACON!C45,HPLMC!C45,LAW!C45,PBRC!C45)</f>
        <v>1557536088</v>
      </c>
      <c r="D45" s="147">
        <f ca="1">SUM(BOS!D45,LSU!D45,VET!D45,UNO!D45,LSUA!D45,LSUE!D45,LSUS!D45,AG!D45,HSCNO!D45,HSCS!D45,EACON!D45,HPLMC!D45,LAW!D45,PBRC!D45)</f>
        <v>1545977666</v>
      </c>
      <c r="E45" s="465">
        <f>D45-B45</f>
        <v>12359107.800000191</v>
      </c>
      <c r="F45" s="345">
        <f>IF(ISBLANK(E45),"  ",IF(B45&gt;0,E45/B45,IF(E45&gt;0,1,0)))</f>
        <v>8.0587886302745399E-3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f ca="1">SUM(BOS!B49,LSU!B49,VET!B49,UNO!B49,LSUA!B49,LSUE!B49,LSUS!B49,AG!B49,HSCNO!B49,HSCS!B49,EACON!B49,HPLMC!B49,LAW!B49,PBRC!B49)</f>
        <v>426090299</v>
      </c>
      <c r="C49" s="154">
        <f ca="1">SUM(BOS!C49,LSU!C49,VET!C49,UNO!C49,LSUA!C49,LSUE!C49,LSUS!C49,AG!C49,HSCNO!C49,HSCS!C49,EACON!C49,HPLMC!C49,LAW!C49,PBRC!C49)</f>
        <v>448318142</v>
      </c>
      <c r="D49" s="154">
        <f ca="1">SUM(BOS!D49,LSU!D49,VET!D49,UNO!D49,LSUA!D49,LSUE!D49,LSUS!D49,AG!D49,HSCNO!D49,HSCS!D49,EACON!D49,HPLMC!D49,LAW!D49,PBRC!D49)</f>
        <v>432831010.43950278</v>
      </c>
      <c r="E49" s="178">
        <f t="shared" ref="E49:E62" si="2">D49-B49</f>
        <v>6740711.4395027757</v>
      </c>
      <c r="F49" s="397">
        <f t="shared" ref="F49:F62" si="3">IF(ISBLANK(E49),"  ",IF(B49&gt;0,E49/B49,IF(E49&gt;0,1,0)))</f>
        <v>1.5819912951134274E-2</v>
      </c>
      <c r="G49" s="24"/>
      <c r="H49" s="24"/>
    </row>
    <row r="50" spans="1:8" ht="34.5">
      <c r="A50" s="156" t="s">
        <v>42</v>
      </c>
      <c r="B50" s="157">
        <f ca="1">SUM(BOS!B50,LSU!B50,VET!B50,UNO!B50,LSUA!B50,LSUE!B50,LSUS!B50,AG!B50,HSCNO!B50,HSCS!B50,EACON!B50,HPLMC!B50,LAW!B50,PBRC!B50)</f>
        <v>160002765</v>
      </c>
      <c r="C50" s="157">
        <f ca="1">SUM(BOS!C50,LSU!C50,VET!C50,UNO!C50,LSUA!C50,LSUE!C50,LSUS!C50,AG!C50,HSCNO!C50,HSCS!C50,EACON!C50,HPLMC!C50,LAW!C50,PBRC!C50)</f>
        <v>156108849</v>
      </c>
      <c r="D50" s="157">
        <f ca="1">SUM(BOS!D50,LSU!D50,VET!D50,UNO!D50,LSUA!D50,LSUE!D50,LSUS!D50,AG!D50,HSCNO!D50,HSCS!D50,EACON!D50,HPLMC!D50,LAW!D50,PBRC!D50)</f>
        <v>150392888.4168174</v>
      </c>
      <c r="E50" s="178">
        <f t="shared" si="2"/>
        <v>-9609876.5831826031</v>
      </c>
      <c r="F50" s="369">
        <f t="shared" si="3"/>
        <v>-6.0060690721079744E-2</v>
      </c>
      <c r="G50" s="24"/>
      <c r="H50" s="24"/>
    </row>
    <row r="51" spans="1:8" ht="34.5">
      <c r="A51" s="158" t="s">
        <v>43</v>
      </c>
      <c r="B51" s="159">
        <f ca="1">SUM(BOS!B51,LSU!B51,VET!B51,UNO!B51,LSUA!B51,LSUE!B51,LSUS!B51,AG!B51,HSCNO!B51,HSCS!B51,EACON!B51,HPLMC!B51,LAW!B51,PBRC!B51)</f>
        <v>63203027</v>
      </c>
      <c r="C51" s="159">
        <f ca="1">SUM(BOS!C51,LSU!C51,VET!C51,UNO!C51,LSUA!C51,LSUE!C51,LSUS!C51,AG!C51,HSCNO!C51,HSCS!C51,EACON!C51,HPLMC!C51,LAW!C51,PBRC!C51)</f>
        <v>62926874</v>
      </c>
      <c r="D51" s="159">
        <f ca="1">SUM(BOS!D51,LSU!D51,VET!D51,UNO!D51,LSUA!D51,LSUE!D51,LSUS!D51,AG!D51,HSCNO!D51,HSCS!D51,EACON!D51,HPLMC!D51,LAW!D51,PBRC!D51)</f>
        <v>58286727</v>
      </c>
      <c r="E51" s="178">
        <f t="shared" si="2"/>
        <v>-4916300</v>
      </c>
      <c r="F51" s="369">
        <f t="shared" si="3"/>
        <v>-7.7785831365323688E-2</v>
      </c>
      <c r="G51" s="24"/>
      <c r="H51" s="24"/>
    </row>
    <row r="52" spans="1:8" ht="34.5">
      <c r="A52" s="158" t="s">
        <v>44</v>
      </c>
      <c r="B52" s="159">
        <f ca="1">SUM(BOS!B52,LSU!B52,VET!B52,UNO!B52,LSUA!B52,LSUE!B52,LSUS!B52,AG!B52,HSCNO!B52,HSCS!B52,EACON!B52,HPLMC!B52,LAW!B52,PBRC!B52)</f>
        <v>111346250</v>
      </c>
      <c r="C52" s="159">
        <f ca="1">SUM(BOS!C52,LSU!C52,VET!C52,UNO!C52,LSUA!C52,LSUE!C52,LSUS!C52,AG!C52,HSCNO!C52,HSCS!C52,EACON!C52,HPLMC!C52,LAW!C52,PBRC!C52)</f>
        <v>108334511</v>
      </c>
      <c r="D52" s="159">
        <f ca="1">SUM(BOS!D52,LSU!D52,VET!D52,UNO!D52,LSUA!D52,LSUE!D52,LSUS!D52,AG!D52,HSCNO!D52,HSCS!D52,EACON!D52,HPLMC!D52,LAW!D52,PBRC!D52)</f>
        <v>103628115.85550742</v>
      </c>
      <c r="E52" s="178">
        <f t="shared" si="2"/>
        <v>-7718134.1444925815</v>
      </c>
      <c r="F52" s="369">
        <f t="shared" si="3"/>
        <v>-6.9316516222976354E-2</v>
      </c>
      <c r="G52" s="24"/>
      <c r="H52" s="24"/>
    </row>
    <row r="53" spans="1:8" ht="34.5">
      <c r="A53" s="156" t="s">
        <v>45</v>
      </c>
      <c r="B53" s="159">
        <f ca="1">SUM(BOS!B53,LSU!B53,VET!B53,UNO!B53,LSUA!B53,LSUE!B53,LSUS!B53,AG!B53,HSCNO!B53,HSCS!B53,EACON!B53,HPLMC!B53,LAW!B53,PBRC!B53)</f>
        <v>26657553</v>
      </c>
      <c r="C53" s="159">
        <f ca="1">SUM(BOS!C53,LSU!C53,VET!C53,UNO!C53,LSUA!C53,LSUE!C53,LSUS!C53,AG!C53,HSCNO!C53,HSCS!C53,EACON!C53,HPLMC!C53,LAW!C53,PBRC!C53)</f>
        <v>28534196</v>
      </c>
      <c r="D53" s="159">
        <f ca="1">SUM(BOS!D53,LSU!D53,VET!D53,UNO!D53,LSUA!D53,LSUE!D53,LSUS!D53,AG!D53,HSCNO!D53,HSCS!D53,EACON!D53,HPLMC!D53,LAW!D53,PBRC!D53)</f>
        <v>27494925.546772826</v>
      </c>
      <c r="E53" s="178">
        <f t="shared" si="2"/>
        <v>837372.54677282646</v>
      </c>
      <c r="F53" s="369">
        <f t="shared" si="3"/>
        <v>3.1412206018040234E-2</v>
      </c>
      <c r="G53" s="24"/>
      <c r="H53" s="24"/>
    </row>
    <row r="54" spans="1:8" ht="34.5">
      <c r="A54" s="153" t="s">
        <v>74</v>
      </c>
      <c r="B54" s="160">
        <f ca="1">SUM(BOS!B54,LSU!B54,VET!B54,UNO!B54,LSUA!B54,LSUE!B54,LSUS!B54,AG!B54,HSCNO!B54,HSCS!B54,EACON!B54,HPLMC!B54,LAW!B54,PBRC!B54)</f>
        <v>108067962</v>
      </c>
      <c r="C54" s="160">
        <f ca="1">SUM(BOS!C54,LSU!C54,VET!C54,UNO!C54,LSUA!C54,LSUE!C54,LSUS!C54,AG!C54,HSCNO!C54,HSCS!C54,EACON!C54,HPLMC!C54,LAW!C54,PBRC!C54)</f>
        <v>116874098</v>
      </c>
      <c r="D54" s="160">
        <f ca="1">SUM(BOS!D54,LSU!D54,VET!D54,UNO!D54,LSUA!D54,LSUE!D54,LSUS!D54,AG!D54,HSCNO!D54,HSCS!D54,EACON!D54,HPLMC!D54,LAW!D54,PBRC!D54)</f>
        <v>114049365.0220153</v>
      </c>
      <c r="E54" s="178">
        <f t="shared" si="2"/>
        <v>5981403.0220153034</v>
      </c>
      <c r="F54" s="369">
        <f t="shared" si="3"/>
        <v>5.5348531713916314E-2</v>
      </c>
      <c r="G54" s="24"/>
      <c r="H54" s="24"/>
    </row>
    <row r="55" spans="1:8" ht="34.5">
      <c r="A55" s="117" t="s">
        <v>46</v>
      </c>
      <c r="B55" s="118">
        <f ca="1">SUM(BOS!B55,LSU!B55,VET!B55,UNO!B55,LSUA!B55,LSUE!B55,LSUS!B55,AG!B55,HSCNO!B55,HSCS!B55,EACON!B55,HPLMC!B55,LAW!B55,PBRC!B55)</f>
        <v>52079611</v>
      </c>
      <c r="C55" s="118">
        <f ca="1">SUM(BOS!C55,LSU!C55,VET!C55,UNO!C55,LSUA!C55,LSUE!C55,LSUS!C55,AG!C55,HSCNO!C55,HSCS!C55,EACON!C55,HPLMC!C55,LAW!C55,PBRC!C55)</f>
        <v>49011304</v>
      </c>
      <c r="D55" s="118">
        <f ca="1">SUM(BOS!D55,LSU!D55,VET!D55,UNO!D55,LSUA!D55,LSUE!D55,LSUS!D55,AG!D55,HSCNO!D55,HSCS!D55,EACON!D55,HPLMC!D55,LAW!D55,PBRC!D55)</f>
        <v>57024721</v>
      </c>
      <c r="E55" s="178">
        <f t="shared" si="2"/>
        <v>4945110</v>
      </c>
      <c r="F55" s="369">
        <f t="shared" si="3"/>
        <v>9.4952898169688715E-2</v>
      </c>
      <c r="G55" s="24"/>
      <c r="H55" s="24"/>
    </row>
    <row r="56" spans="1:8" ht="34.5">
      <c r="A56" s="117" t="s">
        <v>47</v>
      </c>
      <c r="B56" s="93">
        <f ca="1">SUM(BOS!B56,LSU!B56,VET!B56,UNO!B56,LSUA!B56,LSUE!B56,LSUS!B56,AG!B56,HSCNO!B56,HSCS!B56,EACON!B56,HPLMC!B56,LAW!B56,PBRC!B56)</f>
        <v>121885501</v>
      </c>
      <c r="C56" s="93">
        <f ca="1">SUM(BOS!C56,LSU!C56,VET!C56,UNO!C56,LSUA!C56,LSUE!C56,LSUS!C56,AG!C56,HSCNO!C56,HSCS!C56,EACON!C56,HPLMC!C56,LAW!C56,PBRC!C56)</f>
        <v>113573355</v>
      </c>
      <c r="D56" s="93">
        <f ca="1">SUM(BOS!D56,LSU!D56,VET!D56,UNO!D56,LSUA!D56,LSUE!D56,LSUS!D56,AG!D56,HSCNO!D56,HSCS!D56,EACON!D56,HPLMC!D56,LAW!D56,PBRC!D56)</f>
        <v>115462167.01502635</v>
      </c>
      <c r="E56" s="178">
        <f t="shared" si="2"/>
        <v>-6423333.9849736542</v>
      </c>
      <c r="F56" s="369">
        <f t="shared" si="3"/>
        <v>-5.2699738133526269E-2</v>
      </c>
      <c r="G56" s="24"/>
      <c r="H56" s="24"/>
    </row>
    <row r="57" spans="1:8" ht="35.25">
      <c r="A57" s="114" t="s">
        <v>48</v>
      </c>
      <c r="B57" s="116">
        <f ca="1">SUM(BOS!B57,LSU!B57,VET!B57,UNO!B57,LSUA!B57,LSUE!B57,LSUS!B57,AG!B57,HSCNO!B57,HSCS!B57,EACON!B57,HPLMC!B57,LAW!B57,PBRC!B57)</f>
        <v>1069332968</v>
      </c>
      <c r="C57" s="116">
        <f ca="1">SUM(BOS!C57,LSU!C57,VET!C57,UNO!C57,LSUA!C57,LSUE!C57,LSUS!C57,AG!C57,HSCNO!C57,HSCS!C57,EACON!C57,HPLMC!C57,LAW!C57,PBRC!C57)</f>
        <v>1083681329</v>
      </c>
      <c r="D57" s="116">
        <f ca="1">SUM(BOS!D57,LSU!D57,VET!D57,UNO!D57,LSUA!D57,LSUE!D57,LSUS!D57,AG!D57,HSCNO!D57,HSCS!D57,EACON!D57,HPLMC!D57,LAW!D57,PBRC!D57)</f>
        <v>1059169920.2956421</v>
      </c>
      <c r="E57" s="465">
        <f t="shared" si="2"/>
        <v>-10163047.704357862</v>
      </c>
      <c r="F57" s="390">
        <f t="shared" si="3"/>
        <v>-9.5041002274212708E-3</v>
      </c>
      <c r="G57" s="24"/>
      <c r="H57" s="24"/>
    </row>
    <row r="58" spans="1:8" ht="34.5">
      <c r="A58" s="117" t="s">
        <v>49</v>
      </c>
      <c r="B58" s="93">
        <f ca="1">SUM(BOS!B58,LSU!B58,VET!B58,UNO!B58,LSUA!B58,LSUE!B58,LSUS!B58,AG!B58,HSCNO!B58,HSCS!B58,EACON!B58,HPLMC!B58,LAW!B58,PBRC!B58)</f>
        <v>461436587.42999995</v>
      </c>
      <c r="C58" s="93">
        <f ca="1">SUM(BOS!C58,LSU!C58,VET!C58,UNO!C58,LSUA!C58,LSUE!C58,LSUS!C58,AG!C58,HSCNO!C58,HSCS!C58,EACON!C58,HPLMC!C58,LAW!C58,PBRC!C58)</f>
        <v>471741092</v>
      </c>
      <c r="D58" s="93">
        <f ca="1">SUM(BOS!D58,LSU!D58,VET!D58,UNO!D58,LSUA!D58,LSUE!D58,LSUS!D58,AG!D58,HSCNO!D58,HSCS!D58,EACON!D58,HPLMC!D58,LAW!D58,PBRC!D58)</f>
        <v>485911925</v>
      </c>
      <c r="E58" s="178">
        <f t="shared" si="2"/>
        <v>24475337.570000052</v>
      </c>
      <c r="F58" s="369">
        <f t="shared" si="3"/>
        <v>5.3041605795320614E-2</v>
      </c>
      <c r="G58" s="24"/>
      <c r="H58" s="24"/>
    </row>
    <row r="59" spans="1:8" ht="34.5">
      <c r="A59" s="117" t="s">
        <v>50</v>
      </c>
      <c r="B59" s="93">
        <f ca="1">SUM(BOS!B59,LSU!B59,VET!B59,UNO!B59,LSUA!B59,LSUE!B59,LSUS!B59,AG!B59,HSCNO!B59,HSCS!B59,EACON!B59,HPLMC!B59,LAW!B59,PBRC!B59)</f>
        <v>1636446</v>
      </c>
      <c r="C59" s="93">
        <f ca="1">SUM(BOS!C59,LSU!C59,VET!C59,UNO!C59,LSUA!C59,LSUE!C59,LSUS!C59,AG!C59,HSCNO!C59,HSCS!C59,EACON!C59,HPLMC!C59,LAW!C59,PBRC!C59)</f>
        <v>890320</v>
      </c>
      <c r="D59" s="93">
        <f ca="1">SUM(BOS!D59,LSU!D59,VET!D59,UNO!D59,LSUA!D59,LSUE!D59,LSUS!D59,AG!D59,HSCNO!D59,HSCS!D59,EACON!D59,HPLMC!D59,LAW!D59,PBRC!D59)</f>
        <v>880821</v>
      </c>
      <c r="E59" s="178">
        <f t="shared" si="2"/>
        <v>-755625</v>
      </c>
      <c r="F59" s="369">
        <f t="shared" si="3"/>
        <v>-0.46174759203786742</v>
      </c>
      <c r="G59" s="24"/>
      <c r="H59" s="24"/>
    </row>
    <row r="60" spans="1:8" ht="34.5">
      <c r="A60" s="117" t="s">
        <v>51</v>
      </c>
      <c r="B60" s="118">
        <f ca="1">SUM(BOS!B60,LSU!B60,VET!B60,UNO!B60,LSUA!B60,LSUE!B60,LSUS!B60,AG!B60,HSCNO!B60,HSCS!B60,EACON!B60,HPLMC!B60,LAW!B60,PBRC!B60)</f>
        <v>220000</v>
      </c>
      <c r="C60" s="118">
        <f ca="1">SUM(BOS!C60,LSU!C60,VET!C60,UNO!C60,LSUA!C60,LSUE!C60,LSUS!C60,AG!C60,HSCNO!C60,HSCS!C60,EACON!C60,HPLMC!C60,LAW!C60,PBRC!C60)</f>
        <v>220000</v>
      </c>
      <c r="D60" s="118">
        <f ca="1">SUM(BOS!D60,LSU!D60,VET!D60,UNO!D60,LSUA!D60,LSUE!D60,LSUS!D60,AG!D60,HSCNO!D60,HSCS!D60,EACON!D60,HPLMC!D60,LAW!D60,PBRC!D60)</f>
        <v>0</v>
      </c>
      <c r="E60" s="178">
        <f t="shared" si="2"/>
        <v>-220000</v>
      </c>
      <c r="F60" s="369">
        <f t="shared" si="3"/>
        <v>-1</v>
      </c>
      <c r="G60" s="24"/>
      <c r="H60" s="24"/>
    </row>
    <row r="61" spans="1:8" ht="34.5">
      <c r="A61" s="150" t="s">
        <v>52</v>
      </c>
      <c r="B61" s="254">
        <f ca="1">SUM(BOS!B61,LSU!B61,VET!B61,UNO!B61,LSUA!B61,LSUE!B61,LSUS!B61,AG!B61,HSCNO!B61,HSCS!B61,EACON!B61,HPLMC!B61,LAW!B61,PBRC!B61)</f>
        <v>992547</v>
      </c>
      <c r="C61" s="254">
        <f ca="1">SUM(BOS!C61,LSU!C61,VET!C61,UNO!C61,LSUA!C61,LSUE!C61,LSUS!C61,AG!C61,HSCNO!C61,HSCS!C61,EACON!C61,HPLMC!C61,LAW!C61,PBRC!C61)</f>
        <v>1003347</v>
      </c>
      <c r="D61" s="254">
        <f ca="1">SUM(BOS!D61,LSU!D61,VET!D61,UNO!D61,LSUA!D61,LSUE!D61,LSUS!D61,AG!D61,HSCNO!D61,HSCS!D61,EACON!D61,HPLMC!D61,LAW!D61,PBRC!D61)</f>
        <v>15000</v>
      </c>
      <c r="E61" s="178">
        <f t="shared" si="2"/>
        <v>-977547</v>
      </c>
      <c r="F61" s="369">
        <f t="shared" si="3"/>
        <v>-0.98488736553533485</v>
      </c>
      <c r="G61" s="24"/>
      <c r="H61" s="24"/>
    </row>
    <row r="62" spans="1:8" ht="35.25">
      <c r="A62" s="119" t="s">
        <v>53</v>
      </c>
      <c r="B62" s="120">
        <f ca="1">SUM(BOS!B62,LSU!B62,VET!B62,UNO!B62,LSUA!B62,LSUE!B62,LSUS!B62,AG!B62,HSCNO!B62,HSCS!B62,EACON!B62,HPLMC!B62,LAW!B62,PBRC!B62)</f>
        <v>1533618548.4299998</v>
      </c>
      <c r="C62" s="120">
        <f ca="1">SUM(BOS!C62,LSU!C62,VET!C62,UNO!C62,LSUA!C62,LSUE!C62,LSUS!C62,AG!C62,HSCNO!C62,HSCS!C62,EACON!C62,HPLMC!C62,LAW!C62,PBRC!C62)</f>
        <v>1557536088</v>
      </c>
      <c r="D62" s="120">
        <f ca="1">SUM(BOS!D62,LSU!D62,VET!D62,UNO!D62,LSUA!D62,LSUE!D62,LSUS!D62,AG!D62,HSCNO!D62,HSCS!D62,EACON!D62,HPLMC!D62,LAW!D62,PBRC!D62)</f>
        <v>1545977666.2956421</v>
      </c>
      <c r="E62" s="465">
        <f t="shared" si="2"/>
        <v>12359117.865642309</v>
      </c>
      <c r="F62" s="344">
        <f t="shared" si="3"/>
        <v>8.0587952449418521E-3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f ca="1">SUM(BOS!B65,LSU!B65,VET!B65,UNO!B65,LSUA!B65,LSUE!B65,LSUS!B65,AG!B65,HSCNO!B65,HSCS!B65,EACON!B65,HPLMC!B65,LAW!B65,PBRC!B65)</f>
        <v>780679169.44000006</v>
      </c>
      <c r="C65" s="92">
        <f ca="1">SUM(BOS!C65,LSU!C65,VET!C65,UNO!C65,LSUA!C65,LSUE!C65,LSUS!C65,AG!C65,HSCNO!C65,HSCS!C65,EACON!C65,HPLMC!C65,LAW!C65,PBRC!C65)</f>
        <v>794521237</v>
      </c>
      <c r="D65" s="92">
        <f ca="1">SUM(BOS!D65,LSU!D65,VET!D65,UNO!D65,LSUA!D65,LSUE!D65,LSUS!D65,AG!D65,HSCNO!D65,HSCS!D65,EACON!D65,HPLMC!D65,LAW!D65,PBRC!D65)</f>
        <v>791171500</v>
      </c>
      <c r="E65" s="178">
        <f t="shared" ref="E65:E82" si="4">D65-B65</f>
        <v>10492330.559999943</v>
      </c>
      <c r="F65" s="397">
        <f t="shared" ref="F65:F82" si="5">IF(ISBLANK(E65),"  ",IF(B65&gt;0,E65/B65,IF(E65&gt;0,1,0)))</f>
        <v>1.3440003231450819E-2</v>
      </c>
      <c r="G65" s="24"/>
      <c r="H65" s="24"/>
    </row>
    <row r="66" spans="1:8" ht="34.5">
      <c r="A66" s="117" t="s">
        <v>56</v>
      </c>
      <c r="B66" s="118">
        <f ca="1">SUM(BOS!B66,LSU!B66,VET!B66,UNO!B66,LSUA!B66,LSUE!B66,LSUS!B66,AG!B66,HSCNO!B66,HSCS!B66,EACON!B66,HPLMC!B66,LAW!B66,PBRC!B66)</f>
        <v>63631960.870000005</v>
      </c>
      <c r="C66" s="118">
        <f ca="1">SUM(BOS!C66,LSU!C66,VET!C66,UNO!C66,LSUA!C66,LSUE!C66,LSUS!C66,AG!C66,HSCNO!C66,HSCS!C66,EACON!C66,HPLMC!C66,LAW!C66,PBRC!C66)</f>
        <v>64059428</v>
      </c>
      <c r="D66" s="118">
        <f ca="1">SUM(BOS!D66,LSU!D66,VET!D66,UNO!D66,LSUA!D66,LSUE!D66,LSUS!D66,AG!D66,HSCNO!D66,HSCS!D66,EACON!D66,HPLMC!D66,LAW!D66,PBRC!D66)</f>
        <v>65625742</v>
      </c>
      <c r="E66" s="178">
        <f t="shared" si="4"/>
        <v>1993781.1299999952</v>
      </c>
      <c r="F66" s="369">
        <f t="shared" si="5"/>
        <v>3.1333014144783108E-2</v>
      </c>
      <c r="G66" s="24"/>
      <c r="H66" s="24"/>
    </row>
    <row r="67" spans="1:8" ht="34.5">
      <c r="A67" s="117" t="s">
        <v>57</v>
      </c>
      <c r="B67" s="118">
        <f ca="1">SUM(BOS!B67,LSU!B67,VET!B67,UNO!B67,LSUA!B67,LSUE!B67,LSUS!B67,AG!B67,HSCNO!B67,HSCS!B67,EACON!B67,HPLMC!B67,LAW!B67,PBRC!B67)</f>
        <v>206351821.91999999</v>
      </c>
      <c r="C67" s="118">
        <f ca="1">SUM(BOS!C67,LSU!C67,VET!C67,UNO!C67,LSUA!C67,LSUE!C67,LSUS!C67,AG!C67,HSCNO!C67,HSCS!C67,EACON!C67,HPLMC!C67,LAW!C67,PBRC!C67)</f>
        <v>225578168</v>
      </c>
      <c r="D67" s="118">
        <f ca="1">SUM(BOS!D67,LSU!D67,VET!D67,UNO!D67,LSUA!D67,LSUE!D67,LSUS!D67,AG!D67,HSCNO!D67,HSCS!D67,EACON!D67,HPLMC!D67,LAW!D67,PBRC!D67)</f>
        <v>224151910</v>
      </c>
      <c r="E67" s="178">
        <f t="shared" si="4"/>
        <v>17800088.080000013</v>
      </c>
      <c r="F67" s="369">
        <f t="shared" si="5"/>
        <v>8.6260871914670495E-2</v>
      </c>
      <c r="G67" s="24"/>
      <c r="H67" s="24"/>
    </row>
    <row r="68" spans="1:8" ht="35.25">
      <c r="A68" s="175" t="s">
        <v>58</v>
      </c>
      <c r="B68" s="116">
        <f ca="1">SUM(BOS!B68,LSU!B68,VET!B68,UNO!B68,LSUA!B68,LSUE!B68,LSUS!B68,AG!B68,HSCNO!B68,HSCS!B68,EACON!B68,HPLMC!B68,LAW!B68,PBRC!B68)</f>
        <v>1050662952.23</v>
      </c>
      <c r="C68" s="116">
        <f ca="1">SUM(BOS!C68,LSU!C68,VET!C68,UNO!C68,LSUA!C68,LSUE!C68,LSUS!C68,AG!C68,HSCNO!C68,HSCS!C68,EACON!C68,HPLMC!C68,LAW!C68,PBRC!C68)</f>
        <v>1084158833</v>
      </c>
      <c r="D68" s="116">
        <f ca="1">SUM(BOS!D68,LSU!D68,VET!D68,UNO!D68,LSUA!D68,LSUE!D68,LSUS!D68,AG!D68,HSCNO!D68,HSCS!D68,EACON!D68,HPLMC!D68,LAW!D68,PBRC!D68)</f>
        <v>1080949152</v>
      </c>
      <c r="E68" s="465">
        <f t="shared" si="4"/>
        <v>30286199.769999981</v>
      </c>
      <c r="F68" s="390">
        <f t="shared" si="5"/>
        <v>2.8825799658890081E-2</v>
      </c>
      <c r="G68" s="24"/>
      <c r="H68" s="24"/>
    </row>
    <row r="69" spans="1:8" ht="34.5">
      <c r="A69" s="151" t="s">
        <v>59</v>
      </c>
      <c r="B69" s="166">
        <f ca="1">SUM(BOS!B69,LSU!B69,VET!B69,UNO!B69,LSUA!B69,LSUE!B69,LSUS!B69,AG!B69,HSCNO!B69,HSCS!B69,EACON!B69,HPLMC!B69,LAW!B69,PBRC!B69)</f>
        <v>9830326.0599999987</v>
      </c>
      <c r="C69" s="166">
        <f ca="1">SUM(BOS!C69,LSU!C69,VET!C69,UNO!C69,LSUA!C69,LSUE!C69,LSUS!C69,AG!C69,HSCNO!C69,HSCS!C69,EACON!C69,HPLMC!C69,LAW!C69,PBRC!C69)</f>
        <v>8658726</v>
      </c>
      <c r="D69" s="166">
        <f ca="1">SUM(BOS!D69,LSU!D69,VET!D69,UNO!D69,LSUA!D69,LSUE!D69,LSUS!D69,AG!D69,HSCNO!D69,HSCS!D69,EACON!D69,HPLMC!D69,LAW!D69,PBRC!D69)</f>
        <v>7737868</v>
      </c>
      <c r="E69" s="178">
        <f t="shared" si="4"/>
        <v>-2092458.0599999987</v>
      </c>
      <c r="F69" s="369">
        <f t="shared" si="5"/>
        <v>-0.21285744208570015</v>
      </c>
      <c r="G69" s="24"/>
      <c r="H69" s="24"/>
    </row>
    <row r="70" spans="1:8" ht="34.5">
      <c r="A70" s="151" t="s">
        <v>60</v>
      </c>
      <c r="B70" s="166">
        <f ca="1">SUM(BOS!B70,LSU!B70,VET!B70,UNO!B70,LSUA!B70,LSUE!B70,LSUS!B70,AG!B70,HSCNO!B70,HSCS!B70,EACON!B70,HPLMC!B70,LAW!B70,PBRC!B70)</f>
        <v>130989469.13000003</v>
      </c>
      <c r="C70" s="166">
        <f ca="1">SUM(BOS!C70,LSU!C70,VET!C70,UNO!C70,LSUA!C70,LSUE!C70,LSUS!C70,AG!C70,HSCNO!C70,HSCS!C70,EACON!C70,HPLMC!C70,LAW!C70,PBRC!C70)</f>
        <v>138561808</v>
      </c>
      <c r="D70" s="166">
        <f ca="1">SUM(BOS!D70,LSU!D70,VET!D70,UNO!D70,LSUA!D70,LSUE!D70,LSUS!D70,AG!D70,HSCNO!D70,HSCS!D70,EACON!D70,HPLMC!D70,LAW!D70,PBRC!D70)</f>
        <v>132852745</v>
      </c>
      <c r="E70" s="178">
        <f t="shared" si="4"/>
        <v>1863275.869999975</v>
      </c>
      <c r="F70" s="369">
        <f t="shared" si="5"/>
        <v>1.4224623417251761E-2</v>
      </c>
      <c r="G70" s="24"/>
      <c r="H70" s="24"/>
    </row>
    <row r="71" spans="1:8" ht="34.5">
      <c r="A71" s="176" t="s">
        <v>61</v>
      </c>
      <c r="B71" s="177">
        <f ca="1">SUM(BOS!B71,LSU!B71,VET!B71,UNO!B71,LSUA!B71,LSUE!B71,LSUS!B71,AG!B71,HSCNO!B71,HSCS!B71,EACON!B71,HPLMC!B71,LAW!B71,PBRC!B71)</f>
        <v>146193151.10999998</v>
      </c>
      <c r="C71" s="177">
        <f ca="1">SUM(BOS!C71,LSU!C71,VET!C71,UNO!C71,LSUA!C71,LSUE!C71,LSUS!C71,AG!C71,HSCNO!C71,HSCS!C71,EACON!C71,HPLMC!C71,LAW!C71,PBRC!C71)</f>
        <v>137751058</v>
      </c>
      <c r="D71" s="177">
        <f ca="1">SUM(BOS!D71,LSU!D71,VET!D71,UNO!D71,LSUA!D71,LSUE!D71,LSUS!D71,AG!D71,HSCNO!D71,HSCS!D71,EACON!D71,HPLMC!D71,LAW!D71,PBRC!D71)</f>
        <v>133535955</v>
      </c>
      <c r="E71" s="178">
        <f t="shared" si="4"/>
        <v>-12657196.109999985</v>
      </c>
      <c r="F71" s="369">
        <f t="shared" si="5"/>
        <v>-8.6578584659389016E-2</v>
      </c>
      <c r="G71" s="24"/>
      <c r="H71" s="24"/>
    </row>
    <row r="72" spans="1:8" ht="35.25">
      <c r="A72" s="114" t="s">
        <v>62</v>
      </c>
      <c r="B72" s="116">
        <f ca="1">SUM(BOS!B72,LSU!B72,VET!B72,UNO!B72,LSUA!B72,LSUE!B72,LSUS!B72,AG!B72,HSCNO!B72,HSCS!B72,EACON!B72,HPLMC!B72,LAW!B72,PBRC!B72)</f>
        <v>287012946.30000001</v>
      </c>
      <c r="C72" s="116">
        <f ca="1">SUM(BOS!C72,LSU!C72,VET!C72,UNO!C72,LSUA!C72,LSUE!C72,LSUS!C72,AG!C72,HSCNO!C72,HSCS!C72,EACON!C72,HPLMC!C72,LAW!C72,PBRC!C72)</f>
        <v>284971592</v>
      </c>
      <c r="D72" s="116">
        <f ca="1">SUM(BOS!D72,LSU!D72,VET!D72,UNO!D72,LSUA!D72,LSUE!D72,LSUS!D72,AG!D72,HSCNO!D72,HSCS!D72,EACON!D72,HPLMC!D72,LAW!D72,PBRC!D72)</f>
        <v>274126568</v>
      </c>
      <c r="E72" s="465">
        <f t="shared" si="4"/>
        <v>-12886378.300000012</v>
      </c>
      <c r="F72" s="390">
        <f t="shared" si="5"/>
        <v>-4.4898247504593529E-2</v>
      </c>
      <c r="G72" s="24"/>
      <c r="H72" s="24"/>
    </row>
    <row r="73" spans="1:8" ht="34.5">
      <c r="A73" s="117" t="s">
        <v>63</v>
      </c>
      <c r="B73" s="118">
        <f ca="1">SUM(BOS!B73,LSU!B73,VET!B73,UNO!B73,LSUA!B73,LSUE!B73,LSUS!B73,AG!B73,HSCNO!B73,HSCS!B73,EACON!B73,HPLMC!B73,LAW!B73,PBRC!B73)</f>
        <v>25174784.5</v>
      </c>
      <c r="C73" s="118">
        <f ca="1">SUM(BOS!C73,LSU!C73,VET!C73,UNO!C73,LSUA!C73,LSUE!C73,LSUS!C73,AG!C73,HSCNO!C73,HSCS!C73,EACON!C73,HPLMC!C73,LAW!C73,PBRC!C73)</f>
        <v>25596788</v>
      </c>
      <c r="D73" s="118">
        <f ca="1">SUM(BOS!D73,LSU!D73,VET!D73,UNO!D73,LSUA!D73,LSUE!D73,LSUS!D73,AG!D73,HSCNO!D73,HSCS!D73,EACON!D73,HPLMC!D73,LAW!D73,PBRC!D73)</f>
        <v>23909773</v>
      </c>
      <c r="E73" s="178">
        <f t="shared" si="4"/>
        <v>-1265011.5</v>
      </c>
      <c r="F73" s="369">
        <f t="shared" si="5"/>
        <v>-5.0249149103937713E-2</v>
      </c>
      <c r="G73" s="24"/>
      <c r="H73" s="24"/>
    </row>
    <row r="74" spans="1:8" ht="34.5">
      <c r="A74" s="126" t="s">
        <v>64</v>
      </c>
      <c r="B74" s="128">
        <f ca="1">SUM(BOS!B74,LSU!B74,VET!B74,UNO!B74,LSUA!B74,LSUE!B74,LSUS!B74,AG!B74,HSCNO!B74,HSCS!B74,EACON!B74,HPLMC!B74,LAW!B74,PBRC!B74)</f>
        <v>89771014.210000008</v>
      </c>
      <c r="C74" s="128">
        <f ca="1">SUM(BOS!C74,LSU!C74,VET!C74,UNO!C74,LSUA!C74,LSUE!C74,LSUS!C74,AG!C74,HSCNO!C74,HSCS!C74,EACON!C74,HPLMC!C74,LAW!C74,PBRC!C74)</f>
        <v>83903288</v>
      </c>
      <c r="D74" s="128">
        <f ca="1">SUM(BOS!D74,LSU!D74,VET!D74,UNO!D74,LSUA!D74,LSUE!D74,LSUS!D74,AG!D74,HSCNO!D74,HSCS!D74,EACON!D74,HPLMC!D74,LAW!D74,PBRC!D74)</f>
        <v>93751508</v>
      </c>
      <c r="E74" s="178">
        <f t="shared" si="4"/>
        <v>3980493.7899999917</v>
      </c>
      <c r="F74" s="369">
        <f t="shared" si="5"/>
        <v>4.4340523776287985E-2</v>
      </c>
      <c r="G74" s="24"/>
      <c r="H74" s="24"/>
    </row>
    <row r="75" spans="1:8" ht="34.5">
      <c r="A75" s="117" t="s">
        <v>65</v>
      </c>
      <c r="B75" s="118">
        <f ca="1">SUM(BOS!B75,LSU!B75,VET!B75,UNO!B75,LSUA!B75,LSUE!B75,LSUS!B75,AG!B75,HSCNO!B75,HSCS!B75,EACON!B75,HPLMC!B75,LAW!B75,PBRC!B75)</f>
        <v>261783.15</v>
      </c>
      <c r="C75" s="118">
        <f ca="1">SUM(BOS!C75,LSU!C75,VET!C75,UNO!C75,LSUA!C75,LSUE!C75,LSUS!C75,AG!C75,HSCNO!C75,HSCS!C75,EACON!C75,HPLMC!C75,LAW!C75,PBRC!C75)</f>
        <v>261353</v>
      </c>
      <c r="D75" s="118">
        <f ca="1">SUM(BOS!D75,LSU!D75,VET!D75,UNO!D75,LSUA!D75,LSUE!D75,LSUS!D75,AG!D75,HSCNO!D75,HSCS!D75,EACON!D75,HPLMC!D75,LAW!D75,PBRC!D75)</f>
        <v>263954</v>
      </c>
      <c r="E75" s="178">
        <f t="shared" si="4"/>
        <v>2170.8500000000058</v>
      </c>
      <c r="F75" s="369">
        <f t="shared" si="5"/>
        <v>8.2925505327596741E-3</v>
      </c>
      <c r="G75" s="24"/>
      <c r="H75" s="24"/>
    </row>
    <row r="76" spans="1:8" ht="34.5">
      <c r="A76" s="117" t="s">
        <v>66</v>
      </c>
      <c r="B76" s="118">
        <f ca="1">SUM(BOS!B76,LSU!B76,VET!B76,UNO!B76,LSUA!B76,LSUE!B76,LSUS!B76,AG!B76,HSCNO!B76,HSCS!B76,EACON!B76,HPLMC!B76,LAW!B76,PBRC!B76)</f>
        <v>51167345.009999998</v>
      </c>
      <c r="C76" s="118">
        <f ca="1">SUM(BOS!C76,LSU!C76,VET!C76,UNO!C76,LSUA!C76,LSUE!C76,LSUS!C76,AG!C76,HSCNO!C76,HSCS!C76,EACON!C76,HPLMC!C76,LAW!C76,PBRC!C76)</f>
        <v>51738018</v>
      </c>
      <c r="D76" s="118">
        <f ca="1">SUM(BOS!D76,LSU!D76,VET!D76,UNO!D76,LSUA!D76,LSUE!D76,LSUS!D76,AG!D76,HSCNO!D76,HSCS!D76,EACON!D76,HPLMC!D76,LAW!D76,PBRC!D76)</f>
        <v>50462048</v>
      </c>
      <c r="E76" s="178">
        <f t="shared" si="4"/>
        <v>-705297.00999999791</v>
      </c>
      <c r="F76" s="369">
        <f t="shared" si="5"/>
        <v>-1.3784123641008865E-2</v>
      </c>
      <c r="G76" s="24"/>
      <c r="H76" s="24"/>
    </row>
    <row r="77" spans="1:8" ht="35.25">
      <c r="A77" s="114" t="s">
        <v>67</v>
      </c>
      <c r="B77" s="116">
        <f ca="1">SUM(BOS!B77,LSU!B77,VET!B77,UNO!B77,LSUA!B77,LSUE!B77,LSUS!B77,AG!B77,HSCNO!B77,HSCS!B77,EACON!B77,HPLMC!B77,LAW!B77,PBRC!B77)</f>
        <v>166374926.86999997</v>
      </c>
      <c r="C77" s="116">
        <f ca="1">SUM(BOS!C77,LSU!C77,VET!C77,UNO!C77,LSUA!C77,LSUE!C77,LSUS!C77,AG!C77,HSCNO!C77,HSCS!C77,EACON!C77,HPLMC!C77,LAW!C77,PBRC!C77)</f>
        <v>161499447</v>
      </c>
      <c r="D77" s="116">
        <f ca="1">SUM(BOS!D77,LSU!D77,VET!D77,UNO!D77,LSUA!D77,LSUE!D77,LSUS!D77,AG!D77,HSCNO!D77,HSCS!D77,EACON!D77,HPLMC!D77,LAW!D77,PBRC!D77)</f>
        <v>168387283</v>
      </c>
      <c r="E77" s="465">
        <f t="shared" si="4"/>
        <v>2012356.130000025</v>
      </c>
      <c r="F77" s="390">
        <f t="shared" si="5"/>
        <v>1.2095308877715785E-2</v>
      </c>
      <c r="G77" s="24"/>
      <c r="H77" s="24"/>
    </row>
    <row r="78" spans="1:8" ht="34.5">
      <c r="A78" s="117" t="s">
        <v>68</v>
      </c>
      <c r="B78" s="118">
        <f ca="1">SUM(BOS!B78,LSU!B78,VET!B78,UNO!B78,LSUA!B78,LSUE!B78,LSUS!B78,AG!B78,HSCNO!B78,HSCS!B78,EACON!B78,HPLMC!B78,LAW!B78,PBRC!B78)</f>
        <v>19017158.739999995</v>
      </c>
      <c r="C78" s="118">
        <f ca="1">SUM(BOS!C78,LSU!C78,VET!C78,UNO!C78,LSUA!C78,LSUE!C78,LSUS!C78,AG!C78,HSCNO!C78,HSCS!C78,EACON!C78,HPLMC!C78,LAW!C78,PBRC!C78)</f>
        <v>16610026</v>
      </c>
      <c r="D78" s="118">
        <f ca="1">SUM(BOS!D78,LSU!D78,VET!D78,UNO!D78,LSUA!D78,LSUE!D78,LSUS!D78,AG!D78,HSCNO!D78,HSCS!D78,EACON!D78,HPLMC!D78,LAW!D78,PBRC!D78)</f>
        <v>13215134</v>
      </c>
      <c r="E78" s="178">
        <f t="shared" si="4"/>
        <v>-5802024.7399999946</v>
      </c>
      <c r="F78" s="369">
        <f t="shared" si="5"/>
        <v>-0.30509419515946029</v>
      </c>
      <c r="G78" s="24"/>
      <c r="H78" s="24"/>
    </row>
    <row r="79" spans="1:8" ht="34.5">
      <c r="A79" s="117" t="s">
        <v>69</v>
      </c>
      <c r="B79" s="118">
        <f ca="1">SUM(BOS!B79,LSU!B79,VET!B79,UNO!B79,LSUA!B79,LSUE!B79,LSUS!B79,AG!B79,HSCNO!B79,HSCS!B79,EACON!B79,HPLMC!B79,LAW!B79,PBRC!B79)</f>
        <v>9319682.1600000001</v>
      </c>
      <c r="C79" s="118">
        <f ca="1">SUM(BOS!C79,LSU!C79,VET!C79,UNO!C79,LSUA!C79,LSUE!C79,LSUS!C79,AG!C79,HSCNO!C79,HSCS!C79,EACON!C79,HPLMC!C79,LAW!C79,PBRC!C79)</f>
        <v>10296190</v>
      </c>
      <c r="D79" s="118">
        <f ca="1">SUM(BOS!D79,LSU!D79,VET!D79,UNO!D79,LSUA!D79,LSUE!D79,LSUS!D79,AG!D79,HSCNO!D79,HSCS!D79,EACON!D79,HPLMC!D79,LAW!D79,PBRC!D79)</f>
        <v>9299529</v>
      </c>
      <c r="E79" s="178">
        <f t="shared" si="4"/>
        <v>-20153.160000000149</v>
      </c>
      <c r="F79" s="369">
        <f t="shared" si="5"/>
        <v>-2.1624299685344792E-3</v>
      </c>
      <c r="G79" s="24"/>
      <c r="H79" s="24"/>
    </row>
    <row r="80" spans="1:8" ht="34.5">
      <c r="A80" s="117" t="s">
        <v>70</v>
      </c>
      <c r="B80" s="118">
        <f ca="1">SUM(BOS!B80,LSU!B80,VET!B80,UNO!B80,LSUA!B80,LSUE!B80,LSUS!B80,AG!B80,HSCNO!B80,HSCS!B80,EACON!B80,HPLMC!B80,LAW!B80,PBRC!B80)</f>
        <v>1230891.93</v>
      </c>
      <c r="C80" s="118">
        <f ca="1">SUM(BOS!C80,LSU!C80,VET!C80,UNO!C80,LSUA!C80,LSUE!C80,LSUS!C80,AG!C80,HSCNO!C80,HSCS!C80,EACON!C80,HPLMC!C80,LAW!C80,PBRC!C80)</f>
        <v>0</v>
      </c>
      <c r="D80" s="118">
        <f ca="1">SUM(BOS!D80,LSU!D80,VET!D80,UNO!D80,LSUA!D80,LSUE!D80,LSUS!D80,AG!D80,HSCNO!D80,HSCS!D80,EACON!D80,HPLMC!D80,LAW!D80,PBRC!D80)</f>
        <v>0</v>
      </c>
      <c r="E80" s="178">
        <f t="shared" si="4"/>
        <v>-1230891.93</v>
      </c>
      <c r="F80" s="369">
        <f t="shared" si="5"/>
        <v>-1</v>
      </c>
      <c r="G80" s="24"/>
      <c r="H80" s="24"/>
    </row>
    <row r="81" spans="1:49" ht="35.25">
      <c r="A81" s="114" t="s">
        <v>71</v>
      </c>
      <c r="B81" s="116">
        <f ca="1">SUM(BOS!B81,LSU!B81,VET!B81,UNO!B81,LSUA!B81,LSUE!B81,LSUS!B81,AG!B81,HSCNO!B81,HSCS!B81,EACON!B81,HPLMC!B81,LAW!B81,PBRC!B81)</f>
        <v>29567732.829999998</v>
      </c>
      <c r="C81" s="116">
        <f ca="1">SUM(BOS!C81,LSU!C81,VET!C81,UNO!C81,LSUA!C81,LSUE!C81,LSUS!C81,AG!C81,HSCNO!C81,HSCS!C81,EACON!C81,HPLMC!C81,LAW!C81,PBRC!C81)</f>
        <v>26906216</v>
      </c>
      <c r="D81" s="116">
        <f ca="1">SUM(BOS!D81,LSU!D81,VET!D81,UNO!D81,LSUA!D81,LSUE!D81,LSUS!D81,AG!D81,HSCNO!D81,HSCS!D81,EACON!D81,HPLMC!D81,LAW!D81,PBRC!D81)</f>
        <v>22514663</v>
      </c>
      <c r="E81" s="465">
        <f t="shared" si="4"/>
        <v>-7053069.8299999982</v>
      </c>
      <c r="F81" s="390">
        <f t="shared" si="5"/>
        <v>-0.23853941966236303</v>
      </c>
      <c r="G81" s="24"/>
      <c r="H81" s="24"/>
    </row>
    <row r="82" spans="1:49" s="163" customFormat="1" ht="45" thickBot="1">
      <c r="A82" s="164" t="s">
        <v>53</v>
      </c>
      <c r="B82" s="165">
        <f ca="1">SUM(BOS!B82,LSU!B82,VET!B82,UNO!B82,LSUA!B82,LSUE!B82,LSUS!B82,AG!B82,HSCNO!B82,HSCS!B82,EACON!B82,HPLMC!B82,LAW!B82,PBRC!B82)</f>
        <v>1533618558.23</v>
      </c>
      <c r="C82" s="165">
        <f ca="1">SUM(BOS!C82,LSU!C82,VET!C82,UNO!C82,LSUA!C82,LSUE!C82,LSUS!C82,AG!C82,HSCNO!C82,HSCS!C82,EACON!C82,HPLMC!C82,LAW!C82,PBRC!C82)</f>
        <v>1557536088</v>
      </c>
      <c r="D82" s="165">
        <f ca="1">SUM(BOS!D82,LSU!D82,VET!D82,UNO!D82,LSUA!D82,LSUE!D82,LSUS!D82,AG!D82,HSCNO!D82,HSCS!D82,EACON!D82,HPLMC!D82,LAW!D82,PBRC!D82)</f>
        <v>1545977666</v>
      </c>
      <c r="E82" s="466">
        <f t="shared" si="4"/>
        <v>12359107.769999981</v>
      </c>
      <c r="F82" s="348">
        <f t="shared" si="5"/>
        <v>8.0587886105551801E-3</v>
      </c>
    </row>
    <row r="83" spans="1:49" s="163" customFormat="1" ht="44.25">
      <c r="F83" s="375"/>
    </row>
    <row r="84" spans="1:49" s="163" customFormat="1" ht="44.25">
      <c r="A84" s="163" t="s">
        <v>99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A85" s="163" t="s">
        <v>72</v>
      </c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5" type="noConversion"/>
  <printOptions horizontalCentered="1"/>
  <pageMargins left="0.45" right="0.45" top="0.5" bottom="0.5" header="0.3" footer="0.3"/>
  <pageSetup scale="2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2"/>
  <sheetViews>
    <sheetView topLeftCell="A64" zoomScale="30" zoomScaleNormal="100" workbookViewId="0">
      <selection activeCell="E4" sqref="E4:F82"/>
    </sheetView>
  </sheetViews>
  <sheetFormatPr defaultRowHeight="15"/>
  <cols>
    <col min="1" max="1" width="135" style="16" customWidth="1"/>
    <col min="2" max="2" width="44.21875" style="16" customWidth="1"/>
    <col min="3" max="3" width="42.109375" style="16" customWidth="1"/>
    <col min="4" max="4" width="36.21875" style="16" customWidth="1"/>
    <col min="5" max="5" width="33.21875" style="16" customWidth="1"/>
    <col min="6" max="6" width="31.66406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78</v>
      </c>
      <c r="G1" s="58"/>
      <c r="I1" s="18"/>
      <c r="J1" s="18"/>
    </row>
    <row r="2" spans="1:10" ht="45">
      <c r="A2" s="17" t="s">
        <v>2</v>
      </c>
      <c r="B2" s="18"/>
      <c r="C2" s="18"/>
      <c r="D2" s="18"/>
      <c r="E2" s="141" t="s">
        <v>300</v>
      </c>
      <c r="F2" s="377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1" t="s">
        <v>14</v>
      </c>
      <c r="B8" s="93">
        <v>224431857</v>
      </c>
      <c r="C8" s="93">
        <f>234683574-10251717</f>
        <v>224431857</v>
      </c>
      <c r="D8" s="93">
        <f>167433487-D9</f>
        <v>153931492</v>
      </c>
      <c r="E8" s="93">
        <f>D8-B8</f>
        <v>-70500365</v>
      </c>
      <c r="F8" s="343">
        <f>IF(ISBLANK(E8),"  ",IF(B8&gt;0,E8/B8,IF(E8&gt;0,1,0)))</f>
        <v>-0.31412815427535318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13501995</v>
      </c>
      <c r="E9" s="93">
        <f>D9-B9</f>
        <v>13501995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14950961</v>
      </c>
      <c r="C10" s="93">
        <f>SUM(C11:C25)</f>
        <v>15257880</v>
      </c>
      <c r="D10" s="93">
        <f>SUM(D11:D25)</f>
        <v>13431458</v>
      </c>
      <c r="E10" s="93">
        <f>D10-C10</f>
        <v>-1826422</v>
      </c>
      <c r="F10" s="343">
        <f t="shared" si="0"/>
        <v>-0.12216084303878527</v>
      </c>
      <c r="G10" s="24"/>
      <c r="H10" s="24"/>
      <c r="I10" s="24"/>
      <c r="J10" s="24"/>
    </row>
    <row r="11" spans="1:10" ht="34.5">
      <c r="A11" s="30" t="s">
        <v>82</v>
      </c>
      <c r="B11" s="93">
        <v>0</v>
      </c>
      <c r="C11" s="93">
        <v>0</v>
      </c>
      <c r="D11" s="93">
        <f>1027934+114272</f>
        <v>1142206</v>
      </c>
      <c r="E11" s="93">
        <f>D11-B11</f>
        <v>1142206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8900491+998220</f>
        <v>9898711</v>
      </c>
      <c r="C12" s="93">
        <f>1029167+9176463</f>
        <v>10205630</v>
      </c>
      <c r="D12" s="93">
        <f>7938883+890369</f>
        <v>8829252</v>
      </c>
      <c r="E12" s="93">
        <f>D12-B12</f>
        <v>-1069459</v>
      </c>
      <c r="F12" s="343">
        <f t="shared" si="0"/>
        <v>-0.10804022867219783</v>
      </c>
      <c r="G12" s="24"/>
      <c r="H12" s="24"/>
      <c r="I12" s="24"/>
      <c r="J12" s="24"/>
    </row>
    <row r="13" spans="1:10" ht="34.5">
      <c r="A13" s="31" t="s">
        <v>83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94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84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>
        <v>750000</v>
      </c>
      <c r="C18" s="93">
        <v>750000</v>
      </c>
      <c r="D18" s="93">
        <v>750000</v>
      </c>
      <c r="E18" s="93">
        <f>D18-B18</f>
        <v>0</v>
      </c>
      <c r="F18" s="343">
        <f t="shared" si="0"/>
        <v>0</v>
      </c>
      <c r="G18" s="24"/>
      <c r="H18" s="24"/>
    </row>
    <row r="19" spans="1:8" ht="34.5">
      <c r="A19" s="31" t="s">
        <v>24</v>
      </c>
      <c r="B19" s="93">
        <v>2900000</v>
      </c>
      <c r="C19" s="93">
        <v>2900000</v>
      </c>
      <c r="D19" s="93">
        <v>2500000</v>
      </c>
      <c r="E19" s="93">
        <f>D19-B19</f>
        <v>-400000</v>
      </c>
      <c r="F19" s="343">
        <f t="shared" si="0"/>
        <v>-0.13793103448275862</v>
      </c>
      <c r="G19" s="24"/>
      <c r="H19" s="24"/>
    </row>
    <row r="20" spans="1:8" ht="34.5">
      <c r="A20" s="31" t="s">
        <v>25</v>
      </c>
      <c r="B20" s="93">
        <f>70000+70000+70000</f>
        <v>210000</v>
      </c>
      <c r="C20" s="93">
        <v>210000</v>
      </c>
      <c r="D20" s="93">
        <f>70000+70000+70000</f>
        <v>210000</v>
      </c>
      <c r="E20" s="93">
        <f>D20-B20</f>
        <v>0</v>
      </c>
      <c r="F20" s="343">
        <f t="shared" si="0"/>
        <v>0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>
        <v>1192250</v>
      </c>
      <c r="C25" s="93">
        <f>1255000-62750</f>
        <v>1192250</v>
      </c>
      <c r="D25" s="93">
        <v>0</v>
      </c>
      <c r="E25" s="93">
        <f>D25-B25</f>
        <v>-1192250</v>
      </c>
      <c r="F25" s="343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95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94"/>
      <c r="F30" s="343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239382818</v>
      </c>
      <c r="C31" s="122">
        <f>C30+C29+C27+C10+C9+C8</f>
        <v>239689737</v>
      </c>
      <c r="D31" s="122">
        <f>D30+D29+D27+D10+D9+D8</f>
        <v>180864945</v>
      </c>
      <c r="E31" s="94">
        <f>D31-B31</f>
        <v>-58517873</v>
      </c>
      <c r="F31" s="390">
        <f t="shared" si="0"/>
        <v>-0.24445310439949788</v>
      </c>
      <c r="G31" s="24"/>
      <c r="H31" s="24"/>
    </row>
    <row r="32" spans="1:8" ht="35.25">
      <c r="A32" s="33"/>
      <c r="B32" s="92"/>
      <c r="C32" s="92"/>
      <c r="D32" s="92"/>
      <c r="E32" s="148"/>
      <c r="F32" s="343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92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v>11451616</v>
      </c>
      <c r="C35" s="147">
        <f>10734388+717501</f>
        <v>11451889</v>
      </c>
      <c r="D35" s="147">
        <v>6642328</v>
      </c>
      <c r="E35" s="401">
        <f>D35-B35</f>
        <v>-4809288</v>
      </c>
      <c r="F35" s="399">
        <f>IF(ISBLANK(E35),"  ",IF(B35&gt;0,E35/B35,IF(E35&gt;0,1,0)))</f>
        <v>-0.41996588079795899</v>
      </c>
      <c r="G35" s="24"/>
      <c r="H35" s="24"/>
    </row>
    <row r="36" spans="1:8" ht="35.25">
      <c r="A36" s="30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f>34785988+3867053</f>
        <v>38653041</v>
      </c>
      <c r="E37" s="401">
        <f>D37-B37</f>
        <v>38653041</v>
      </c>
      <c r="F37" s="399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95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>162663891+10806271+13987439</f>
        <v>187457601</v>
      </c>
      <c r="C39" s="147">
        <f>161773867+8467000+10012296+10284071</f>
        <v>190537234</v>
      </c>
      <c r="D39" s="147">
        <f>174594616+8567000+10474593+10721025</f>
        <v>204357234</v>
      </c>
      <c r="E39" s="401">
        <f>D39-B39</f>
        <v>16899633</v>
      </c>
      <c r="F39" s="399">
        <f>IF(ISBLANK(E39),"  ",IF(B39&gt;0,E39/B39,IF(E39&gt;0,1,0)))</f>
        <v>9.0151761837600819E-2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99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147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B43+B41+B39+B37+B35+B31</f>
        <v>438292035</v>
      </c>
      <c r="C45" s="147">
        <f>C43+C41+C39+C37+C35+C31</f>
        <v>441678860</v>
      </c>
      <c r="D45" s="147">
        <f>D43+D41+D39+D37+D35+D31</f>
        <v>430517548</v>
      </c>
      <c r="E45" s="401">
        <f>D45-B45</f>
        <v>-7774487</v>
      </c>
      <c r="F45" s="399">
        <f>IF(ISBLANK(E45),"  ",IF(B45&gt;0,E45/B45,IF(E45&gt;0,1,0)))</f>
        <v>-1.7738143473220998E-2</v>
      </c>
      <c r="G45" s="24"/>
      <c r="H45" s="24"/>
    </row>
    <row r="46" spans="1:8" ht="35.25">
      <c r="A46" s="139"/>
      <c r="B46" s="133"/>
      <c r="C46" s="133"/>
      <c r="D46" s="133"/>
      <c r="E46" s="95"/>
      <c r="F46" s="345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184950296</v>
      </c>
      <c r="C49" s="154">
        <f>199705927-50000-3949538</f>
        <v>195706389</v>
      </c>
      <c r="D49" s="154">
        <v>190915927</v>
      </c>
      <c r="E49" s="93">
        <f t="shared" ref="E49:E57" si="1">D49-B49</f>
        <v>5965631</v>
      </c>
      <c r="F49" s="343">
        <f t="shared" ref="F49:F62" si="2">IF(ISBLANK(E49),"  ",IF(B49&gt;0,E49/B49,IF(E49&gt;0,1,0)))</f>
        <v>3.2255320099622876E-2</v>
      </c>
      <c r="G49" s="24"/>
      <c r="H49" s="24"/>
    </row>
    <row r="50" spans="1:8" ht="34.5">
      <c r="A50" s="156" t="s">
        <v>42</v>
      </c>
      <c r="B50" s="157">
        <v>59678567</v>
      </c>
      <c r="C50" s="157">
        <f>58489115-1780313</f>
        <v>56708802</v>
      </c>
      <c r="D50" s="157">
        <v>55374214</v>
      </c>
      <c r="E50" s="93">
        <f t="shared" si="1"/>
        <v>-4304353</v>
      </c>
      <c r="F50" s="343">
        <f t="shared" si="2"/>
        <v>-7.2125609182271413E-2</v>
      </c>
      <c r="G50" s="24"/>
      <c r="H50" s="24"/>
    </row>
    <row r="51" spans="1:8" ht="34.5">
      <c r="A51" s="158" t="s">
        <v>43</v>
      </c>
      <c r="B51" s="159">
        <v>10509128</v>
      </c>
      <c r="C51" s="159">
        <f>10016986+85503-74130</f>
        <v>10028359</v>
      </c>
      <c r="D51" s="159">
        <v>5894137</v>
      </c>
      <c r="E51" s="93">
        <f t="shared" si="1"/>
        <v>-4614991</v>
      </c>
      <c r="F51" s="343">
        <f t="shared" si="2"/>
        <v>-0.43914119230444237</v>
      </c>
      <c r="G51" s="24"/>
      <c r="H51" s="24"/>
    </row>
    <row r="52" spans="1:8" ht="34.5">
      <c r="A52" s="158" t="s">
        <v>44</v>
      </c>
      <c r="B52" s="159">
        <v>60319216</v>
      </c>
      <c r="C52" s="159">
        <f>57242311+619248-733637</f>
        <v>57127922</v>
      </c>
      <c r="D52" s="159">
        <v>55350868</v>
      </c>
      <c r="E52" s="93">
        <f t="shared" si="1"/>
        <v>-4968348</v>
      </c>
      <c r="F52" s="343">
        <f t="shared" si="2"/>
        <v>-8.2367582496430322E-2</v>
      </c>
      <c r="G52" s="24"/>
      <c r="H52" s="24"/>
    </row>
    <row r="53" spans="1:8" ht="34.5">
      <c r="A53" s="156" t="s">
        <v>45</v>
      </c>
      <c r="B53" s="159">
        <v>12387757</v>
      </c>
      <c r="C53" s="159">
        <f>13079141-409468</f>
        <v>12669673</v>
      </c>
      <c r="D53" s="159">
        <v>12283699</v>
      </c>
      <c r="E53" s="93">
        <f t="shared" si="1"/>
        <v>-104058</v>
      </c>
      <c r="F53" s="343">
        <f t="shared" si="2"/>
        <v>-8.4000679057556586E-3</v>
      </c>
      <c r="G53" s="24"/>
      <c r="H53" s="24"/>
    </row>
    <row r="54" spans="1:8" ht="34.5">
      <c r="A54" s="153" t="s">
        <v>74</v>
      </c>
      <c r="B54" s="160">
        <v>24212837</v>
      </c>
      <c r="C54" s="160">
        <f>27613993-1019992</f>
        <v>26594001</v>
      </c>
      <c r="D54" s="160">
        <v>23801462</v>
      </c>
      <c r="E54" s="93">
        <f t="shared" si="1"/>
        <v>-411375</v>
      </c>
      <c r="F54" s="343">
        <f t="shared" si="2"/>
        <v>-1.6989954543534077E-2</v>
      </c>
      <c r="G54" s="24"/>
      <c r="H54" s="24"/>
    </row>
    <row r="55" spans="1:8" ht="34.5">
      <c r="A55" s="117" t="s">
        <v>46</v>
      </c>
      <c r="B55" s="118">
        <v>33957030</v>
      </c>
      <c r="C55" s="118">
        <v>31468128</v>
      </c>
      <c r="D55" s="118">
        <v>35400128</v>
      </c>
      <c r="E55" s="93">
        <f t="shared" si="1"/>
        <v>1443098</v>
      </c>
      <c r="F55" s="343">
        <f t="shared" si="2"/>
        <v>4.2497768503311391E-2</v>
      </c>
      <c r="G55" s="24"/>
      <c r="H55" s="24"/>
    </row>
    <row r="56" spans="1:8" ht="34.5">
      <c r="A56" s="117" t="s">
        <v>47</v>
      </c>
      <c r="B56" s="93">
        <v>51263450</v>
      </c>
      <c r="C56" s="93">
        <f>53173225-2284639</f>
        <v>50888586</v>
      </c>
      <c r="D56" s="93">
        <v>51010113</v>
      </c>
      <c r="E56" s="93">
        <f t="shared" si="1"/>
        <v>-253337</v>
      </c>
      <c r="F56" s="343">
        <f t="shared" si="2"/>
        <v>-4.9418640376330501E-3</v>
      </c>
      <c r="G56" s="24"/>
      <c r="H56" s="24"/>
    </row>
    <row r="57" spans="1:8" ht="35.25">
      <c r="A57" s="114" t="s">
        <v>48</v>
      </c>
      <c r="B57" s="116">
        <f>SUM(B49:B56)</f>
        <v>437278281</v>
      </c>
      <c r="C57" s="116">
        <f>SUM(C49:C56)</f>
        <v>441191860</v>
      </c>
      <c r="D57" s="116">
        <f>SUM(D49:D56)</f>
        <v>430030548</v>
      </c>
      <c r="E57" s="94">
        <f t="shared" si="1"/>
        <v>-7247733</v>
      </c>
      <c r="F57" s="344">
        <f t="shared" si="2"/>
        <v>-1.657464666076109E-2</v>
      </c>
      <c r="G57" s="24"/>
      <c r="H57" s="24"/>
    </row>
    <row r="58" spans="1:8" ht="34.5">
      <c r="A58" s="117" t="s">
        <v>49</v>
      </c>
      <c r="B58" s="93"/>
      <c r="C58" s="93"/>
      <c r="D58" s="93"/>
      <c r="E58" s="97"/>
      <c r="F58" s="343" t="str">
        <f t="shared" si="2"/>
        <v xml:space="preserve">  </v>
      </c>
      <c r="G58" s="24"/>
      <c r="H58" s="24"/>
    </row>
    <row r="59" spans="1:8" ht="34.5">
      <c r="A59" s="117" t="s">
        <v>85</v>
      </c>
      <c r="B59" s="93">
        <f>470+1013284</f>
        <v>1013754</v>
      </c>
      <c r="C59" s="93">
        <v>487000</v>
      </c>
      <c r="D59" s="93">
        <v>487000</v>
      </c>
      <c r="E59" s="93">
        <f>D59-B59</f>
        <v>-526754</v>
      </c>
      <c r="F59" s="343">
        <f t="shared" si="2"/>
        <v>-0.51960732090822825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27"/>
      <c r="F60" s="343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4"/>
      <c r="F61" s="343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B61+B60+B59+B58+B57</f>
        <v>438292035</v>
      </c>
      <c r="C62" s="120">
        <f>C61+C60+C59+C58+C57</f>
        <v>441678860</v>
      </c>
      <c r="D62" s="120">
        <f>D61+D60+D59+D58+D57</f>
        <v>430517548</v>
      </c>
      <c r="E62" s="94">
        <f>D62-B62</f>
        <v>-7774487</v>
      </c>
      <c r="F62" s="344">
        <f t="shared" si="2"/>
        <v>-1.7738143473220998E-2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f>22353+1606431+205815+647675+194344541+36493714+2586345+19240+1262657</f>
        <v>237188771</v>
      </c>
      <c r="C65" s="92">
        <f>249246202+439781-5597903-622976-5217</f>
        <v>243459887</v>
      </c>
      <c r="D65" s="92">
        <f>1786008+153251+198414279+37600877+1195834</f>
        <v>239150249</v>
      </c>
      <c r="E65" s="396">
        <f t="shared" ref="E65:E79" si="3">D65-B65</f>
        <v>1961478</v>
      </c>
      <c r="F65" s="397">
        <f t="shared" ref="F65:F82" si="4">IF(ISBLANK(E65),"  ",IF(B65&gt;0,E65/B65,IF(E65&gt;0,1,0)))</f>
        <v>8.2696916541635107E-3</v>
      </c>
      <c r="G65" s="24"/>
      <c r="H65" s="24"/>
    </row>
    <row r="66" spans="1:8" ht="34.5">
      <c r="A66" s="117" t="s">
        <v>56</v>
      </c>
      <c r="B66" s="118">
        <f>1316145+20076279+5251789+965643</f>
        <v>27609856</v>
      </c>
      <c r="C66" s="118">
        <f>26741859-278032-140310</f>
        <v>26323517</v>
      </c>
      <c r="D66" s="118">
        <f>461366+19353192+5090207+927863</f>
        <v>25832628</v>
      </c>
      <c r="E66" s="92">
        <f t="shared" si="3"/>
        <v>-1777228</v>
      </c>
      <c r="F66" s="342">
        <f t="shared" si="4"/>
        <v>-6.4369332458669826E-2</v>
      </c>
      <c r="G66" s="24"/>
      <c r="H66" s="24"/>
    </row>
    <row r="67" spans="1:8" ht="34.5">
      <c r="A67" s="117" t="s">
        <v>57</v>
      </c>
      <c r="B67" s="118">
        <f>68368493-2214303</f>
        <v>66154190</v>
      </c>
      <c r="C67" s="118">
        <f>73864162+129467-909301</f>
        <v>73084328</v>
      </c>
      <c r="D67" s="118">
        <f>65391175+8534497-2840230</f>
        <v>71085442</v>
      </c>
      <c r="E67" s="93">
        <f t="shared" si="3"/>
        <v>4931252</v>
      </c>
      <c r="F67" s="343">
        <f t="shared" si="4"/>
        <v>7.4541793951373295E-2</v>
      </c>
      <c r="G67" s="24"/>
      <c r="H67" s="24"/>
    </row>
    <row r="68" spans="1:8" ht="35.25">
      <c r="A68" s="175" t="s">
        <v>58</v>
      </c>
      <c r="B68" s="116">
        <f>SUM(B65:B67)</f>
        <v>330952817</v>
      </c>
      <c r="C68" s="116">
        <f>SUM(C65:C67)</f>
        <v>342867732</v>
      </c>
      <c r="D68" s="116">
        <f>SUM(D65:D67)</f>
        <v>336068319</v>
      </c>
      <c r="E68" s="94">
        <f t="shared" si="3"/>
        <v>5115502</v>
      </c>
      <c r="F68" s="344">
        <f t="shared" si="4"/>
        <v>1.5456892152696196E-2</v>
      </c>
      <c r="G68" s="24"/>
      <c r="H68" s="24"/>
    </row>
    <row r="69" spans="1:8" ht="34.5">
      <c r="A69" s="151" t="s">
        <v>59</v>
      </c>
      <c r="B69" s="166">
        <f>3082036+571151</f>
        <v>3653187</v>
      </c>
      <c r="C69" s="166">
        <f>2893457-112136</f>
        <v>2781321</v>
      </c>
      <c r="D69" s="166">
        <v>2395342</v>
      </c>
      <c r="E69" s="93">
        <f t="shared" si="3"/>
        <v>-1257845</v>
      </c>
      <c r="F69" s="343">
        <f t="shared" si="4"/>
        <v>-0.34431443011266599</v>
      </c>
      <c r="G69" s="24"/>
      <c r="H69" s="24"/>
    </row>
    <row r="70" spans="1:8" ht="34.5">
      <c r="A70" s="151" t="s">
        <v>60</v>
      </c>
      <c r="B70" s="166">
        <f>28505246+9036160+9368063-17953294-32908+83912+820+4150+672031-9386205-3</f>
        <v>20297972</v>
      </c>
      <c r="C70" s="166">
        <f>25071128-1820561-133635-4441</f>
        <v>23112491</v>
      </c>
      <c r="D70" s="166">
        <f>13032069+6947530+21292879-14990699-1900149-4827866</f>
        <v>19553764</v>
      </c>
      <c r="E70" s="93">
        <f t="shared" si="3"/>
        <v>-744208</v>
      </c>
      <c r="F70" s="343">
        <f t="shared" si="4"/>
        <v>-3.666415541414679E-2</v>
      </c>
      <c r="G70" s="24"/>
      <c r="H70" s="24"/>
    </row>
    <row r="71" spans="1:8" ht="34.5">
      <c r="A71" s="176" t="s">
        <v>61</v>
      </c>
      <c r="B71" s="177">
        <f>17485086+75273</f>
        <v>17560359</v>
      </c>
      <c r="C71" s="177">
        <f>11646066-357038</f>
        <v>11289028</v>
      </c>
      <c r="D71" s="177">
        <f>11520949+57800</f>
        <v>11578749</v>
      </c>
      <c r="E71" s="93">
        <f t="shared" si="3"/>
        <v>-5981610</v>
      </c>
      <c r="F71" s="343">
        <f t="shared" si="4"/>
        <v>-0.34063141875402431</v>
      </c>
      <c r="G71" s="24"/>
      <c r="H71" s="24"/>
    </row>
    <row r="72" spans="1:8" ht="35.25">
      <c r="A72" s="114" t="s">
        <v>62</v>
      </c>
      <c r="B72" s="116">
        <f>SUM(B69:B71)</f>
        <v>41511518</v>
      </c>
      <c r="C72" s="116">
        <f>SUM(C69:C71)</f>
        <v>37182840</v>
      </c>
      <c r="D72" s="116">
        <f>SUM(D69:D71)</f>
        <v>33527855</v>
      </c>
      <c r="E72" s="94">
        <f t="shared" si="3"/>
        <v>-7983663</v>
      </c>
      <c r="F72" s="344">
        <f t="shared" si="4"/>
        <v>-0.1923240436545828</v>
      </c>
      <c r="G72" s="24"/>
      <c r="H72" s="24"/>
    </row>
    <row r="73" spans="1:8" ht="34.5">
      <c r="A73" s="117" t="s">
        <v>63</v>
      </c>
      <c r="B73" s="118">
        <v>2501854</v>
      </c>
      <c r="C73" s="118">
        <f>2459679-17744</f>
        <v>2441935</v>
      </c>
      <c r="D73" s="118">
        <v>1921724</v>
      </c>
      <c r="E73" s="93">
        <f t="shared" si="3"/>
        <v>-580130</v>
      </c>
      <c r="F73" s="343">
        <f t="shared" si="4"/>
        <v>-0.23188003776399421</v>
      </c>
      <c r="G73" s="24"/>
      <c r="H73" s="24"/>
    </row>
    <row r="74" spans="1:8" ht="34.5">
      <c r="A74" s="126" t="s">
        <v>64</v>
      </c>
      <c r="B74" s="128">
        <f>6922725+32801584+1013284</f>
        <v>40737593</v>
      </c>
      <c r="C74" s="128">
        <f>37170570+85503-12000</f>
        <v>37244073</v>
      </c>
      <c r="D74" s="128">
        <f>2699499+35125128</f>
        <v>37824627</v>
      </c>
      <c r="E74" s="93">
        <f t="shared" si="3"/>
        <v>-2912966</v>
      </c>
      <c r="F74" s="343">
        <f t="shared" si="4"/>
        <v>-7.1505599263068875E-2</v>
      </c>
      <c r="G74" s="24"/>
      <c r="H74" s="24"/>
    </row>
    <row r="75" spans="1:8" ht="34.5">
      <c r="A75" s="117" t="s">
        <v>65</v>
      </c>
      <c r="B75" s="118">
        <v>470</v>
      </c>
      <c r="C75" s="118">
        <v>0</v>
      </c>
      <c r="D75" s="118">
        <v>0</v>
      </c>
      <c r="E75" s="93">
        <f t="shared" si="3"/>
        <v>-470</v>
      </c>
      <c r="F75" s="343">
        <f t="shared" si="4"/>
        <v>-1</v>
      </c>
      <c r="G75" s="24"/>
      <c r="H75" s="24"/>
    </row>
    <row r="76" spans="1:8" ht="34.5">
      <c r="A76" s="117" t="s">
        <v>66</v>
      </c>
      <c r="B76" s="118">
        <v>9386205</v>
      </c>
      <c r="C76" s="118">
        <v>9700316</v>
      </c>
      <c r="D76" s="118">
        <v>9568245</v>
      </c>
      <c r="E76" s="93">
        <f t="shared" si="3"/>
        <v>182040</v>
      </c>
      <c r="F76" s="343">
        <f t="shared" si="4"/>
        <v>1.939441978946763E-2</v>
      </c>
      <c r="G76" s="24"/>
      <c r="H76" s="24"/>
    </row>
    <row r="77" spans="1:8" ht="35.25">
      <c r="A77" s="114" t="s">
        <v>67</v>
      </c>
      <c r="B77" s="116">
        <f>SUM(B73:B76)</f>
        <v>52626122</v>
      </c>
      <c r="C77" s="116">
        <f>SUM(C73:C76)</f>
        <v>49386324</v>
      </c>
      <c r="D77" s="116">
        <f>SUM(D73:D76)</f>
        <v>49314596</v>
      </c>
      <c r="E77" s="94">
        <f t="shared" si="3"/>
        <v>-3311526</v>
      </c>
      <c r="F77" s="344">
        <f t="shared" si="4"/>
        <v>-6.2925518243582529E-2</v>
      </c>
      <c r="G77" s="24"/>
      <c r="H77" s="24"/>
    </row>
    <row r="78" spans="1:8" ht="34.5">
      <c r="A78" s="117" t="s">
        <v>68</v>
      </c>
      <c r="B78" s="118">
        <f>2551386+5609887+5024766+15539-B79</f>
        <v>8169628.5199999996</v>
      </c>
      <c r="C78" s="118">
        <f>6944341-171923</f>
        <v>6772418</v>
      </c>
      <c r="D78" s="118">
        <f>11441260+60518+35000+70000-D79</f>
        <v>6348209</v>
      </c>
      <c r="E78" s="93">
        <f t="shared" si="3"/>
        <v>-1821419.5199999996</v>
      </c>
      <c r="F78" s="343">
        <f t="shared" si="4"/>
        <v>-0.22295010299929766</v>
      </c>
      <c r="G78" s="24"/>
      <c r="H78" s="24"/>
    </row>
    <row r="79" spans="1:8" ht="34.5">
      <c r="A79" s="117" t="s">
        <v>69</v>
      </c>
      <c r="B79" s="118">
        <f>4591460.58+440488.9</f>
        <v>5031949.4800000004</v>
      </c>
      <c r="C79" s="118">
        <f>5538046-68500</f>
        <v>5469546</v>
      </c>
      <c r="D79" s="118">
        <f>4845769+412800</f>
        <v>5258569</v>
      </c>
      <c r="E79" s="93">
        <f t="shared" si="3"/>
        <v>226619.51999999955</v>
      </c>
      <c r="F79" s="343">
        <f t="shared" si="4"/>
        <v>4.5036127826943037E-2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18"/>
      <c r="F80" s="343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13201578</v>
      </c>
      <c r="C81" s="116">
        <f>SUM(C78:C80)</f>
        <v>12241964</v>
      </c>
      <c r="D81" s="116">
        <f>SUM(D78:D80)</f>
        <v>11606778</v>
      </c>
      <c r="E81" s="284">
        <f>D81-B81</f>
        <v>-1594800</v>
      </c>
      <c r="F81" s="344">
        <f t="shared" si="4"/>
        <v>-0.12080374028013924</v>
      </c>
      <c r="G81" s="24"/>
      <c r="H81" s="24"/>
    </row>
    <row r="82" spans="1:8" ht="45" thickBot="1">
      <c r="A82" s="164" t="s">
        <v>53</v>
      </c>
      <c r="B82" s="165">
        <f>B81+B77+B72+B68</f>
        <v>438292035</v>
      </c>
      <c r="C82" s="165">
        <f>C81+C77+C72+C68</f>
        <v>441678860</v>
      </c>
      <c r="D82" s="165">
        <f>D81+D77+D72+D68</f>
        <v>430517548</v>
      </c>
      <c r="E82" s="442">
        <f>D82-B82</f>
        <v>-7774487</v>
      </c>
      <c r="F82" s="348">
        <f t="shared" si="4"/>
        <v>-1.7738143473220998E-2</v>
      </c>
      <c r="G82" s="36"/>
      <c r="H82" s="36"/>
    </row>
    <row r="83" spans="1:8" ht="44.25">
      <c r="A83" s="36"/>
      <c r="B83" s="36"/>
      <c r="C83" s="36"/>
      <c r="D83" s="36"/>
      <c r="E83" s="36"/>
      <c r="F83" s="351" t="s">
        <v>35</v>
      </c>
      <c r="G83" s="36"/>
      <c r="H83" s="36"/>
    </row>
    <row r="84" spans="1:8" s="163" customFormat="1" ht="44.25">
      <c r="A84" s="113" t="s">
        <v>96</v>
      </c>
      <c r="B84" s="36"/>
      <c r="C84" s="36"/>
      <c r="D84" s="36"/>
      <c r="E84" s="36"/>
      <c r="F84" s="351"/>
      <c r="G84" s="36"/>
      <c r="H84" s="36"/>
    </row>
    <row r="85" spans="1:8" s="163" customFormat="1" ht="44.25">
      <c r="A85" s="36" t="s">
        <v>86</v>
      </c>
      <c r="B85" s="36"/>
      <c r="C85" s="36"/>
      <c r="D85" s="36"/>
      <c r="E85" s="36"/>
      <c r="F85" s="351"/>
      <c r="G85" s="36"/>
      <c r="H85" s="36"/>
    </row>
    <row r="86" spans="1:8" s="163" customFormat="1" ht="44.25">
      <c r="A86" s="36"/>
      <c r="B86" s="36"/>
      <c r="C86" s="36"/>
      <c r="D86" s="36"/>
      <c r="E86" s="36"/>
      <c r="F86" s="351"/>
      <c r="G86" s="36"/>
      <c r="H86" s="36"/>
    </row>
    <row r="87" spans="1:8" s="163" customFormat="1" ht="44.25">
      <c r="A87" s="36"/>
      <c r="B87" s="36"/>
      <c r="C87" s="36"/>
      <c r="D87" s="36"/>
      <c r="E87" s="36"/>
      <c r="F87" s="351"/>
      <c r="G87" s="36"/>
      <c r="H87" s="36"/>
    </row>
    <row r="88" spans="1:8" s="163" customFormat="1" ht="44.25">
      <c r="A88" s="36"/>
      <c r="B88" s="36"/>
      <c r="C88" s="36"/>
      <c r="D88" s="36"/>
      <c r="E88" s="36"/>
      <c r="F88" s="351"/>
      <c r="G88" s="36"/>
      <c r="H88" s="36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1"/>
  <sheetViews>
    <sheetView showOutlineSymbols="0" zoomScale="30" zoomScaleNormal="100" zoomScaleSheetLayoutView="85" workbookViewId="0">
      <selection activeCell="C6" sqref="C6"/>
    </sheetView>
  </sheetViews>
  <sheetFormatPr defaultRowHeight="15"/>
  <cols>
    <col min="1" max="1" width="135" style="16" customWidth="1"/>
    <col min="2" max="2" width="44.21875" style="16" customWidth="1"/>
    <col min="3" max="3" width="42.109375" style="16" customWidth="1"/>
    <col min="4" max="4" width="36.21875" style="16" customWidth="1"/>
    <col min="5" max="5" width="33.21875" style="16" customWidth="1"/>
    <col min="6" max="6" width="31.66406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289</v>
      </c>
      <c r="G1" s="5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1" t="s">
        <v>14</v>
      </c>
      <c r="B8" s="93">
        <v>9611561</v>
      </c>
      <c r="C8" s="93">
        <v>9611561</v>
      </c>
      <c r="D8" s="93">
        <v>6498605</v>
      </c>
      <c r="E8" s="93">
        <f>D8-B8</f>
        <v>-3112956</v>
      </c>
      <c r="F8" s="343">
        <f>IF(ISBLANK(E8),"  ",IF(B8&gt;0,E8/B8,IF(E8&gt;0,1,0)))</f>
        <v>-0.32387621532027938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587739</v>
      </c>
      <c r="E9" s="93">
        <f>D9-B9</f>
        <v>587739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477647</v>
      </c>
      <c r="C10" s="93">
        <f>SUM(C11:C25)</f>
        <v>492457</v>
      </c>
      <c r="D10" s="93">
        <f>SUM(D11:D25)</f>
        <v>475762</v>
      </c>
      <c r="E10" s="93">
        <f>D10-C10</f>
        <v>-16695</v>
      </c>
      <c r="F10" s="343">
        <f t="shared" si="0"/>
        <v>-3.4952590511402773E-2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49720</v>
      </c>
      <c r="E11" s="93">
        <f>D11-B11</f>
        <v>49720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477647</v>
      </c>
      <c r="C12" s="93">
        <v>492457</v>
      </c>
      <c r="D12" s="93">
        <v>426042</v>
      </c>
      <c r="E12" s="93">
        <f>D12-B12</f>
        <v>-51605</v>
      </c>
      <c r="F12" s="343">
        <f t="shared" si="0"/>
        <v>-0.10804003793596527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91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94"/>
      <c r="F30" s="343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10089208</v>
      </c>
      <c r="C31" s="122">
        <f>SUM(C8:C10,C26:C30)</f>
        <v>10104018</v>
      </c>
      <c r="D31" s="122">
        <f>SUM(D8:D10,D26:D30)</f>
        <v>7562106</v>
      </c>
      <c r="E31" s="94">
        <f>D31-B31</f>
        <v>-2527102</v>
      </c>
      <c r="F31" s="390">
        <f t="shared" si="0"/>
        <v>-0.25047575587697268</v>
      </c>
      <c r="G31" s="24"/>
      <c r="H31" s="24"/>
    </row>
    <row r="32" spans="1:8" ht="35.25">
      <c r="A32" s="33"/>
      <c r="B32" s="92"/>
      <c r="C32" s="92"/>
      <c r="D32" s="92"/>
      <c r="E32" s="148"/>
      <c r="F32" s="343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92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01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1696281</v>
      </c>
      <c r="E37" s="401">
        <f>D37-B37</f>
        <v>1696281</v>
      </c>
      <c r="F37" s="399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95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9660011</v>
      </c>
      <c r="C39" s="147">
        <v>10069012</v>
      </c>
      <c r="D39" s="147">
        <v>11061507</v>
      </c>
      <c r="E39" s="401">
        <f>D39-B39</f>
        <v>1401496</v>
      </c>
      <c r="F39" s="399">
        <f>IF(ISBLANK(E39),"  ",IF(B39&gt;0,E39/B39,IF(E39&gt;0,1,0)))</f>
        <v>0.14508223644879908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99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147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19749219</v>
      </c>
      <c r="C45" s="147">
        <f>SUM(C43,C41,C39,C35,C33,C31)</f>
        <v>20173030</v>
      </c>
      <c r="D45" s="147">
        <f>SUM(D43,D41,D39,D37,D35,D33,D31)</f>
        <v>20319894</v>
      </c>
      <c r="E45" s="401">
        <f>D45-B45</f>
        <v>570675</v>
      </c>
      <c r="F45" s="399">
        <f>IF(ISBLANK(E45),"  ",IF(B45&gt;0,E45/B45,IF(E45&gt;0,1,0)))</f>
        <v>2.8896079384202484E-2</v>
      </c>
      <c r="G45" s="24"/>
      <c r="H45" s="24"/>
    </row>
    <row r="46" spans="1:8" ht="35.25">
      <c r="A46" s="139"/>
      <c r="B46" s="133"/>
      <c r="C46" s="133"/>
      <c r="D46" s="133"/>
      <c r="E46" s="95"/>
      <c r="F46" s="345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8580210</v>
      </c>
      <c r="C49" s="154">
        <v>8741757</v>
      </c>
      <c r="D49" s="154">
        <v>9011815</v>
      </c>
      <c r="E49" s="93">
        <f t="shared" ref="E49:E57" si="1">D49-B49</f>
        <v>431605</v>
      </c>
      <c r="F49" s="343">
        <f t="shared" ref="F49:F62" si="2">IF(ISBLANK(E49),"  ",IF(B49&gt;0,E49/B49,IF(E49&gt;0,1,0)))</f>
        <v>5.0302381876434259E-2</v>
      </c>
      <c r="G49" s="24"/>
      <c r="H49" s="24"/>
    </row>
    <row r="50" spans="1:8" ht="34.5">
      <c r="A50" s="156" t="s">
        <v>42</v>
      </c>
      <c r="B50" s="157">
        <v>771960</v>
      </c>
      <c r="C50" s="157">
        <v>703706</v>
      </c>
      <c r="D50" s="157">
        <v>597548</v>
      </c>
      <c r="E50" s="93">
        <f t="shared" si="1"/>
        <v>-174412</v>
      </c>
      <c r="F50" s="343">
        <f t="shared" si="2"/>
        <v>-0.22593398621690244</v>
      </c>
      <c r="G50" s="24"/>
      <c r="H50" s="24"/>
    </row>
    <row r="51" spans="1:8" ht="34.5">
      <c r="A51" s="158" t="s">
        <v>43</v>
      </c>
      <c r="B51" s="159">
        <v>40876</v>
      </c>
      <c r="C51" s="159">
        <v>61200</v>
      </c>
      <c r="D51" s="159">
        <v>47200</v>
      </c>
      <c r="E51" s="93">
        <f t="shared" si="1"/>
        <v>6324</v>
      </c>
      <c r="F51" s="343">
        <f t="shared" si="2"/>
        <v>0.15471181133183287</v>
      </c>
      <c r="G51" s="24"/>
      <c r="H51" s="24"/>
    </row>
    <row r="52" spans="1:8" ht="34.5">
      <c r="A52" s="158" t="s">
        <v>44</v>
      </c>
      <c r="B52" s="159">
        <v>2982817</v>
      </c>
      <c r="C52" s="159">
        <v>3146504</v>
      </c>
      <c r="D52" s="159">
        <v>2673861</v>
      </c>
      <c r="E52" s="93">
        <f t="shared" si="1"/>
        <v>-308956</v>
      </c>
      <c r="F52" s="343">
        <f t="shared" si="2"/>
        <v>-0.10357859701081226</v>
      </c>
      <c r="G52" s="24"/>
      <c r="H52" s="24"/>
    </row>
    <row r="53" spans="1:8" ht="34.5">
      <c r="A53" s="156" t="s">
        <v>45</v>
      </c>
      <c r="B53" s="159">
        <v>1140024</v>
      </c>
      <c r="C53" s="159">
        <v>1152550</v>
      </c>
      <c r="D53" s="159">
        <v>1265843</v>
      </c>
      <c r="E53" s="93">
        <f t="shared" si="1"/>
        <v>125819</v>
      </c>
      <c r="F53" s="343">
        <f t="shared" si="2"/>
        <v>0.1103652203813253</v>
      </c>
      <c r="G53" s="24"/>
      <c r="H53" s="24"/>
    </row>
    <row r="54" spans="1:8" ht="34.5">
      <c r="A54" s="153" t="s">
        <v>74</v>
      </c>
      <c r="B54" s="160">
        <v>2438750</v>
      </c>
      <c r="C54" s="160">
        <v>2471686</v>
      </c>
      <c r="D54" s="160">
        <v>2328111</v>
      </c>
      <c r="E54" s="93">
        <f t="shared" si="1"/>
        <v>-110639</v>
      </c>
      <c r="F54" s="343">
        <f t="shared" si="2"/>
        <v>-4.5367093798052281E-2</v>
      </c>
      <c r="G54" s="24"/>
      <c r="H54" s="24"/>
    </row>
    <row r="55" spans="1:8" ht="34.5">
      <c r="A55" s="117" t="s">
        <v>46</v>
      </c>
      <c r="B55" s="118">
        <v>2133452</v>
      </c>
      <c r="C55" s="118">
        <v>2184050</v>
      </c>
      <c r="D55" s="118">
        <v>3005346</v>
      </c>
      <c r="E55" s="93">
        <f t="shared" si="1"/>
        <v>871894</v>
      </c>
      <c r="F55" s="343">
        <f t="shared" si="2"/>
        <v>0.4086775798096231</v>
      </c>
      <c r="G55" s="24"/>
      <c r="H55" s="24"/>
    </row>
    <row r="56" spans="1:8" ht="34.5">
      <c r="A56" s="117" t="s">
        <v>47</v>
      </c>
      <c r="B56" s="93">
        <v>1661130</v>
      </c>
      <c r="C56" s="93">
        <v>1711577</v>
      </c>
      <c r="D56" s="93">
        <v>1390170</v>
      </c>
      <c r="E56" s="93">
        <f t="shared" si="1"/>
        <v>-270960</v>
      </c>
      <c r="F56" s="343">
        <f t="shared" si="2"/>
        <v>-0.16311787758935184</v>
      </c>
      <c r="G56" s="24"/>
      <c r="H56" s="24"/>
    </row>
    <row r="57" spans="1:8" ht="35.25">
      <c r="A57" s="114" t="s">
        <v>48</v>
      </c>
      <c r="B57" s="116">
        <f>SUM(B49:B56)</f>
        <v>19749219</v>
      </c>
      <c r="C57" s="116">
        <f>SUM(C49:C56)</f>
        <v>20173030</v>
      </c>
      <c r="D57" s="116">
        <f>SUM(D49:D56)</f>
        <v>20319894</v>
      </c>
      <c r="E57" s="94">
        <f t="shared" si="1"/>
        <v>570675</v>
      </c>
      <c r="F57" s="344">
        <f t="shared" si="2"/>
        <v>2.8896079384202484E-2</v>
      </c>
      <c r="G57" s="24"/>
      <c r="H57" s="24"/>
    </row>
    <row r="58" spans="1:8" ht="34.5">
      <c r="A58" s="117" t="s">
        <v>49</v>
      </c>
      <c r="B58" s="93"/>
      <c r="C58" s="93"/>
      <c r="D58" s="93"/>
      <c r="E58" s="97"/>
      <c r="F58" s="343" t="str">
        <f t="shared" si="2"/>
        <v xml:space="preserve">  </v>
      </c>
      <c r="G58" s="24"/>
      <c r="H58" s="24"/>
    </row>
    <row r="59" spans="1:8" ht="34.5">
      <c r="A59" s="117" t="s">
        <v>50</v>
      </c>
      <c r="B59" s="93"/>
      <c r="C59" s="93"/>
      <c r="D59" s="93"/>
      <c r="E59" s="93"/>
      <c r="F59" s="343" t="str">
        <f t="shared" si="2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27"/>
      <c r="F60" s="343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4"/>
      <c r="F61" s="343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19749219</v>
      </c>
      <c r="C62" s="120">
        <f>SUM(C57:C61)</f>
        <v>20173030</v>
      </c>
      <c r="D62" s="120">
        <f>SUM(D57:D61)</f>
        <v>20319894</v>
      </c>
      <c r="E62" s="94">
        <f>D62-B62</f>
        <v>570675</v>
      </c>
      <c r="F62" s="344">
        <f t="shared" si="2"/>
        <v>2.8896079384202484E-2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10029331.280000001</v>
      </c>
      <c r="C65" s="92">
        <v>9903034</v>
      </c>
      <c r="D65" s="92">
        <v>9936219</v>
      </c>
      <c r="E65" s="396">
        <f t="shared" ref="E65:E79" si="3">D65-B65</f>
        <v>-93112.280000001192</v>
      </c>
      <c r="F65" s="397">
        <f t="shared" ref="F65:F82" si="4">IF(ISBLANK(E65),"  ",IF(B65&gt;0,E65/B65,IF(E65&gt;0,1,0)))</f>
        <v>-9.2839968488907243E-3</v>
      </c>
      <c r="G65" s="24"/>
      <c r="H65" s="24"/>
    </row>
    <row r="66" spans="1:8" ht="34.5">
      <c r="A66" s="117" t="s">
        <v>56</v>
      </c>
      <c r="B66" s="118">
        <v>317139.81</v>
      </c>
      <c r="C66" s="118">
        <v>376465</v>
      </c>
      <c r="D66" s="118">
        <v>307278</v>
      </c>
      <c r="E66" s="92">
        <f t="shared" si="3"/>
        <v>-9861.8099999999977</v>
      </c>
      <c r="F66" s="342">
        <f t="shared" si="4"/>
        <v>-3.1096096071950088E-2</v>
      </c>
      <c r="G66" s="24"/>
      <c r="H66" s="24"/>
    </row>
    <row r="67" spans="1:8" ht="34.5">
      <c r="A67" s="117" t="s">
        <v>57</v>
      </c>
      <c r="B67" s="118">
        <v>2344928.5099999998</v>
      </c>
      <c r="C67" s="118">
        <v>2449550</v>
      </c>
      <c r="D67" s="118">
        <v>2428352</v>
      </c>
      <c r="E67" s="93">
        <f t="shared" si="3"/>
        <v>83423.490000000224</v>
      </c>
      <c r="F67" s="343">
        <f t="shared" si="4"/>
        <v>3.55761336195278E-2</v>
      </c>
      <c r="G67" s="24"/>
      <c r="H67" s="24"/>
    </row>
    <row r="68" spans="1:8" ht="35.25">
      <c r="A68" s="175" t="s">
        <v>58</v>
      </c>
      <c r="B68" s="116">
        <f>SUM(B65:B67)</f>
        <v>12691399.600000001</v>
      </c>
      <c r="C68" s="116">
        <f>SUM(C65:C67)</f>
        <v>12729049</v>
      </c>
      <c r="D68" s="116">
        <f>SUM(D65:D67)</f>
        <v>12671849</v>
      </c>
      <c r="E68" s="94">
        <f t="shared" si="3"/>
        <v>-19550.60000000149</v>
      </c>
      <c r="F68" s="344">
        <f t="shared" si="4"/>
        <v>-1.5404605178456036E-3</v>
      </c>
      <c r="G68" s="24"/>
      <c r="H68" s="24"/>
    </row>
    <row r="69" spans="1:8" ht="34.5">
      <c r="A69" s="151" t="s">
        <v>59</v>
      </c>
      <c r="B69" s="166">
        <v>332133.59000000003</v>
      </c>
      <c r="C69" s="166">
        <v>481807</v>
      </c>
      <c r="D69" s="166">
        <v>345307</v>
      </c>
      <c r="E69" s="93">
        <f t="shared" si="3"/>
        <v>13173.409999999974</v>
      </c>
      <c r="F69" s="343">
        <f t="shared" si="4"/>
        <v>3.9662986209856019E-2</v>
      </c>
      <c r="G69" s="24"/>
      <c r="H69" s="24"/>
    </row>
    <row r="70" spans="1:8" ht="34.5">
      <c r="A70" s="151" t="s">
        <v>60</v>
      </c>
      <c r="B70" s="166">
        <v>3305060.4</v>
      </c>
      <c r="C70" s="166">
        <v>3228326</v>
      </c>
      <c r="D70" s="166">
        <v>3184185</v>
      </c>
      <c r="E70" s="93">
        <f t="shared" si="3"/>
        <v>-120875.39999999991</v>
      </c>
      <c r="F70" s="343">
        <f t="shared" si="4"/>
        <v>-3.6572826324142188E-2</v>
      </c>
      <c r="G70" s="24"/>
      <c r="H70" s="24"/>
    </row>
    <row r="71" spans="1:8" ht="34.5">
      <c r="A71" s="176" t="s">
        <v>61</v>
      </c>
      <c r="B71" s="177">
        <v>325653.76000000001</v>
      </c>
      <c r="C71" s="177">
        <v>294591</v>
      </c>
      <c r="D71" s="177">
        <v>230078</v>
      </c>
      <c r="E71" s="93">
        <f t="shared" si="3"/>
        <v>-95575.760000000009</v>
      </c>
      <c r="F71" s="343">
        <f t="shared" si="4"/>
        <v>-0.29348888832114206</v>
      </c>
      <c r="G71" s="24"/>
      <c r="H71" s="24"/>
    </row>
    <row r="72" spans="1:8" ht="35.25">
      <c r="A72" s="114" t="s">
        <v>62</v>
      </c>
      <c r="B72" s="116">
        <f>SUM(B69:B71)</f>
        <v>3962847.75</v>
      </c>
      <c r="C72" s="116">
        <f>SUM(C69:C71)</f>
        <v>4004724</v>
      </c>
      <c r="D72" s="116">
        <f>SUM(D69:D71)</f>
        <v>3759570</v>
      </c>
      <c r="E72" s="94">
        <f t="shared" si="3"/>
        <v>-203277.75</v>
      </c>
      <c r="F72" s="344">
        <f t="shared" si="4"/>
        <v>-5.1295876809801737E-2</v>
      </c>
      <c r="G72" s="24"/>
      <c r="H72" s="24"/>
    </row>
    <row r="73" spans="1:8" ht="34.5">
      <c r="A73" s="117" t="s">
        <v>63</v>
      </c>
      <c r="B73" s="118">
        <v>258461.11</v>
      </c>
      <c r="C73" s="118">
        <v>211200</v>
      </c>
      <c r="D73" s="118">
        <v>175200</v>
      </c>
      <c r="E73" s="93">
        <f t="shared" si="3"/>
        <v>-83261.109999999986</v>
      </c>
      <c r="F73" s="343">
        <f t="shared" si="4"/>
        <v>-0.32214173343138547</v>
      </c>
      <c r="G73" s="24"/>
      <c r="H73" s="24"/>
    </row>
    <row r="74" spans="1:8" ht="34.5">
      <c r="A74" s="126" t="s">
        <v>64</v>
      </c>
      <c r="B74" s="128">
        <v>2458713.52</v>
      </c>
      <c r="C74" s="128">
        <v>2524755</v>
      </c>
      <c r="D74" s="128">
        <v>3415275</v>
      </c>
      <c r="E74" s="93">
        <f t="shared" si="3"/>
        <v>956561.48</v>
      </c>
      <c r="F74" s="343">
        <f t="shared" si="4"/>
        <v>0.38904958720038274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93"/>
      <c r="F75" s="343" t="str">
        <f t="shared" si="4"/>
        <v xml:space="preserve">  </v>
      </c>
      <c r="G75" s="24"/>
      <c r="H75" s="24"/>
    </row>
    <row r="76" spans="1:8" ht="34.5">
      <c r="A76" s="117" t="s">
        <v>66</v>
      </c>
      <c r="B76" s="118"/>
      <c r="C76" s="118"/>
      <c r="D76" s="118"/>
      <c r="E76" s="93"/>
      <c r="F76" s="343" t="str">
        <f t="shared" si="4"/>
        <v xml:space="preserve">  </v>
      </c>
      <c r="G76" s="24"/>
      <c r="H76" s="24"/>
    </row>
    <row r="77" spans="1:8" ht="35.25">
      <c r="A77" s="114" t="s">
        <v>67</v>
      </c>
      <c r="B77" s="116">
        <f>SUM(B73:B76)</f>
        <v>2717174.63</v>
      </c>
      <c r="C77" s="116">
        <f>SUM(C73:C76)</f>
        <v>2735955</v>
      </c>
      <c r="D77" s="116">
        <f>SUM(D73:D76)</f>
        <v>3590475</v>
      </c>
      <c r="E77" s="94">
        <f t="shared" si="3"/>
        <v>873300.37000000011</v>
      </c>
      <c r="F77" s="344">
        <f t="shared" si="4"/>
        <v>0.32140016337485094</v>
      </c>
      <c r="G77" s="24"/>
      <c r="H77" s="24"/>
    </row>
    <row r="78" spans="1:8" ht="34.5">
      <c r="A78" s="117" t="s">
        <v>68</v>
      </c>
      <c r="B78" s="118">
        <v>93671.09</v>
      </c>
      <c r="C78" s="118">
        <v>46500</v>
      </c>
      <c r="D78" s="118">
        <v>18000</v>
      </c>
      <c r="E78" s="93">
        <f t="shared" si="3"/>
        <v>-75671.09</v>
      </c>
      <c r="F78" s="343">
        <f t="shared" si="4"/>
        <v>-0.80783825617914773</v>
      </c>
      <c r="G78" s="24"/>
      <c r="H78" s="24"/>
    </row>
    <row r="79" spans="1:8" ht="34.5">
      <c r="A79" s="117" t="s">
        <v>69</v>
      </c>
      <c r="B79" s="118">
        <v>284126.08000000002</v>
      </c>
      <c r="C79" s="118">
        <v>656802</v>
      </c>
      <c r="D79" s="118">
        <v>280000</v>
      </c>
      <c r="E79" s="93">
        <f t="shared" si="3"/>
        <v>-4126.0800000000163</v>
      </c>
      <c r="F79" s="343">
        <f t="shared" si="4"/>
        <v>-1.4522003752700267E-2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18"/>
      <c r="F80" s="343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377797.17000000004</v>
      </c>
      <c r="C81" s="116">
        <f>SUM(C78:C80)</f>
        <v>703302</v>
      </c>
      <c r="D81" s="116">
        <f>SUM(D78:D80)</f>
        <v>298000</v>
      </c>
      <c r="E81" s="284">
        <f>D81-B81</f>
        <v>-79797.170000000042</v>
      </c>
      <c r="F81" s="344">
        <f t="shared" si="4"/>
        <v>-0.2112169606776039</v>
      </c>
      <c r="G81" s="24"/>
      <c r="H81" s="24"/>
    </row>
    <row r="82" spans="1:8" ht="45" thickBot="1">
      <c r="A82" s="164" t="s">
        <v>53</v>
      </c>
      <c r="B82" s="165">
        <f>+B81+B77+B72+B68</f>
        <v>19749219.150000002</v>
      </c>
      <c r="C82" s="165">
        <f>+C81+C77+C72+C68</f>
        <v>20173030</v>
      </c>
      <c r="D82" s="165">
        <f>+D81+D77+D72+D68</f>
        <v>20319894</v>
      </c>
      <c r="E82" s="442">
        <f>D82-B82</f>
        <v>570674.84999999776</v>
      </c>
      <c r="F82" s="348">
        <f t="shared" si="4"/>
        <v>2.8896071569492796E-2</v>
      </c>
      <c r="G82" s="36"/>
      <c r="H82" s="36"/>
    </row>
    <row r="83" spans="1:8" s="163" customFormat="1" ht="44.25">
      <c r="A83" s="113"/>
      <c r="B83" s="36"/>
      <c r="C83" s="36"/>
      <c r="D83" s="36"/>
      <c r="E83" s="36"/>
      <c r="F83" s="351"/>
      <c r="G83" s="36"/>
      <c r="H83" s="36"/>
    </row>
    <row r="84" spans="1:8" s="163" customFormat="1" ht="44.25">
      <c r="A84" s="113" t="s">
        <v>96</v>
      </c>
      <c r="B84" s="36"/>
      <c r="C84" s="36"/>
      <c r="D84" s="36"/>
      <c r="E84" s="36"/>
      <c r="F84" s="351"/>
      <c r="G84" s="36"/>
      <c r="H84" s="36"/>
    </row>
    <row r="85" spans="1:8" s="163" customFormat="1" ht="44.25">
      <c r="A85" s="36" t="s">
        <v>86</v>
      </c>
      <c r="B85" s="36"/>
      <c r="C85" s="36"/>
      <c r="D85" s="36"/>
      <c r="E85" s="36"/>
      <c r="F85" s="351"/>
      <c r="G85" s="36"/>
      <c r="H85" s="36"/>
    </row>
    <row r="86" spans="1:8" s="163" customFormat="1" ht="44.25">
      <c r="A86" s="36"/>
      <c r="B86" s="36"/>
      <c r="C86" s="36"/>
      <c r="D86" s="36"/>
      <c r="E86" s="36"/>
      <c r="F86" s="351"/>
      <c r="G86" s="36"/>
      <c r="H86" s="36"/>
    </row>
    <row r="87" spans="1:8" s="163" customFormat="1" ht="44.25">
      <c r="A87" s="36"/>
      <c r="B87" s="36"/>
      <c r="C87" s="36"/>
      <c r="D87" s="36"/>
      <c r="E87" s="36"/>
      <c r="F87" s="351"/>
      <c r="G87" s="36"/>
      <c r="H87" s="36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"/>
  <sheetViews>
    <sheetView topLeftCell="A61" zoomScale="30" zoomScaleNormal="69" workbookViewId="0">
      <selection activeCell="C6" sqref="C6"/>
    </sheetView>
  </sheetViews>
  <sheetFormatPr defaultRowHeight="15"/>
  <cols>
    <col min="1" max="1" width="135" style="14" customWidth="1"/>
    <col min="2" max="5" width="30.33203125" style="14" customWidth="1"/>
    <col min="6" max="6" width="45.5546875" style="321" customWidth="1"/>
    <col min="7" max="9" width="8.88671875" style="14"/>
    <col min="10" max="10" width="19.109375" style="14" bestFit="1" customWidth="1"/>
    <col min="11" max="12" width="8.88671875" style="14"/>
    <col min="13" max="13" width="21.21875" style="14" bestFit="1" customWidth="1"/>
    <col min="14" max="16384" width="8.88671875" style="14"/>
  </cols>
  <sheetData>
    <row r="1" spans="1:10" ht="45">
      <c r="A1" s="38" t="s">
        <v>0</v>
      </c>
      <c r="B1" s="39"/>
      <c r="C1" s="39"/>
      <c r="D1" s="40" t="s">
        <v>1</v>
      </c>
      <c r="E1" s="303" t="s">
        <v>278</v>
      </c>
      <c r="F1" s="303"/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customHeight="1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 customHeight="1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 customHeight="1">
      <c r="A6" s="55" t="s">
        <v>12</v>
      </c>
      <c r="B6" s="59"/>
      <c r="C6" s="59"/>
      <c r="D6" s="59"/>
      <c r="E6" s="59"/>
      <c r="F6" s="308"/>
    </row>
    <row r="7" spans="1:10" ht="35.25" customHeight="1">
      <c r="A7" s="55" t="s">
        <v>13</v>
      </c>
      <c r="B7" s="59"/>
      <c r="C7" s="59"/>
      <c r="D7" s="59"/>
      <c r="E7" s="59"/>
      <c r="F7" s="309"/>
      <c r="J7" s="39"/>
    </row>
    <row r="8" spans="1:10" ht="34.5" customHeight="1">
      <c r="A8" s="56" t="s">
        <v>14</v>
      </c>
      <c r="B8" s="79">
        <f ca="1">'Total UL'!B8-'UL BOS'!B8+LSU!B8+LSUS!B8+LSUA!B8+UNO!B8+SUBR!B8+SUNO!B8</f>
        <v>807619078</v>
      </c>
      <c r="C8" s="79">
        <f ca="1">'Total UL'!C8-'UL BOS'!C8+LSU!C8+LSUS!C8+LSUA!C8+UNO!C8+SUBR!C8+SUNO!C8-2</f>
        <v>807676625</v>
      </c>
      <c r="D8" s="79">
        <f ca="1">'Total UL'!D8-'UL BOS'!D8+LSU!D8+LSUS!D8+LSUA!D8+UNO!D8+SUBR!D8+SUNO!D8</f>
        <v>566798798</v>
      </c>
      <c r="E8" s="79">
        <f>D8-B8</f>
        <v>-240820280</v>
      </c>
      <c r="F8" s="310">
        <f>IF(ISBLANK(E8),"  ",IF(B8&gt;0,E8/B8,IF(E8&gt;0,1,0)))</f>
        <v>-0.29818547699042841</v>
      </c>
    </row>
    <row r="9" spans="1:10" ht="34.5" customHeight="1">
      <c r="A9" s="56" t="s">
        <v>87</v>
      </c>
      <c r="B9" s="79">
        <f ca="1">'Total UL'!B9-'UL BOS'!B9+LSU!B9+LSUS!B9+LSUA!B9+UNO!B9+SUBR!B9+SUNO!B9</f>
        <v>0</v>
      </c>
      <c r="C9" s="79">
        <f ca="1">'Total UL'!C9-'UL BOS'!C9+LSU!C9+LSUS!C9+LSUA!C9+UNO!C9+SUBR!C9+SUNO!C9</f>
        <v>0</v>
      </c>
      <c r="D9" s="79">
        <f ca="1">'Total UL'!D9-'UL BOS'!D9+LSU!D9+LSUS!D9+LSUA!D9+UNO!D9+SUBR!D9+SUNO!D9</f>
        <v>51567929</v>
      </c>
      <c r="E9" s="79">
        <f>D9-B9</f>
        <v>51567929</v>
      </c>
      <c r="F9" s="310">
        <f>IF(ISBLANK(E9),"  ",IF(B9&gt;0,E9/B9,IF(E9&gt;0,1,0)))</f>
        <v>1</v>
      </c>
    </row>
    <row r="10" spans="1:10" ht="34.5" customHeight="1">
      <c r="A10" s="57" t="s">
        <v>15</v>
      </c>
      <c r="B10" s="80">
        <f ca="1">SUM(B11:B25)</f>
        <v>39816739</v>
      </c>
      <c r="C10" s="80">
        <f ca="1">SUM(C11:C25)</f>
        <v>40835782</v>
      </c>
      <c r="D10" s="80">
        <f ca="1">SUM(D11:D25)</f>
        <v>37711360</v>
      </c>
      <c r="E10" s="79">
        <f>B10-C10</f>
        <v>-1019043</v>
      </c>
      <c r="F10" s="310">
        <f>IF(ISBLANK(E10),"  ",IF(B10&gt;0,E10/B10,IF(E10&gt;0,1,0)))</f>
        <v>-2.5593331488045767E-2</v>
      </c>
    </row>
    <row r="11" spans="1:10" ht="34.5" customHeight="1">
      <c r="A11" s="60" t="s">
        <v>16</v>
      </c>
      <c r="B11" s="81">
        <f ca="1">'Total UL'!B11-'UL BOS'!B11+LSU!B11+LSUS!B11+LSUA!B11+UNO!B11+SUBR!B11+SUNO!B11</f>
        <v>0</v>
      </c>
      <c r="C11" s="81">
        <f ca="1">'Total UL'!C11-'UL BOS'!C11+LSU!C11+LSUS!C11+LSUA!C11+UNO!C11+SUBR!C11+SUNO!C11</f>
        <v>0</v>
      </c>
      <c r="D11" s="81">
        <f ca="1">'Total UL'!D11-'UL BOS'!D11+LSU!D11+LSUS!D11+LSUA!D11+UNO!D11+SUBR!D11+SUNO!D11</f>
        <v>4362406</v>
      </c>
      <c r="E11" s="79">
        <f t="shared" ref="E11:E25" si="0">D11-B11</f>
        <v>4362406</v>
      </c>
      <c r="F11" s="310">
        <f t="shared" ref="F11:F25" si="1">IF(ISBLANK(E11),"  ",IF(B11&gt;0,E11/B11,IF(E11&gt;0,1,0)))</f>
        <v>1</v>
      </c>
    </row>
    <row r="12" spans="1:10" ht="34.5" customHeight="1">
      <c r="A12" s="57" t="s">
        <v>17</v>
      </c>
      <c r="B12" s="81">
        <f ca="1">'Total UL'!B12-'UL BOS'!B12+LSU!B12+LSUS!B12+LSUA!B12+UNO!B12+SUBR!B12+SUNO!B12</f>
        <v>32863925</v>
      </c>
      <c r="C12" s="444">
        <f ca="1">'Total UL'!C12-'UL BOS'!C12+LSU!C12+LSUS!C12+LSUA!C12+UNO!C12+SUBR!C12+SUNO!C12</f>
        <v>33882968</v>
      </c>
      <c r="D12" s="81">
        <f ca="1">'Total UL'!D12-'UL BOS'!D12+LSU!D12+LSUS!D12+LSUA!D12+UNO!D12+SUBR!D12+SUNO!D12</f>
        <v>29313350</v>
      </c>
      <c r="E12" s="79">
        <f t="shared" si="0"/>
        <v>-3550575</v>
      </c>
      <c r="F12" s="310">
        <f t="shared" si="1"/>
        <v>-0.10803867766859862</v>
      </c>
    </row>
    <row r="13" spans="1:10" ht="34.5" customHeight="1">
      <c r="A13" s="57" t="s">
        <v>18</v>
      </c>
      <c r="B13" s="81">
        <f ca="1">'Total UL'!B13-'UL BOS'!B13+LSU!B13+LSUS!B13+LSUA!B13+UNO!B13+SUBR!B13+SUNO!B13</f>
        <v>0</v>
      </c>
      <c r="C13" s="81">
        <f ca="1">'Total UL'!C13-'UL BOS'!C13+LSU!C13+LSUS!C13+LSUA!C13+UNO!C13+SUBR!C13+SUNO!C13</f>
        <v>0</v>
      </c>
      <c r="D13" s="81">
        <f ca="1">'Total UL'!D13-'UL BOS'!D13+LSU!D13+LSUS!D13+LSUA!D13+UNO!D13+SUBR!D13+SUNO!D13</f>
        <v>0</v>
      </c>
      <c r="E13" s="79">
        <f t="shared" si="0"/>
        <v>0</v>
      </c>
      <c r="F13" s="310">
        <f t="shared" si="1"/>
        <v>0</v>
      </c>
    </row>
    <row r="14" spans="1:10" ht="34.5" customHeight="1">
      <c r="A14" s="57" t="s">
        <v>19</v>
      </c>
      <c r="B14" s="81">
        <f ca="1">'Total UL'!B14-'UL BOS'!B14+LSU!B14+LSUS!B14+LSUA!B14+UNO!B14+SUBR!B14+SUNO!B14</f>
        <v>528064</v>
      </c>
      <c r="C14" s="81">
        <f ca="1">'Total UL'!C14-'UL BOS'!C14+LSU!C14+LSUS!C14+LSUA!C14+UNO!C14+SUBR!C14+SUNO!C14</f>
        <v>528064</v>
      </c>
      <c r="D14" s="81">
        <f ca="1">'Total UL'!D14-'UL BOS'!D14+LSU!D14+LSUS!D14+LSUA!D14+UNO!D14+SUBR!D14+SUNO!D14</f>
        <v>525604</v>
      </c>
      <c r="E14" s="79">
        <f t="shared" si="0"/>
        <v>-2460</v>
      </c>
      <c r="F14" s="310">
        <f t="shared" si="1"/>
        <v>-4.6585262392437278E-3</v>
      </c>
    </row>
    <row r="15" spans="1:10" ht="34.5" customHeight="1">
      <c r="A15" s="57" t="s">
        <v>20</v>
      </c>
      <c r="B15" s="81">
        <f ca="1">'Total UL'!B15-'UL BOS'!B15+LSU!B15+LSUS!B15+LSUA!B15+UNO!B15+SUBR!B15+SUNO!B15</f>
        <v>0</v>
      </c>
      <c r="C15" s="81">
        <f ca="1">'Total UL'!C15-'UL BOS'!C15+LSU!C15+LSUS!C15+LSUA!C15+UNO!C15+SUBR!C15+SUNO!C15</f>
        <v>0</v>
      </c>
      <c r="D15" s="81">
        <f ca="1">'Total UL'!D15-'UL BOS'!D15+LSU!D15+LSUS!D15+LSUA!D15+UNO!D15+SUBR!D15+SUNO!D15</f>
        <v>0</v>
      </c>
      <c r="E15" s="79">
        <f t="shared" si="0"/>
        <v>0</v>
      </c>
      <c r="F15" s="310">
        <f t="shared" si="1"/>
        <v>0</v>
      </c>
    </row>
    <row r="16" spans="1:10" ht="34.5" customHeight="1">
      <c r="A16" s="57" t="s">
        <v>21</v>
      </c>
      <c r="B16" s="81">
        <f ca="1">'Total UL'!B16-'UL BOS'!B16+LSU!B16+LSUS!B16+LSUA!B16+UNO!B16+SUBR!B16+SUNO!B16</f>
        <v>50000</v>
      </c>
      <c r="C16" s="81">
        <f ca="1">'Total UL'!C16-'UL BOS'!C16+LSU!C16+LSUS!C16+LSUA!C16+UNO!C16+SUBR!C16+SUNO!C16</f>
        <v>50000</v>
      </c>
      <c r="D16" s="81">
        <f ca="1">'Total UL'!D16-'UL BOS'!D16+LSU!D16+LSUS!D16+LSUA!D16+UNO!D16+SUBR!D16+SUNO!D16</f>
        <v>50000</v>
      </c>
      <c r="E16" s="79">
        <f t="shared" si="0"/>
        <v>0</v>
      </c>
      <c r="F16" s="310">
        <f t="shared" si="1"/>
        <v>0</v>
      </c>
    </row>
    <row r="17" spans="1:13" ht="34.5" customHeight="1">
      <c r="A17" s="57" t="s">
        <v>22</v>
      </c>
      <c r="B17" s="81">
        <f ca="1">'Total UL'!B17-'UL BOS'!B17+LSU!B17+LSUS!B17+LSUA!B17+UNO!B17+SUBR!B17+SUNO!B17</f>
        <v>0</v>
      </c>
      <c r="C17" s="81">
        <f ca="1">'Total UL'!C17-'UL BOS'!C17+LSU!C17+LSUS!C17+LSUA!C17+UNO!C17+SUBR!C17+SUNO!C17</f>
        <v>0</v>
      </c>
      <c r="D17" s="81">
        <f ca="1">'Total UL'!D17-'UL BOS'!D17+LSU!D17+LSUS!D17+LSUA!D17+UNO!D17+SUBR!D17+SUNO!D17</f>
        <v>0</v>
      </c>
      <c r="E17" s="79">
        <f t="shared" si="0"/>
        <v>0</v>
      </c>
      <c r="F17" s="310">
        <f t="shared" si="1"/>
        <v>0</v>
      </c>
    </row>
    <row r="18" spans="1:13" ht="34.5" customHeight="1">
      <c r="A18" s="57" t="s">
        <v>23</v>
      </c>
      <c r="B18" s="81">
        <f ca="1">'Total UL'!B18-'UL BOS'!B18+LSU!B18+LSUS!B18+LSUA!B18+UNO!B18+SUBR!B18+SUNO!B18</f>
        <v>750000</v>
      </c>
      <c r="C18" s="81">
        <f ca="1">'Total UL'!C18-'UL BOS'!C18+LSU!C18+LSUS!C18+LSUA!C18+UNO!C18+SUBR!C18+SUNO!C18</f>
        <v>750000</v>
      </c>
      <c r="D18" s="81">
        <f ca="1">'Total UL'!D18-'UL BOS'!D18+LSU!D18+LSUS!D18+LSUA!D18+UNO!D18+SUBR!D18+SUNO!D18</f>
        <v>750000</v>
      </c>
      <c r="E18" s="79">
        <f t="shared" si="0"/>
        <v>0</v>
      </c>
      <c r="F18" s="310">
        <f t="shared" si="1"/>
        <v>0</v>
      </c>
    </row>
    <row r="19" spans="1:13" ht="34.5" customHeight="1">
      <c r="A19" s="57" t="s">
        <v>24</v>
      </c>
      <c r="B19" s="81">
        <f ca="1">'Total UL'!B19-'UL BOS'!B19+LSU!B19+LSUS!B19+LSUA!B19+UNO!B19+SUBR!B19+SUNO!B19</f>
        <v>2900000</v>
      </c>
      <c r="C19" s="81">
        <f ca="1">'Total UL'!C19-'UL BOS'!C19+LSU!C19+LSUS!C19+LSUA!C19+UNO!C19+SUBR!C19+SUNO!C19</f>
        <v>2900000</v>
      </c>
      <c r="D19" s="81">
        <f ca="1">'Total UL'!D19-'UL BOS'!D19+LSU!D19+LSUS!D19+LSUA!D19+UNO!D19+SUBR!D19+SUNO!D19</f>
        <v>2500000</v>
      </c>
      <c r="E19" s="79">
        <f t="shared" si="0"/>
        <v>-400000</v>
      </c>
      <c r="F19" s="310">
        <f t="shared" si="1"/>
        <v>-0.13793103448275862</v>
      </c>
    </row>
    <row r="20" spans="1:13" ht="34.5" customHeight="1">
      <c r="A20" s="57" t="s">
        <v>25</v>
      </c>
      <c r="B20" s="81">
        <f ca="1">'Total UL'!B20-'UL BOS'!B20+LSU!B20+LSUS!B20+LSUA!B20+UNO!B20+SUBR!B20+SUNO!B20</f>
        <v>210000</v>
      </c>
      <c r="C20" s="81">
        <f ca="1">'Total UL'!C20-'UL BOS'!C20+LSU!C20+LSUS!C20+LSUA!C20+UNO!C20+SUBR!C20+SUNO!C20</f>
        <v>210000</v>
      </c>
      <c r="D20" s="81">
        <f ca="1">'Total UL'!D20-'UL BOS'!D20+LSU!D20+LSUS!D20+LSUA!D20+UNO!D20+SUBR!D20+SUNO!D20</f>
        <v>210000</v>
      </c>
      <c r="E20" s="79">
        <f t="shared" si="0"/>
        <v>0</v>
      </c>
      <c r="F20" s="310">
        <f t="shared" si="1"/>
        <v>0</v>
      </c>
    </row>
    <row r="21" spans="1:13" ht="34.5" customHeight="1">
      <c r="A21" s="57" t="s">
        <v>26</v>
      </c>
      <c r="B21" s="81">
        <f ca="1">'Total UL'!B21-'UL BOS'!B21+LSU!B21+LSUS!B21+LSUA!B21+UNO!B21+SUBR!B21+SUNO!B21</f>
        <v>0</v>
      </c>
      <c r="C21" s="81">
        <f ca="1">'Total UL'!C21-'UL BOS'!C21+LSU!C21+LSUS!C21+LSUA!C21+UNO!C21+SUBR!C21+SUNO!C21</f>
        <v>0</v>
      </c>
      <c r="D21" s="81">
        <f ca="1">'Total UL'!D21-'UL BOS'!D21+LSU!D21+LSUS!D21+LSUA!D21+UNO!D21+SUBR!D21+SUNO!D21</f>
        <v>0</v>
      </c>
      <c r="E21" s="79">
        <f t="shared" si="0"/>
        <v>0</v>
      </c>
      <c r="F21" s="310">
        <f t="shared" si="1"/>
        <v>0</v>
      </c>
    </row>
    <row r="22" spans="1:13" ht="34.5" customHeight="1">
      <c r="A22" s="57" t="s">
        <v>27</v>
      </c>
      <c r="B22" s="81">
        <f ca="1">'Total UL'!B22-'UL BOS'!B22+LSU!B22+LSUS!B22+LSUA!B22+UNO!B22+SUBR!B22+SUNO!B22</f>
        <v>0</v>
      </c>
      <c r="C22" s="81">
        <f ca="1">'Total UL'!C22-'UL BOS'!C22+LSU!C22+LSUS!C22+LSUA!C22+UNO!C22+SUBR!C22+SUNO!C22</f>
        <v>0</v>
      </c>
      <c r="D22" s="81">
        <f ca="1">'Total UL'!D22-'UL BOS'!D22+LSU!D22+LSUS!D22+LSUA!D22+UNO!D22+SUBR!D22+SUNO!D22</f>
        <v>0</v>
      </c>
      <c r="E22" s="79">
        <f t="shared" si="0"/>
        <v>0</v>
      </c>
      <c r="F22" s="310">
        <f t="shared" si="1"/>
        <v>0</v>
      </c>
    </row>
    <row r="23" spans="1:13" ht="34.5" customHeight="1">
      <c r="A23" s="61" t="s">
        <v>28</v>
      </c>
      <c r="B23" s="81">
        <f ca="1">'Total UL'!B23-'UL BOS'!B23+LSU!B23+LSUS!B23+LSUA!B23+UNO!B23+SUBR!B23+SUNO!B23</f>
        <v>0</v>
      </c>
      <c r="C23" s="81">
        <f ca="1">'Total UL'!C23-'UL BOS'!C23+LSU!C23+LSUS!C23+LSUA!C23+UNO!C23+SUBR!C23+SUNO!C23</f>
        <v>0</v>
      </c>
      <c r="D23" s="81">
        <f ca="1">'Total UL'!D23-'UL BOS'!D23+LSU!D23+LSUS!D23+LSUA!D23+UNO!D23+SUBR!D23+SUNO!D23</f>
        <v>0</v>
      </c>
      <c r="E23" s="79">
        <f t="shared" si="0"/>
        <v>0</v>
      </c>
      <c r="F23" s="310">
        <f t="shared" si="1"/>
        <v>0</v>
      </c>
    </row>
    <row r="24" spans="1:13" ht="34.5" customHeight="1">
      <c r="A24" s="61" t="s">
        <v>91</v>
      </c>
      <c r="B24" s="81">
        <f ca="1">'Total UL'!B24-'UL BOS'!B24+LSU!B24+LSUS!B24+LSUA!B24+UNO!B24+SUBR!B24+SUNO!B24</f>
        <v>0</v>
      </c>
      <c r="C24" s="81">
        <f ca="1">'Total UL'!C24-'UL BOS'!C24+LSU!C24+LSUS!C24+LSUA!C24+UNO!C24+SUBR!C24+SUNO!C24</f>
        <v>0</v>
      </c>
      <c r="D24" s="81">
        <f ca="1">'Total UL'!D24-'UL BOS'!D24+LSU!D24+LSUS!D24+LSUA!D24+UNO!D24+SUBR!D24+SUNO!D24</f>
        <v>0</v>
      </c>
      <c r="E24" s="79">
        <f t="shared" si="0"/>
        <v>0</v>
      </c>
      <c r="F24" s="310">
        <f t="shared" si="1"/>
        <v>0</v>
      </c>
      <c r="M24" s="48"/>
    </row>
    <row r="25" spans="1:13" ht="34.5" customHeight="1">
      <c r="A25" s="61" t="s">
        <v>80</v>
      </c>
      <c r="B25" s="81">
        <f ca="1">'Total UL'!B25-'UL BOS'!B25+LSU!B25+LSUS!B25+LSUA!B25+UNO!B25+SUBR!B25+SUNO!B25</f>
        <v>2514750</v>
      </c>
      <c r="C25" s="444">
        <f ca="1">'Total UL'!C25-'UL BOS'!C25+LSU!C25+LSUS!C25+LSUA!C25+UNO!C25+SUBR!C25+SUNO!C25</f>
        <v>2514750</v>
      </c>
      <c r="D25" s="81">
        <f ca="1">'Total UL'!D25-'UL BOS'!D25+LSU!D25+LSUS!D25+LSUA!D25+UNO!D25+SUBR!D25+SUNO!D25</f>
        <v>0</v>
      </c>
      <c r="E25" s="79">
        <f t="shared" si="0"/>
        <v>-2514750</v>
      </c>
      <c r="F25" s="310">
        <f t="shared" si="1"/>
        <v>-1</v>
      </c>
      <c r="M25" s="443"/>
    </row>
    <row r="26" spans="1:13" ht="35.25" customHeight="1">
      <c r="A26" s="62" t="s">
        <v>29</v>
      </c>
      <c r="B26" s="81"/>
      <c r="C26" s="81"/>
      <c r="D26" s="81"/>
      <c r="E26" s="81"/>
      <c r="F26" s="311" t="str">
        <f>IF(ISBLANK(E26),"  ",IF(C26&gt;0,E26/C26,IF(E26&gt;0,1,0)))</f>
        <v xml:space="preserve">  </v>
      </c>
    </row>
    <row r="27" spans="1:13" ht="34.5" customHeight="1">
      <c r="A27" s="60" t="s">
        <v>30</v>
      </c>
      <c r="B27" s="79">
        <f ca="1">'Total UL'!B27-'UL BOS'!B27+LSU!B27+LSUS!B27+LSUA!B27+UNO!B27+SUBR!B27+SUNO!B27</f>
        <v>0</v>
      </c>
      <c r="C27" s="79">
        <f ca="1">'Total UL'!C27-'UL BOS'!C27+LSU!C27+LSUS!C27+LSUA!C27+UNO!C27+SUBR!C27+SUNO!C27</f>
        <v>0</v>
      </c>
      <c r="D27" s="79">
        <f ca="1">'Total UL'!D27-'UL BOS'!D27+LSU!D27+LSUS!D27+LSUA!D27+UNO!D27+SUBR!D27+SUNO!D27</f>
        <v>0</v>
      </c>
      <c r="E27" s="79">
        <f>D27-B27</f>
        <v>0</v>
      </c>
      <c r="F27" s="310">
        <f>IF(ISBLANK(E27),"  ",IF(B27&gt;0,E27/B27,IF(E27&gt;0,1,0)))</f>
        <v>0</v>
      </c>
    </row>
    <row r="28" spans="1:13" ht="35.25" customHeight="1">
      <c r="A28" s="63" t="s">
        <v>31</v>
      </c>
      <c r="B28" s="81"/>
      <c r="C28" s="81"/>
      <c r="D28" s="81"/>
      <c r="E28" s="81"/>
      <c r="F28" s="311" t="str">
        <f>IF(ISBLANK(E28),"  ",IF(C28&gt;0,E28/C28,IF(E28&gt;0,1,0)))</f>
        <v xml:space="preserve">  </v>
      </c>
    </row>
    <row r="29" spans="1:13" ht="34.5" customHeight="1">
      <c r="A29" s="60" t="s">
        <v>30</v>
      </c>
      <c r="B29" s="82">
        <f ca="1">'Total UL'!B29-'UL BOS'!B29+LSU!B29+LSUS!B29+LSUA!B29+UNO!B29+SUBR!B29+SUNO!B29</f>
        <v>0</v>
      </c>
      <c r="C29" s="82">
        <f ca="1">'Total UL'!C29-'UL BOS'!C29+LSU!C29+LSUS!C29+LSUA!C29+UNO!C29+SUBR!C29+SUNO!C29</f>
        <v>0</v>
      </c>
      <c r="D29" s="82">
        <f ca="1">'Total UL'!D29-'UL BOS'!D29+LSU!D29+LSUS!D29+LSUA!D29+UNO!D29+SUBR!D29+SUNO!D29</f>
        <v>0</v>
      </c>
      <c r="E29" s="79">
        <f>D29-B29</f>
        <v>0</v>
      </c>
      <c r="F29" s="310">
        <f>IF(ISBLANK(E29),"  ",IF(B29&gt;0,E29/B29,IF(E29&gt;0,1,0)))</f>
        <v>0</v>
      </c>
    </row>
    <row r="30" spans="1:13" ht="34.5" customHeight="1">
      <c r="A30" s="57" t="s">
        <v>32</v>
      </c>
      <c r="B30" s="81">
        <f ca="1">'Total UL'!B30-'UL BOS'!B30+LSU!B30+LSUS!B30+LSUA!B30+UNO!B30+SUBR!B30+SUNO!B30</f>
        <v>0</v>
      </c>
      <c r="C30" s="81">
        <f ca="1">'Total UL'!C30-'UL BOS'!C30+LSU!C30+LSUS!C30+LSUA!C30+UNO!C30+SUBR!C30+SUNO!C30</f>
        <v>0</v>
      </c>
      <c r="D30" s="81">
        <f ca="1">'Total UL'!D30-'UL BOS'!D30+LSU!D30+LSUS!D30+LSUA!D30+UNO!D30+SUBR!D30+SUNO!D30</f>
        <v>0</v>
      </c>
      <c r="E30" s="79">
        <f>D30-B30</f>
        <v>0</v>
      </c>
      <c r="F30" s="310">
        <f>IF(ISBLANK(E30),"  ",IF(B30&gt;0,E30/B30,IF(E30&gt;0,1,0)))</f>
        <v>0</v>
      </c>
    </row>
    <row r="31" spans="1:13" ht="35.25" customHeight="1">
      <c r="A31" s="63" t="s">
        <v>33</v>
      </c>
      <c r="B31" s="83">
        <f ca="1">SUM(B8:B10,B27:B30)</f>
        <v>847435817</v>
      </c>
      <c r="C31" s="83">
        <f ca="1">SUM(C8:C10,C27:C30)</f>
        <v>848512407</v>
      </c>
      <c r="D31" s="83">
        <f ca="1">SUM(D8:D10,D27:D30)</f>
        <v>656078087</v>
      </c>
      <c r="E31" s="85">
        <f>D31-B31</f>
        <v>-191357730</v>
      </c>
      <c r="F31" s="312">
        <f>IF(ISBLANK(E31),"  ",IF(B31&gt;0,E31/B31,IF(E31&gt;0,1,0)))</f>
        <v>-0.22580793277940953</v>
      </c>
    </row>
    <row r="32" spans="1:13" ht="35.25" customHeight="1">
      <c r="A32" s="63"/>
      <c r="B32" s="81"/>
      <c r="C32" s="81"/>
      <c r="D32" s="81"/>
      <c r="E32" s="81"/>
      <c r="F32" s="311" t="str">
        <f>IF(ISBLANK(E32),"  ",IF(C32&gt;0,E32/C32,IF(E32&gt;0,1,0)))</f>
        <v xml:space="preserve">  </v>
      </c>
    </row>
    <row r="33" spans="1:6" ht="35.25" customHeight="1">
      <c r="A33" s="62" t="s">
        <v>34</v>
      </c>
      <c r="B33" s="84">
        <f ca="1">'Total UL'!B33-'UL BOS'!B33+LSU!B33+LSUS!B33+LSUA!B33+UNO!B33+SUBR!B33+SUNO!B33</f>
        <v>-22752</v>
      </c>
      <c r="C33" s="84">
        <f ca="1">'Total UL'!C33-'UL BOS'!C33+LSU!C33+LSUS!C33+LSUA!C33+UNO!C33+SUBR!C33+SUNO!C33</f>
        <v>0</v>
      </c>
      <c r="D33" s="84">
        <f ca="1">'Total UL'!D33-'UL BOS'!D33+LSU!D33+LSUS!D33+LSUA!D33+UNO!D33+SUBR!D33+SUNO!D33</f>
        <v>0</v>
      </c>
      <c r="E33" s="85">
        <f>D33-B33</f>
        <v>22752</v>
      </c>
      <c r="F33" s="312">
        <f>IF(ISBLANK(E33),"  ",IF(B33&gt;0,E33/B33,IF(E33&gt;0,1,0)))</f>
        <v>1</v>
      </c>
    </row>
    <row r="34" spans="1:6" ht="35.25" customHeight="1">
      <c r="A34" s="57" t="s">
        <v>35</v>
      </c>
      <c r="B34" s="83"/>
      <c r="C34" s="83"/>
      <c r="D34" s="83"/>
      <c r="E34" s="83"/>
      <c r="F34" s="313" t="str">
        <f>IF(ISBLANK(E34),"  ",IF(C34&gt;0,E34/C34,IF(E34&gt;0,1,0)))</f>
        <v xml:space="preserve">  </v>
      </c>
    </row>
    <row r="35" spans="1:6" ht="35.25" customHeight="1">
      <c r="A35" s="64" t="s">
        <v>36</v>
      </c>
      <c r="B35" s="85">
        <f ca="1">'Total UL'!B35-'UL BOS'!B35+LSU!B35+LSUS!B35+LSUA!B35+UNO!B35+SUBR!B35+SUNO!B35</f>
        <v>19976620</v>
      </c>
      <c r="C35" s="85">
        <f ca="1">'Total UL'!C35-'UL BOS'!C35+LSU!C35+LSUS!C35+LSUA!C35+UNO!C35+SUBR!C35+SUNO!C35</f>
        <v>20108000</v>
      </c>
      <c r="D35" s="85">
        <f ca="1">'Total UL'!D35-'UL BOS'!D35+LSU!D35+LSUS!D35+LSUA!D35+UNO!D35+SUBR!D35+SUNO!D35</f>
        <v>8898439</v>
      </c>
      <c r="E35" s="85">
        <f>D35-B35</f>
        <v>-11078181</v>
      </c>
      <c r="F35" s="312">
        <f>IF(ISBLANK(E35),"  ",IF(B35&gt;0,E35/B35,IF(E35&gt;0,1,0)))</f>
        <v>-0.55455732751586606</v>
      </c>
    </row>
    <row r="36" spans="1:6" ht="35.25" customHeight="1">
      <c r="A36" s="57"/>
      <c r="B36" s="83"/>
      <c r="C36" s="83"/>
      <c r="D36" s="83"/>
      <c r="E36" s="83"/>
      <c r="F36" s="313" t="str">
        <f>IF(ISBLANK(E36),"  ",IF(C36&gt;0,E36/C36,IF(E36&gt;0,1,0)))</f>
        <v xml:space="preserve">  </v>
      </c>
    </row>
    <row r="37" spans="1:6" ht="35.25" customHeight="1">
      <c r="A37" s="64" t="s">
        <v>88</v>
      </c>
      <c r="B37" s="85">
        <f ca="1">'Total UL'!B37-'UL BOS'!B37+LSU!B37+LSUS!B37+LSUA!B37+UNO!B37+SUBR!B37+SUNO!B37</f>
        <v>0</v>
      </c>
      <c r="C37" s="85">
        <f ca="1">'Total UL'!C37-'UL BOS'!C37+LSU!C37+LSUS!C37+LSUA!C37+UNO!C37+SUBR!C37+SUNO!C37</f>
        <v>0</v>
      </c>
      <c r="D37" s="85">
        <f ca="1">'Total UL'!D37-'UL BOS'!D37+LSU!D37+LSUS!D37+LSUA!D37+UNO!D37+SUBR!D37+SUNO!D37</f>
        <v>125081506</v>
      </c>
      <c r="E37" s="85">
        <f>D37-B37</f>
        <v>125081506</v>
      </c>
      <c r="F37" s="312">
        <f>IF(ISBLANK(E37),"  ",IF(B37&gt;0,E37/B37,IF(E37&gt;0,1,0)))</f>
        <v>1</v>
      </c>
    </row>
    <row r="38" spans="1:6" ht="35.25" customHeight="1">
      <c r="A38" s="57" t="s">
        <v>35</v>
      </c>
      <c r="B38" s="83"/>
      <c r="C38" s="83"/>
      <c r="D38" s="83"/>
      <c r="E38" s="83"/>
      <c r="F38" s="313" t="str">
        <f>IF(ISBLANK(E38),"  ",IF(C38&gt;0,E38/C38,IF(E38&gt;0,1,0)))</f>
        <v xml:space="preserve">  </v>
      </c>
    </row>
    <row r="39" spans="1:6" ht="35.25" customHeight="1">
      <c r="A39" s="62" t="s">
        <v>37</v>
      </c>
      <c r="B39" s="84">
        <f ca="1">'Total UL'!B39-'UL BOS'!B39+LSU!B39+LSUS!B39+LSUA!B39+UNO!B39+SUBR!B39+SUNO!B39</f>
        <v>556822493.20000005</v>
      </c>
      <c r="C39" s="84">
        <f ca="1">'Total UL'!C39-'UL BOS'!C39+LSU!C39+LSUS!C39+LSUA!C39+UNO!C39+SUBR!C39+SUNO!C39</f>
        <v>582365120</v>
      </c>
      <c r="D39" s="84">
        <f ca="1">'Total UL'!D39-'UL BOS'!D39+LSU!D39+LSUS!D39+LSUA!D39+UNO!D39+SUBR!D39+SUNO!D39</f>
        <v>621845712</v>
      </c>
      <c r="E39" s="85">
        <f>D39-B39</f>
        <v>65023218.799999952</v>
      </c>
      <c r="F39" s="312">
        <f>IF(ISBLANK(E39),"  ",IF(B39&gt;0,E39/B39,IF(E39&gt;0,1,0)))</f>
        <v>0.11677548876719829</v>
      </c>
    </row>
    <row r="40" spans="1:6" ht="35.25" customHeight="1">
      <c r="A40" s="57" t="s">
        <v>35</v>
      </c>
      <c r="B40" s="83"/>
      <c r="C40" s="83"/>
      <c r="D40" s="83"/>
      <c r="E40" s="83"/>
      <c r="F40" s="313" t="str">
        <f>IF(ISBLANK(E40),"  ",IF(C40&gt;0,E40/C40,IF(E40&gt;0,1,0)))</f>
        <v xml:space="preserve">  </v>
      </c>
    </row>
    <row r="41" spans="1:6" ht="35.25" customHeight="1">
      <c r="A41" s="62" t="s">
        <v>38</v>
      </c>
      <c r="B41" s="84">
        <f ca="1">'Total UL'!B41-'UL BOS'!B41+LSU!B41+LSUS!B41+LSUA!B41+UNO!B41+SUBR!B41+SUNO!B41</f>
        <v>0</v>
      </c>
      <c r="C41" s="84">
        <f ca="1">'Total UL'!C41-'UL BOS'!C41+LSU!C41+LSUS!C41+LSUA!C41+UNO!C41+SUBR!C41+SUNO!C41</f>
        <v>0</v>
      </c>
      <c r="D41" s="84">
        <f ca="1">'Total UL'!D41-'UL BOS'!D41+LSU!D41+LSUS!D41+LSUA!D41+UNO!D41+SUBR!D41+SUNO!D41</f>
        <v>0</v>
      </c>
      <c r="E41" s="85">
        <f>D41-B41</f>
        <v>0</v>
      </c>
      <c r="F41" s="312">
        <f>IF(ISBLANK(E41),"  ",IF(B41&gt;0,E41/B41,IF(E41&gt;0,1,0)))</f>
        <v>0</v>
      </c>
    </row>
    <row r="42" spans="1:6" ht="34.5" customHeight="1">
      <c r="A42" s="57"/>
      <c r="B42" s="81"/>
      <c r="C42" s="81"/>
      <c r="D42" s="81"/>
      <c r="E42" s="83"/>
      <c r="F42" s="311" t="str">
        <f>IF(ISBLANK(E42),"  ",IF(C42&gt;0,E42/C42,IF(E42&gt;0,1,0)))</f>
        <v xml:space="preserve">  </v>
      </c>
    </row>
    <row r="43" spans="1:6" ht="35.25" customHeight="1">
      <c r="A43" s="55" t="s">
        <v>75</v>
      </c>
      <c r="B43" s="86">
        <f ca="1">LSU!B43+LSUS!B43+LSUA!B43+UNO!B43</f>
        <v>0</v>
      </c>
      <c r="C43" s="86">
        <f ca="1">LSU!C43+LSUS!C43+LSUA!C43+UNO!C43</f>
        <v>0</v>
      </c>
      <c r="D43" s="86">
        <f ca="1">LSU!D43+LSUS!D43+LSUA!D43+UNO!D43</f>
        <v>0</v>
      </c>
      <c r="E43" s="85">
        <f>D43-B43</f>
        <v>0</v>
      </c>
      <c r="F43" s="312">
        <f>IF(ISBLANK(E43),"  ",IF(B43&gt;0,E43/B43,IF(E43&gt;0,1,0)))</f>
        <v>0</v>
      </c>
    </row>
    <row r="44" spans="1:6" ht="34.5" customHeight="1">
      <c r="A44" s="65"/>
      <c r="B44" s="87"/>
      <c r="C44" s="87"/>
      <c r="D44" s="87"/>
      <c r="E44" s="90"/>
      <c r="F44" s="314" t="str">
        <f>IF(ISBLANK(E44),"  ",IF(C44&gt;0,E44/C44,IF(E44&gt;0,1,0)))</f>
        <v xml:space="preserve">  </v>
      </c>
    </row>
    <row r="45" spans="1:6" ht="34.5" customHeight="1">
      <c r="A45" s="100" t="s">
        <v>39</v>
      </c>
      <c r="B45" s="109">
        <f>SUM(B43,B41,B39,B35,B33,B31)</f>
        <v>1424212178.2</v>
      </c>
      <c r="C45" s="109">
        <f>SUM(C43,C41,C39,C35,C33,C31)</f>
        <v>1450985527</v>
      </c>
      <c r="D45" s="109">
        <f>SUM(D43,D41,D39,D37,D35,D33,D31)</f>
        <v>1411903744</v>
      </c>
      <c r="E45" s="85">
        <f>D45-B45</f>
        <v>-12308434.200000048</v>
      </c>
      <c r="F45" s="312">
        <f>IF(ISBLANK(E45),"  ",IF(B45&gt;0,E45/B45,IF(E45&gt;0,1,0)))</f>
        <v>-8.6422756302759213E-3</v>
      </c>
    </row>
    <row r="46" spans="1:6" ht="35.25" customHeight="1">
      <c r="A46" s="55"/>
      <c r="B46" s="88"/>
      <c r="C46" s="88"/>
      <c r="D46" s="88"/>
      <c r="E46" s="88"/>
      <c r="F46" s="315" t="str">
        <f>IF(ISBLANK(E46),"  ",IF(C46&gt;0,E46/C46,IF(E46&gt;0,1,0)))</f>
        <v xml:space="preserve">  </v>
      </c>
    </row>
    <row r="47" spans="1:6" ht="34.5" customHeight="1">
      <c r="A47" s="60"/>
      <c r="B47" s="82"/>
      <c r="C47" s="82"/>
      <c r="D47" s="82"/>
      <c r="E47" s="82"/>
      <c r="F47" s="310" t="str">
        <f>IF(ISBLANK(E47),"  ",IF(C47&gt;0,E47/C47,IF(E47&gt;0,1,0)))</f>
        <v xml:space="preserve">  </v>
      </c>
    </row>
    <row r="48" spans="1:6" ht="34.5" customHeight="1">
      <c r="A48" s="63" t="s">
        <v>40</v>
      </c>
      <c r="B48" s="81"/>
      <c r="C48" s="81"/>
      <c r="D48" s="81"/>
      <c r="E48" s="81"/>
      <c r="F48" s="310" t="str">
        <f>IF(ISBLANK(E48),"  ",IF(C48&gt;0,E48/C48,IF(E48&gt;0,1,0)))</f>
        <v xml:space="preserve">  </v>
      </c>
    </row>
    <row r="49" spans="1:6" ht="34.5" customHeight="1">
      <c r="A49" s="57" t="s">
        <v>41</v>
      </c>
      <c r="B49" s="81">
        <f ca="1">'Total UL'!B49-'UL BOS'!B47+LSU!B49+LSUS!B49+LSUA!B49+UNO!B49+SUBR!B47+SUNO!B46</f>
        <v>608003026.18000007</v>
      </c>
      <c r="C49" s="81">
        <f ca="1">'Total UL'!C49-'UL BOS'!C47+LSU!C49+LSUS!C49+LSUA!C49+UNO!C49+SUBR!C47+SUNO!C46</f>
        <v>645435494</v>
      </c>
      <c r="D49" s="81">
        <f ca="1">'Total UL'!D49-'UL BOS'!D47+LSU!D49+LSUS!D49+LSUA!D49+UNO!D49+SUBR!D47+SUNO!D46</f>
        <v>629516206.47146428</v>
      </c>
      <c r="E49" s="80">
        <f t="shared" ref="E49:E62" si="2">D49-B49</f>
        <v>21513180.29146421</v>
      </c>
      <c r="F49" s="310">
        <f t="shared" ref="F49:F62" si="3">IF(ISBLANK(E49),"  ",IF(B49&gt;0,E49/B49,IF(E49&gt;0,1,0)))</f>
        <v>3.5383344103776228E-2</v>
      </c>
    </row>
    <row r="50" spans="1:6" ht="34.5" customHeight="1">
      <c r="A50" s="57" t="s">
        <v>42</v>
      </c>
      <c r="B50" s="81">
        <f ca="1">'Total UL'!B50-'UL BOS'!B48+LSU!B50+LSUS!B50+LSUA!B50+UNO!B50+SUBR!B48+SUNO!B47</f>
        <v>104487630.13</v>
      </c>
      <c r="C50" s="81">
        <f ca="1">'Total UL'!C50-'UL BOS'!C48+LSU!C50+LSUS!C50+LSUA!C50+UNO!C50+SUBR!C48+SUNO!C47</f>
        <v>101075529</v>
      </c>
      <c r="D50" s="81">
        <f ca="1">'Total UL'!D50-'UL BOS'!D48+LSU!D50+LSUS!D50+LSUA!D50+UNO!D50+SUBR!D48+SUNO!D47</f>
        <v>98714733.716817394</v>
      </c>
      <c r="E50" s="79">
        <f t="shared" si="2"/>
        <v>-5772896.4131826013</v>
      </c>
      <c r="F50" s="310">
        <f t="shared" si="3"/>
        <v>-5.5249567877079402E-2</v>
      </c>
    </row>
    <row r="51" spans="1:6" ht="34.5" customHeight="1">
      <c r="A51" s="57" t="s">
        <v>43</v>
      </c>
      <c r="B51" s="81">
        <f ca="1">'Total UL'!B51-'UL BOS'!B49+LSU!B51+LSUS!B51+LSUA!B51+UNO!B51+SUBR!B49+SUNO!B48</f>
        <v>18620897</v>
      </c>
      <c r="C51" s="81">
        <f ca="1">'Total UL'!C51-'UL BOS'!C49+LSU!C51+LSUS!C51+LSUA!C51+UNO!C51+SUBR!C49+SUNO!C48</f>
        <v>17089481</v>
      </c>
      <c r="D51" s="80">
        <f ca="1">'Total UL'!D51-'UL BOS'!D49+LSU!D51+LSUS!D51+LSUA!D51+UNO!D51+SUBR!D49+SUNO!D48</f>
        <v>12566870.210000001</v>
      </c>
      <c r="E51" s="79">
        <f t="shared" si="2"/>
        <v>-6054026.7899999991</v>
      </c>
      <c r="F51" s="310">
        <f t="shared" si="3"/>
        <v>-0.3251200406725841</v>
      </c>
    </row>
    <row r="52" spans="1:6" ht="34.5" customHeight="1">
      <c r="A52" s="57" t="s">
        <v>44</v>
      </c>
      <c r="B52" s="81">
        <f ca="1">'Total UL'!B52-'UL BOS'!B50+LSU!B52+LSUS!B52+LSUA!B52+UNO!B52+SUBR!B50+SUNO!B49</f>
        <v>154664772.17000002</v>
      </c>
      <c r="C52" s="81">
        <f ca="1">'Total UL'!C52-'UL BOS'!C50+LSU!C52+LSUS!C52+LSUA!C52+UNO!C52+SUBR!C50+SUNO!C49</f>
        <v>157784715</v>
      </c>
      <c r="D52" s="89">
        <f ca="1">'Total UL'!D52-'UL BOS'!D50+LSU!D52+LSUS!D52+LSUA!D52+UNO!D52+SUBR!D50+SUNO!D49</f>
        <v>152747908.91874588</v>
      </c>
      <c r="E52" s="79">
        <f t="shared" si="2"/>
        <v>-1916863.2512541413</v>
      </c>
      <c r="F52" s="310">
        <f t="shared" si="3"/>
        <v>-1.2393664209114266E-2</v>
      </c>
    </row>
    <row r="53" spans="1:6" ht="34.5" customHeight="1">
      <c r="A53" s="57" t="s">
        <v>45</v>
      </c>
      <c r="B53" s="81">
        <f ca="1">'Total UL'!B53-'UL BOS'!B51+LSU!B53+LSUS!B53+LSUA!B53+UNO!B53+SUBR!B51+SUNO!B50</f>
        <v>63085249.68</v>
      </c>
      <c r="C53" s="81">
        <f ca="1">'Total UL'!C53-'UL BOS'!C51+LSU!C53+LSUS!C53+LSUA!C53+UNO!C53+SUBR!C51+SUNO!C50</f>
        <v>67721905</v>
      </c>
      <c r="D53" s="81">
        <f ca="1">'Total UL'!D53-'UL BOS'!D51+LSU!D53+LSUS!D53+LSUA!D53+UNO!D53+SUBR!D51+SUNO!D50</f>
        <v>63483555.914672829</v>
      </c>
      <c r="E53" s="79">
        <f t="shared" si="2"/>
        <v>398306.23467282951</v>
      </c>
      <c r="F53" s="310">
        <f t="shared" si="3"/>
        <v>6.3137775738899083E-3</v>
      </c>
    </row>
    <row r="54" spans="1:6" ht="34.5" customHeight="1">
      <c r="A54" s="57" t="s">
        <v>74</v>
      </c>
      <c r="B54" s="81">
        <f ca="1">'Total UL'!B54-'UL BOS'!B52+LSU!B54+LSUS!B54+LSUA!B54+UNO!B54+SUBR!B52+SUNO!B51</f>
        <v>160837078.30000001</v>
      </c>
      <c r="C54" s="81">
        <f ca="1">'Total UL'!C54-'UL BOS'!C52+LSU!C54+LSUS!C54+LSUA!C54+UNO!C54+SUBR!C52+SUNO!C51</f>
        <v>162116522</v>
      </c>
      <c r="D54" s="81">
        <f ca="1">'Total UL'!D54-'UL BOS'!D52+LSU!D54+LSUS!D54+LSUA!D54+UNO!D54+SUBR!D52+SUNO!D51</f>
        <v>156066799.31771147</v>
      </c>
      <c r="E54" s="79">
        <f t="shared" si="2"/>
        <v>-4770278.9822885394</v>
      </c>
      <c r="F54" s="310">
        <f t="shared" si="3"/>
        <v>-2.9659075088337632E-2</v>
      </c>
    </row>
    <row r="55" spans="1:6" ht="35.25" customHeight="1">
      <c r="A55" s="65" t="s">
        <v>46</v>
      </c>
      <c r="B55" s="81">
        <f ca="1">'Total UL'!B55-'UL BOS'!B53+LSU!B55+LSUS!B55+LSUA!B55+UNO!B55+SUBR!B53+SUNO!B52</f>
        <v>96931588.180000007</v>
      </c>
      <c r="C55" s="81">
        <f ca="1">'Total UL'!C55-'UL BOS'!C53+LSU!C55+LSUS!C55+LSUA!C55+UNO!C55+SUBR!C53+SUNO!C52</f>
        <v>92858264</v>
      </c>
      <c r="D55" s="81">
        <f ca="1">'Total UL'!D55-'UL BOS'!D53+LSU!D55+LSUS!D55+LSUA!D55+UNO!D55+SUBR!D53+SUNO!D52</f>
        <v>101476116</v>
      </c>
      <c r="E55" s="79">
        <f t="shared" si="2"/>
        <v>4544527.8199999928</v>
      </c>
      <c r="F55" s="310">
        <f t="shared" si="3"/>
        <v>4.688386835838175E-2</v>
      </c>
    </row>
    <row r="56" spans="1:6" ht="34.5" customHeight="1">
      <c r="A56" s="57" t="s">
        <v>47</v>
      </c>
      <c r="B56" s="81">
        <f ca="1">'Total UL'!B56-'UL BOS'!B54+LSU!B56+LSUS!B56+LSUA!B56+UNO!B56+SUBR!B54+SUNO!B53</f>
        <v>171546145.49000001</v>
      </c>
      <c r="C56" s="81">
        <f ca="1">'Total UL'!C56-'UL BOS'!C54+LSU!C56+LSUS!C56+LSUA!C56+UNO!C56+SUBR!C54+SUNO!C53</f>
        <v>165598543</v>
      </c>
      <c r="D56" s="81">
        <f ca="1">'Total UL'!D56-'UL BOS'!D54+LSU!D56+LSUS!D56+LSUA!D56+UNO!D56+SUBR!D54+SUNO!D53</f>
        <v>161456275.64502633</v>
      </c>
      <c r="E56" s="79">
        <f t="shared" si="2"/>
        <v>-10089869.844973683</v>
      </c>
      <c r="F56" s="310">
        <f t="shared" si="3"/>
        <v>-5.8817234372438028E-2</v>
      </c>
    </row>
    <row r="57" spans="1:6" ht="34.5" customHeight="1">
      <c r="A57" s="63" t="s">
        <v>48</v>
      </c>
      <c r="B57" s="83">
        <f ca="1">SUM(B49:B56)</f>
        <v>1378176387.1300001</v>
      </c>
      <c r="C57" s="83">
        <f ca="1">SUM(C49:C56)</f>
        <v>1409680453</v>
      </c>
      <c r="D57" s="83">
        <f ca="1">SUM(D49:D56)</f>
        <v>1376028466.194438</v>
      </c>
      <c r="E57" s="85">
        <f t="shared" si="2"/>
        <v>-2147920.9355621338</v>
      </c>
      <c r="F57" s="312">
        <f t="shared" si="3"/>
        <v>-1.5585239709665158E-3</v>
      </c>
    </row>
    <row r="58" spans="1:6" ht="34.5" customHeight="1">
      <c r="A58" s="57" t="s">
        <v>49</v>
      </c>
      <c r="B58" s="81">
        <f ca="1">'Total UL'!B58-'UL BOS'!B56+LSU!B58+LSUS!B58+LSUA!B58+UNO!B58+SUBR!B56+SUNO!B55</f>
        <v>0</v>
      </c>
      <c r="C58" s="81">
        <f ca="1">'Total UL'!C58-'UL BOS'!C56+LSU!C58+LSUS!C58+LSUA!C58+UNO!C58+SUBR!C56+SUNO!C55</f>
        <v>0</v>
      </c>
      <c r="D58" s="81">
        <f ca="1">'Total UL'!D58-'UL BOS'!D56+LSU!D58+LSUS!D58+LSUA!D58+UNO!D58+SUBR!D56+SUNO!D55</f>
        <v>0</v>
      </c>
      <c r="E58" s="79">
        <f t="shared" si="2"/>
        <v>0</v>
      </c>
      <c r="F58" s="310">
        <f t="shared" si="3"/>
        <v>0</v>
      </c>
    </row>
    <row r="59" spans="1:6" ht="34.5" customHeight="1">
      <c r="A59" s="57" t="s">
        <v>50</v>
      </c>
      <c r="B59" s="81">
        <f ca="1">'Total UL'!B59-'UL BOS'!B57+LSU!B59+LSUS!B59+LSUA!B59+UNO!B59+SUBR!B57+SUNO!B56</f>
        <v>3444008</v>
      </c>
      <c r="C59" s="81">
        <f ca="1">'Total UL'!C59-'UL BOS'!C57+LSU!C59+LSUS!C59+LSUA!C59+UNO!C59+SUBR!C57+SUNO!C56</f>
        <v>5131064</v>
      </c>
      <c r="D59" s="81">
        <f ca="1">'Total UL'!D59-'UL BOS'!D57+LSU!D59+LSUS!D59+LSUA!D59+UNO!D59+SUBR!D57+SUNO!D56</f>
        <v>4736337</v>
      </c>
      <c r="E59" s="79">
        <f t="shared" si="2"/>
        <v>1292329</v>
      </c>
      <c r="F59" s="310">
        <f t="shared" si="3"/>
        <v>0.37523983684126172</v>
      </c>
    </row>
    <row r="60" spans="1:6" ht="35.25" customHeight="1">
      <c r="A60" s="103" t="s">
        <v>51</v>
      </c>
      <c r="B60" s="80">
        <f ca="1">'Total UL'!B60-'UL BOS'!B58+LSU!B60+LSUS!B60+LSUA!B60+UNO!B60+SUBR!B58+SUNO!B57</f>
        <v>38617499</v>
      </c>
      <c r="C60" s="80">
        <f ca="1">'Total UL'!C60-'UL BOS'!C58+LSU!C60+LSUS!C60+LSUA!C60+UNO!C60+SUBR!C58+SUNO!C57</f>
        <v>34625259</v>
      </c>
      <c r="D60" s="80">
        <f ca="1">'Total UL'!D60-'UL BOS'!D58+LSU!D60+LSUS!D60+LSUA!D60+UNO!D60+SUBR!D58+SUNO!D57</f>
        <v>29760835</v>
      </c>
      <c r="E60" s="79">
        <f t="shared" si="2"/>
        <v>-8856664</v>
      </c>
      <c r="F60" s="310">
        <f t="shared" si="3"/>
        <v>-0.22934328295056083</v>
      </c>
    </row>
    <row r="61" spans="1:6" ht="34.5" customHeight="1">
      <c r="A61" s="437" t="s">
        <v>52</v>
      </c>
      <c r="B61" s="438">
        <f ca="1">'Total UL'!B61-'UL BOS'!B59+LSU!B61+LSUS!B61+LSUA!B61+UNO!B61+SUBR!B59+SUNO!B58</f>
        <v>3974284.37</v>
      </c>
      <c r="C61" s="438">
        <f ca="1">'Total UL'!C61-'UL BOS'!C59+LSU!C61+LSUS!C61+LSUA!C61+UNO!C61+SUBR!C59+SUNO!C58</f>
        <v>1553752</v>
      </c>
      <c r="D61" s="438">
        <f ca="1">'Total UL'!D61-'UL BOS'!D59+LSU!D61+LSUS!D61+LSUA!D61+UNO!D61+SUBR!D59+SUNO!D58</f>
        <v>1378106</v>
      </c>
      <c r="E61" s="79">
        <f t="shared" si="2"/>
        <v>-2596178.37</v>
      </c>
      <c r="F61" s="310">
        <f t="shared" si="3"/>
        <v>-0.65324423928929876</v>
      </c>
    </row>
    <row r="62" spans="1:6" ht="35.25" customHeight="1">
      <c r="A62" s="106" t="s">
        <v>53</v>
      </c>
      <c r="B62" s="110">
        <f>SUM(B57:B61)</f>
        <v>1424212178.5</v>
      </c>
      <c r="C62" s="110">
        <f>SUM(C57:C61)-1</f>
        <v>1450990527</v>
      </c>
      <c r="D62" s="110">
        <f>SUM(D57:D61)</f>
        <v>1411903744.194438</v>
      </c>
      <c r="E62" s="85">
        <f t="shared" si="2"/>
        <v>-12308434.305562019</v>
      </c>
      <c r="F62" s="312">
        <f t="shared" si="3"/>
        <v>-8.6422757025750429E-3</v>
      </c>
    </row>
    <row r="63" spans="1:6" ht="34.5" customHeight="1">
      <c r="A63" s="107"/>
      <c r="B63" s="108"/>
      <c r="C63" s="108"/>
      <c r="D63" s="108"/>
      <c r="E63" s="108"/>
      <c r="F63" s="439" t="str">
        <f>IF(ISBLANK(E63),"  ",IF(C63&gt;0,E63/C63,IF(E63&gt;0,1,0)))</f>
        <v xml:space="preserve">  </v>
      </c>
    </row>
    <row r="64" spans="1:6" ht="34.5" customHeight="1">
      <c r="A64" s="62" t="s">
        <v>54</v>
      </c>
      <c r="B64" s="82"/>
      <c r="C64" s="82"/>
      <c r="D64" s="82"/>
      <c r="E64" s="82"/>
      <c r="F64" s="310" t="str">
        <f>IF(ISBLANK(E64),"  ",IF(C64&gt;0,E64/C64,IF(E64&gt;0,1,0)))</f>
        <v xml:space="preserve">  </v>
      </c>
    </row>
    <row r="65" spans="1:6" ht="34.5" customHeight="1">
      <c r="A65" s="57" t="s">
        <v>55</v>
      </c>
      <c r="B65" s="81">
        <f ca="1">'Total UL'!B65-'UL BOS'!B63+LSU!B65+LSUS!B65+LSUA!B65+UNO!B65+SUBR!B63+SUNO!B62</f>
        <v>774295493.79999995</v>
      </c>
      <c r="C65" s="81">
        <f ca="1">'Total UL'!C65-'UL BOS'!C63+LSU!C65+LSUS!C65+LSUA!C65+UNO!C65+SUBR!C63+SUNO!C62</f>
        <v>795064347</v>
      </c>
      <c r="D65" s="81">
        <f ca="1">'Total UL'!D65-'UL BOS'!D63+LSU!D65+LSUS!D65+LSUA!D65+UNO!D65+SUBR!D63+SUNO!D62</f>
        <v>772091979.15307701</v>
      </c>
      <c r="E65" s="80">
        <f t="shared" ref="E65:E82" si="4">D65-B65</f>
        <v>-2203514.646922946</v>
      </c>
      <c r="F65" s="310">
        <f t="shared" ref="F65:F82" si="5">IF(ISBLANK(E65),"  ",IF(B65&gt;0,E65/B65,IF(E65&gt;0,1,0)))</f>
        <v>-2.8458316812729799E-3</v>
      </c>
    </row>
    <row r="66" spans="1:6" ht="35.25" customHeight="1">
      <c r="A66" s="65" t="s">
        <v>56</v>
      </c>
      <c r="B66" s="87">
        <f ca="1">'Total UL'!B66-'UL BOS'!B64+LSU!B66+LSUS!B66+LSUA!B66+UNO!B66+SUBR!B64+SUNO!B63</f>
        <v>40720598.299999997</v>
      </c>
      <c r="C66" s="87">
        <f ca="1">'Total UL'!C66-'UL BOS'!C64+LSU!C66+LSUS!C66+LSUA!C66+UNO!C66+SUBR!C64+SUNO!C63</f>
        <v>39694983</v>
      </c>
      <c r="D66" s="87">
        <f ca="1">'Total UL'!D66-'UL BOS'!D64+LSU!D66+LSUS!D66+LSUA!D66+UNO!D66+SUBR!D64+SUNO!D63</f>
        <v>38365916</v>
      </c>
      <c r="E66" s="79">
        <f t="shared" si="4"/>
        <v>-2354682.299999997</v>
      </c>
      <c r="F66" s="310">
        <f t="shared" si="5"/>
        <v>-5.7825336520165943E-2</v>
      </c>
    </row>
    <row r="67" spans="1:6" ht="34.5" customHeight="1">
      <c r="A67" s="57" t="s">
        <v>57</v>
      </c>
      <c r="B67" s="81">
        <f ca="1">'Total UL'!B67-'UL BOS'!B65+LSU!B67+LSUS!B67+LSUA!B67+UNO!B67+SUBR!B65+SUNO!B64</f>
        <v>225545125.17000002</v>
      </c>
      <c r="C67" s="81">
        <f ca="1">'Total UL'!C67-'UL BOS'!C65+LSU!C67+LSUS!C67+LSUA!C67+UNO!C67+SUBR!C65+SUNO!C64</f>
        <v>240225649</v>
      </c>
      <c r="D67" s="81">
        <f ca="1">'Total UL'!D67-'UL BOS'!D65+LSU!D67+LSUS!D67+LSUA!D67+UNO!D67+SUBR!D65+SUNO!D64</f>
        <v>238033997.20971924</v>
      </c>
      <c r="E67" s="79">
        <f t="shared" si="4"/>
        <v>12488872.039719224</v>
      </c>
      <c r="F67" s="310">
        <f t="shared" si="5"/>
        <v>5.5371943997042684E-2</v>
      </c>
    </row>
    <row r="68" spans="1:6" ht="34.5" customHeight="1">
      <c r="A68" s="63" t="s">
        <v>58</v>
      </c>
      <c r="B68" s="83">
        <f ca="1">SUM(B65:B67)</f>
        <v>1040561217.27</v>
      </c>
      <c r="C68" s="83">
        <f ca="1">SUM(C65:C67)</f>
        <v>1074984979</v>
      </c>
      <c r="D68" s="83">
        <f ca="1">SUM(D65:D67)</f>
        <v>1048491892.3627963</v>
      </c>
      <c r="E68" s="85">
        <f t="shared" si="4"/>
        <v>7930675.0927963257</v>
      </c>
      <c r="F68" s="312">
        <f t="shared" si="5"/>
        <v>7.6215363028838612E-3</v>
      </c>
    </row>
    <row r="69" spans="1:6" ht="34.5" customHeight="1">
      <c r="A69" s="57" t="s">
        <v>59</v>
      </c>
      <c r="B69" s="81">
        <f ca="1">'Total UL'!B69-'UL BOS'!B67+LSU!B69+LSUS!B69+LSUA!B69+UNO!B69+SUBR!B67+SUNO!B66</f>
        <v>9063271.629999999</v>
      </c>
      <c r="C69" s="81">
        <f ca="1">'Total UL'!C69-'UL BOS'!C67+LSU!C69+LSUS!C69+LSUA!C69+UNO!C69+SUBR!C67+SUNO!C66</f>
        <v>8923807</v>
      </c>
      <c r="D69" s="81">
        <f ca="1">'Total UL'!D69-'UL BOS'!D67+LSU!D69+LSUS!D69+LSUA!D69+UNO!D69+SUBR!D67+SUNO!D66</f>
        <v>7639932</v>
      </c>
      <c r="E69" s="79">
        <f t="shared" si="4"/>
        <v>-1423339.629999999</v>
      </c>
      <c r="F69" s="310">
        <f t="shared" si="5"/>
        <v>-0.15704479443037492</v>
      </c>
    </row>
    <row r="70" spans="1:6" ht="35.25" customHeight="1">
      <c r="A70" s="57" t="s">
        <v>60</v>
      </c>
      <c r="B70" s="81">
        <f ca="1">'Total UL'!B70-'UL BOS'!B68+LSU!B70+LSUS!B70+LSUA!B70+UNO!B70+SUBR!B68+SUNO!B67</f>
        <v>105606371.12</v>
      </c>
      <c r="C70" s="81">
        <f ca="1">'Total UL'!C70-'UL BOS'!C68+LSU!C70+LSUS!C70+LSUA!C70+UNO!C70+SUBR!C68+SUNO!C67</f>
        <v>107145893</v>
      </c>
      <c r="D70" s="81">
        <f ca="1">'Total UL'!D70-'UL BOS'!D68+LSU!D70+LSUS!D70+LSUA!D70+UNO!D70+SUBR!D68+SUNO!D67</f>
        <v>106255368</v>
      </c>
      <c r="E70" s="79">
        <f t="shared" si="4"/>
        <v>648996.87999999523</v>
      </c>
      <c r="F70" s="310">
        <f t="shared" si="5"/>
        <v>6.1454330180756161E-3</v>
      </c>
    </row>
    <row r="71" spans="1:6" ht="34.5" customHeight="1">
      <c r="A71" s="57" t="s">
        <v>61</v>
      </c>
      <c r="B71" s="81">
        <f ca="1">'Total UL'!B71-'UL BOS'!B69+LSU!B71+LSUS!B71+LSUA!B71+UNO!B71+SUBR!B69+SUNO!B68</f>
        <v>35226431.280000001</v>
      </c>
      <c r="C71" s="81">
        <f ca="1">'Total UL'!C71-'UL BOS'!C69+LSU!C71+LSUS!C71+LSUA!C71+UNO!C71+SUBR!C69+SUNO!C68</f>
        <v>29234625</v>
      </c>
      <c r="D71" s="81">
        <f ca="1">'Total UL'!D71-'UL BOS'!D69+LSU!D71+LSUS!D71+LSUA!D71+UNO!D71+SUBR!D69+SUNO!D68</f>
        <v>28504757</v>
      </c>
      <c r="E71" s="79">
        <f t="shared" si="4"/>
        <v>-6721674.2800000012</v>
      </c>
      <c r="F71" s="310">
        <f t="shared" si="5"/>
        <v>-0.19081337608604901</v>
      </c>
    </row>
    <row r="72" spans="1:6" ht="34.5" customHeight="1">
      <c r="A72" s="63" t="s">
        <v>62</v>
      </c>
      <c r="B72" s="83">
        <f ca="1">SUM(B69:B71)</f>
        <v>149896074.03</v>
      </c>
      <c r="C72" s="83">
        <f ca="1">SUM(C69:C71)</f>
        <v>145304325</v>
      </c>
      <c r="D72" s="83">
        <f ca="1">SUM(D69:D71)</f>
        <v>142400057</v>
      </c>
      <c r="E72" s="85">
        <f t="shared" si="4"/>
        <v>-7496017.0300000012</v>
      </c>
      <c r="F72" s="312">
        <f t="shared" si="5"/>
        <v>-5.000809446483407E-2</v>
      </c>
    </row>
    <row r="73" spans="1:6" ht="34.5" customHeight="1">
      <c r="A73" s="57" t="s">
        <v>63</v>
      </c>
      <c r="B73" s="81">
        <f ca="1">'Total UL'!B73-'UL BOS'!B71+LSU!B73+LSUS!B73+LSUA!B73+UNO!B73+SUBR!B71+SUNO!B70</f>
        <v>9677611.1400000006</v>
      </c>
      <c r="C73" s="81">
        <f ca="1">'Total UL'!C73-'UL BOS'!C71+LSU!C73+LSUS!C73+LSUA!C73+UNO!C73+SUBR!C71+SUNO!C70</f>
        <v>9533314</v>
      </c>
      <c r="D73" s="81">
        <f ca="1">'Total UL'!D73-'UL BOS'!D71+LSU!D73+LSUS!D73+LSUA!D73+UNO!D73+SUBR!D71+SUNO!D70</f>
        <v>7862455</v>
      </c>
      <c r="E73" s="79">
        <f t="shared" si="4"/>
        <v>-1815156.1400000006</v>
      </c>
      <c r="F73" s="310">
        <f t="shared" si="5"/>
        <v>-0.18756241739219132</v>
      </c>
    </row>
    <row r="74" spans="1:6" ht="34.5" customHeight="1">
      <c r="A74" s="57" t="s">
        <v>64</v>
      </c>
      <c r="B74" s="81">
        <f ca="1">'Total UL'!B74-'UL BOS'!B72+LSU!B74+LSUS!B74+LSUA!B74+UNO!B74+SUBR!B72+SUNO!B71</f>
        <v>164731927.31</v>
      </c>
      <c r="C74" s="81">
        <f ca="1">'Total UL'!C74-'UL BOS'!C72+LSU!C74+LSUS!C74+LSUA!C74+UNO!C74+SUBR!C72+SUNO!C71</f>
        <v>155783095</v>
      </c>
      <c r="D74" s="81">
        <f ca="1">'Total UL'!D74-'UL BOS'!D72+LSU!D74+LSUS!D74+LSUA!D74+UNO!D74+SUBR!D72+SUNO!D71</f>
        <v>156297288</v>
      </c>
      <c r="E74" s="79">
        <f t="shared" si="4"/>
        <v>-8434639.3100000024</v>
      </c>
      <c r="F74" s="310">
        <f t="shared" si="5"/>
        <v>-5.120221348547277E-2</v>
      </c>
    </row>
    <row r="75" spans="1:6" ht="35.25" customHeight="1">
      <c r="A75" s="57" t="s">
        <v>65</v>
      </c>
      <c r="B75" s="81">
        <f ca="1">'Total UL'!B75-'UL BOS'!B73+LSU!B75+LSUS!B75+LSUA!B75+UNO!B75+SUBR!B73+SUNO!B72</f>
        <v>56911</v>
      </c>
      <c r="C75" s="81">
        <f ca="1">'Total UL'!C75-'UL BOS'!C73+LSU!C75+LSUS!C75+LSUA!C75+UNO!C75+SUBR!C73+SUNO!C72</f>
        <v>0</v>
      </c>
      <c r="D75" s="81">
        <f ca="1">'Total UL'!D75-'UL BOS'!D73+LSU!D75+LSUS!D75+LSUA!D75+UNO!D75+SUBR!D73+SUNO!D72</f>
        <v>0</v>
      </c>
      <c r="E75" s="79">
        <f t="shared" si="4"/>
        <v>-56911</v>
      </c>
      <c r="F75" s="310">
        <f t="shared" si="5"/>
        <v>-1</v>
      </c>
    </row>
    <row r="76" spans="1:6" ht="34.5" customHeight="1">
      <c r="A76" s="57" t="s">
        <v>66</v>
      </c>
      <c r="B76" s="81">
        <f ca="1">'Total UL'!B76-'UL BOS'!B74+LSU!B76+LSUS!B76+LSUA!B76+UNO!B76+SUBR!B74+SUNO!B73</f>
        <v>25857832</v>
      </c>
      <c r="C76" s="81">
        <f ca="1">'Total UL'!C76-'UL BOS'!C74+LSU!C76+LSUS!C76+LSUA!C76+UNO!C76+SUBR!C74+SUNO!C73</f>
        <v>25168079</v>
      </c>
      <c r="D76" s="81">
        <f ca="1">'Total UL'!D76-'UL BOS'!D74+LSU!D76+LSUS!D76+LSUA!D76+UNO!D76+SUBR!D74+SUNO!D73</f>
        <v>23503978</v>
      </c>
      <c r="E76" s="79">
        <f t="shared" si="4"/>
        <v>-2353854</v>
      </c>
      <c r="F76" s="310">
        <f t="shared" si="5"/>
        <v>-9.1030601482753853E-2</v>
      </c>
    </row>
    <row r="77" spans="1:6" ht="34.5" customHeight="1">
      <c r="A77" s="63" t="s">
        <v>67</v>
      </c>
      <c r="B77" s="83">
        <f ca="1">SUM(B73:B76)</f>
        <v>200324281.44999999</v>
      </c>
      <c r="C77" s="83">
        <f ca="1">SUM(C73:C76)</f>
        <v>190484488</v>
      </c>
      <c r="D77" s="83">
        <f ca="1">SUM(D73:D76)</f>
        <v>187663721</v>
      </c>
      <c r="E77" s="85">
        <f t="shared" si="4"/>
        <v>-12660560.449999988</v>
      </c>
      <c r="F77" s="312">
        <f t="shared" si="5"/>
        <v>-6.3200328778715745E-2</v>
      </c>
    </row>
    <row r="78" spans="1:6" ht="34.5" customHeight="1">
      <c r="A78" s="69" t="s">
        <v>68</v>
      </c>
      <c r="B78" s="81">
        <f ca="1">'Total UL'!B78-'UL BOS'!B76+LSU!B78+LSUS!B78+LSUA!B78+UNO!B78+SUBR!B76+SUNO!B75</f>
        <v>15999394.52</v>
      </c>
      <c r="C78" s="81">
        <f ca="1">'Total UL'!C78-'UL BOS'!C76+LSU!C78+LSUS!C78+LSUA!C78+UNO!C78+SUBR!C76+SUNO!C75</f>
        <v>23588829</v>
      </c>
      <c r="D78" s="81">
        <f ca="1">'Total UL'!D78-'UL BOS'!D76+LSU!D78+LSUS!D78+LSUA!D78+UNO!D78+SUBR!D76+SUNO!D75</f>
        <v>18341184</v>
      </c>
      <c r="E78" s="79">
        <f t="shared" si="4"/>
        <v>2341789.4800000004</v>
      </c>
      <c r="F78" s="310">
        <f t="shared" si="5"/>
        <v>0.14636738140763095</v>
      </c>
    </row>
    <row r="79" spans="1:6" ht="35.25" customHeight="1">
      <c r="A79" s="69" t="s">
        <v>69</v>
      </c>
      <c r="B79" s="80">
        <f ca="1">'Total UL'!B79-'UL BOS'!B77+LSU!B79+LSUS!B79+LSUA!B79+UNO!B79+SUBR!B77+SUNO!B76</f>
        <v>12749913.220000001</v>
      </c>
      <c r="C79" s="80">
        <f ca="1">'Total UL'!C79-'UL BOS'!C77+LSU!C79+LSUS!C79+LSUA!C79+UNO!C79+SUBR!C77+SUNO!C76</f>
        <v>14174784</v>
      </c>
      <c r="D79" s="80">
        <f ca="1">'Total UL'!D79-'UL BOS'!D77+LSU!D79+LSUS!D79+LSUA!D79+UNO!D79+SUBR!D77+SUNO!D76</f>
        <v>11612418</v>
      </c>
      <c r="E79" s="79">
        <f t="shared" si="4"/>
        <v>-1137495.2200000007</v>
      </c>
      <c r="F79" s="310">
        <f t="shared" si="5"/>
        <v>-8.9215918600581701E-2</v>
      </c>
    </row>
    <row r="80" spans="1:6" ht="35.25" customHeight="1">
      <c r="A80" s="103" t="s">
        <v>70</v>
      </c>
      <c r="B80" s="80">
        <f ca="1">'Total UL'!B80-'UL BOS'!B78+LSU!B80+LSUS!B80+LSUA!B80+UNO!B80+SUBR!B78+SUNO!B77</f>
        <v>4681297</v>
      </c>
      <c r="C80" s="80">
        <f ca="1">'Total UL'!C80-'UL BOS'!C78+LSU!C80+LSUS!C80+LSUA!C80+UNO!C80+SUBR!C78+SUNO!C77</f>
        <v>2453123</v>
      </c>
      <c r="D80" s="80">
        <f ca="1">'Total UL'!D80-'UL BOS'!D78+LSU!D80+LSUS!D80+LSUA!D80+UNO!D80+SUBR!D78+SUNO!D77</f>
        <v>3394470</v>
      </c>
      <c r="E80" s="79">
        <f t="shared" si="4"/>
        <v>-1286827</v>
      </c>
      <c r="F80" s="310">
        <f t="shared" si="5"/>
        <v>-0.27488685293840576</v>
      </c>
    </row>
    <row r="81" spans="1:6" ht="38.25" customHeight="1">
      <c r="A81" s="32" t="s">
        <v>71</v>
      </c>
      <c r="B81" s="94">
        <f>SUM(B78:B80)</f>
        <v>33430604.740000002</v>
      </c>
      <c r="C81" s="94">
        <f>SUM(C78:C80)</f>
        <v>40216736</v>
      </c>
      <c r="D81" s="94">
        <f>SUM(D78:D80)</f>
        <v>33348072</v>
      </c>
      <c r="E81" s="85">
        <f t="shared" si="4"/>
        <v>-82532.740000002086</v>
      </c>
      <c r="F81" s="312">
        <f t="shared" si="5"/>
        <v>-2.4687779548675337E-3</v>
      </c>
    </row>
    <row r="82" spans="1:6" s="44" customFormat="1" ht="45" thickBot="1">
      <c r="A82" s="440" t="s">
        <v>53</v>
      </c>
      <c r="B82" s="441">
        <f>+B81+B77+B72+B68+2</f>
        <v>1424212179.49</v>
      </c>
      <c r="C82" s="441">
        <f>+C81+C77+C72+C68-1</f>
        <v>1450990527</v>
      </c>
      <c r="D82" s="441">
        <f>+D81+D77+D72+D68+2</f>
        <v>1411903744.3627963</v>
      </c>
      <c r="E82" s="454">
        <f t="shared" si="4"/>
        <v>-12308435.127203703</v>
      </c>
      <c r="F82" s="461">
        <f t="shared" si="5"/>
        <v>-8.6422762734772174E-3</v>
      </c>
    </row>
    <row r="83" spans="1:6" s="44" customFormat="1" ht="44.25">
      <c r="F83" s="318"/>
    </row>
    <row r="84" spans="1:6" ht="44.25">
      <c r="A84" s="73" t="s">
        <v>99</v>
      </c>
      <c r="B84" s="43"/>
      <c r="C84" s="43"/>
      <c r="D84" s="43"/>
      <c r="E84" s="43"/>
      <c r="F84" s="319"/>
    </row>
    <row r="85" spans="1:6" ht="52.5" customHeight="1">
      <c r="A85" s="73" t="s">
        <v>72</v>
      </c>
      <c r="B85" s="15"/>
      <c r="C85" s="15"/>
      <c r="D85" s="15"/>
      <c r="E85" s="15"/>
      <c r="F85" s="320"/>
    </row>
    <row r="86" spans="1:6" ht="15" customHeight="1">
      <c r="A86" s="15"/>
      <c r="B86" s="15"/>
      <c r="C86" s="15"/>
      <c r="D86" s="15"/>
      <c r="E86" s="15"/>
      <c r="F86" s="320"/>
    </row>
    <row r="87" spans="1:6" ht="15" customHeight="1">
      <c r="A87" s="15"/>
      <c r="B87" s="15"/>
      <c r="C87" s="15"/>
      <c r="D87" s="15"/>
      <c r="E87" s="15"/>
      <c r="F87" s="320"/>
    </row>
    <row r="88" spans="1:6" ht="15" customHeight="1">
      <c r="A88" s="15"/>
      <c r="B88" s="15"/>
      <c r="C88" s="15"/>
      <c r="D88" s="15"/>
      <c r="E88" s="15"/>
      <c r="F88" s="320"/>
    </row>
    <row r="89" spans="1:6" ht="15" customHeight="1">
      <c r="A89" s="15"/>
      <c r="B89" s="15"/>
      <c r="C89" s="15"/>
      <c r="D89" s="15"/>
      <c r="E89" s="15"/>
      <c r="F89" s="320"/>
    </row>
    <row r="90" spans="1:6" ht="15" customHeight="1">
      <c r="A90" s="15"/>
      <c r="B90" s="15"/>
      <c r="C90" s="15"/>
      <c r="D90" s="15"/>
      <c r="E90" s="15"/>
      <c r="F90" s="320"/>
    </row>
    <row r="91" spans="1:6" ht="15" customHeight="1">
      <c r="A91" s="15"/>
      <c r="B91" s="15"/>
      <c r="C91" s="15"/>
      <c r="D91" s="15"/>
      <c r="E91" s="15"/>
      <c r="F91" s="320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showOutlineSymbols="0" zoomScale="30" zoomScaleNormal="100" workbookViewId="0">
      <selection activeCell="M17" sqref="M17"/>
    </sheetView>
  </sheetViews>
  <sheetFormatPr defaultRowHeight="15"/>
  <cols>
    <col min="1" max="1" width="135" style="16" customWidth="1"/>
    <col min="2" max="2" width="44.21875" style="16" customWidth="1"/>
    <col min="3" max="3" width="42.109375" style="16" customWidth="1"/>
    <col min="4" max="4" width="36.21875" style="16" customWidth="1"/>
    <col min="5" max="5" width="33.21875" style="16" customWidth="1"/>
    <col min="6" max="6" width="31.66406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73</v>
      </c>
      <c r="E1" s="58"/>
      <c r="G1" s="5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131"/>
      <c r="F7" s="355"/>
      <c r="G7" s="24"/>
      <c r="H7" s="24"/>
      <c r="I7" s="24"/>
      <c r="J7" s="24"/>
    </row>
    <row r="8" spans="1:10" ht="34.5">
      <c r="A8" s="31" t="s">
        <v>14</v>
      </c>
      <c r="B8" s="93">
        <v>16208781</v>
      </c>
      <c r="C8" s="93">
        <v>16208781</v>
      </c>
      <c r="D8" s="93">
        <v>13781176</v>
      </c>
      <c r="E8" s="396">
        <f>D8-B8</f>
        <v>-2427605</v>
      </c>
      <c r="F8" s="478">
        <f>IF(ISBLANK(E8),"  ",IF(B8&gt;0,E8/B8,IF(E8&gt;0,1,0)))</f>
        <v>-0.14977097907609463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1088725</v>
      </c>
      <c r="E9" s="178">
        <f>D9-B9</f>
        <v>1088725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112776</v>
      </c>
      <c r="C10" s="93">
        <f>SUM(C11:C25)</f>
        <v>116272</v>
      </c>
      <c r="D10" s="93">
        <f>SUM(D11:D25)</f>
        <v>100591</v>
      </c>
      <c r="E10" s="477">
        <f>D10-C10</f>
        <v>-15681</v>
      </c>
      <c r="F10" s="397">
        <f t="shared" si="0"/>
        <v>-0.13904554160459673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396"/>
      <c r="F11" s="369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>
        <v>112776</v>
      </c>
      <c r="C12" s="93">
        <v>116272</v>
      </c>
      <c r="D12" s="93">
        <v>100591</v>
      </c>
      <c r="E12" s="178">
        <f>D12-B12</f>
        <v>-12185</v>
      </c>
      <c r="F12" s="369">
        <f t="shared" si="0"/>
        <v>-0.1080460381641484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16321557</v>
      </c>
      <c r="C31" s="122">
        <f>SUM(C8:C10,C26:C30)</f>
        <v>16325053</v>
      </c>
      <c r="D31" s="122">
        <f>SUM(D8:D10,D26:D30)</f>
        <v>14970492</v>
      </c>
      <c r="E31" s="465">
        <f>D31-B31</f>
        <v>-1351065</v>
      </c>
      <c r="F31" s="390">
        <f t="shared" si="0"/>
        <v>-8.2777948206779542E-2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/>
      <c r="C37" s="147"/>
      <c r="D37" s="147"/>
      <c r="E37" s="465"/>
      <c r="F37" s="345" t="str">
        <f>IF(ISBLANK(E37),"  ",IF(B37&gt;0,E37/B37,IF(E37&gt;0,1,0)))</f>
        <v xml:space="preserve">  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829057</v>
      </c>
      <c r="C39" s="147">
        <v>825561</v>
      </c>
      <c r="D39" s="147">
        <v>825561</v>
      </c>
      <c r="E39" s="465">
        <f>D39-B39</f>
        <v>-3496</v>
      </c>
      <c r="F39" s="399">
        <f>IF(ISBLANK(E39),"  ",IF(B39&gt;0,E39/B39,IF(E39&gt;0,1,0)))</f>
        <v>-4.2168391316881708E-3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17150614</v>
      </c>
      <c r="C45" s="147">
        <f>SUM(C43,C41,C39,C35,C33,C31)</f>
        <v>17150614</v>
      </c>
      <c r="D45" s="147">
        <f>SUM(D43,D41,D39,D35,D33,D31)</f>
        <v>15796053</v>
      </c>
      <c r="E45" s="465">
        <f>D45-B45</f>
        <v>-1354561</v>
      </c>
      <c r="F45" s="345">
        <f>IF(ISBLANK(E45),"  ",IF(B45&gt;0,E45/B45,IF(E45&gt;0,1,0)))</f>
        <v>-7.8980321054394897E-2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/>
      <c r="C49" s="154"/>
      <c r="D49" s="154"/>
      <c r="E49" s="178"/>
      <c r="F49" s="397" t="str">
        <f t="shared" ref="F49:F62" si="1">IF(ISBLANK(E49),"  ",IF(B49&gt;0,E49/B49,IF(E49&gt;0,1,0)))</f>
        <v xml:space="preserve">  </v>
      </c>
      <c r="G49" s="24"/>
      <c r="H49" s="24"/>
    </row>
    <row r="50" spans="1:8" ht="34.5">
      <c r="A50" s="156" t="s">
        <v>42</v>
      </c>
      <c r="B50" s="157">
        <v>7039631</v>
      </c>
      <c r="C50" s="157">
        <v>7431106</v>
      </c>
      <c r="D50" s="157">
        <v>6679051</v>
      </c>
      <c r="E50" s="178">
        <f t="shared" ref="E50:E62" si="2">D50-B50</f>
        <v>-360580</v>
      </c>
      <c r="F50" s="369">
        <f t="shared" si="1"/>
        <v>-5.1221434759861705E-2</v>
      </c>
      <c r="G50" s="24"/>
      <c r="H50" s="24"/>
    </row>
    <row r="51" spans="1:8" ht="34.5">
      <c r="A51" s="158" t="s">
        <v>43</v>
      </c>
      <c r="B51" s="159">
        <v>296891</v>
      </c>
      <c r="C51" s="159">
        <v>335135</v>
      </c>
      <c r="D51" s="159">
        <v>313000</v>
      </c>
      <c r="E51" s="178">
        <f t="shared" si="2"/>
        <v>16109</v>
      </c>
      <c r="F51" s="369">
        <f t="shared" si="1"/>
        <v>5.4258970463907631E-2</v>
      </c>
      <c r="G51" s="24"/>
      <c r="H51" s="24"/>
    </row>
    <row r="52" spans="1:8" ht="34.5">
      <c r="A52" s="158" t="s">
        <v>44</v>
      </c>
      <c r="B52" s="159">
        <v>3793177</v>
      </c>
      <c r="C52" s="159">
        <v>3180424</v>
      </c>
      <c r="D52" s="159">
        <v>2964384</v>
      </c>
      <c r="E52" s="178">
        <f t="shared" si="2"/>
        <v>-828793</v>
      </c>
      <c r="F52" s="369">
        <f t="shared" si="1"/>
        <v>-0.21849573589632121</v>
      </c>
      <c r="G52" s="24"/>
      <c r="H52" s="24"/>
    </row>
    <row r="53" spans="1:8" ht="34.5">
      <c r="A53" s="156" t="s">
        <v>45</v>
      </c>
      <c r="B53" s="159"/>
      <c r="C53" s="159"/>
      <c r="D53" s="159"/>
      <c r="E53" s="178"/>
      <c r="F53" s="369" t="str">
        <f t="shared" si="1"/>
        <v xml:space="preserve">  </v>
      </c>
      <c r="G53" s="24"/>
      <c r="H53" s="24"/>
    </row>
    <row r="54" spans="1:8" ht="34.5">
      <c r="A54" s="153" t="s">
        <v>74</v>
      </c>
      <c r="B54" s="160">
        <v>1997444</v>
      </c>
      <c r="C54" s="160">
        <v>1248486</v>
      </c>
      <c r="D54" s="160">
        <v>1392700</v>
      </c>
      <c r="E54" s="178">
        <f t="shared" si="2"/>
        <v>-604744</v>
      </c>
      <c r="F54" s="369">
        <f t="shared" si="1"/>
        <v>-0.30275892590730952</v>
      </c>
      <c r="G54" s="24"/>
      <c r="H54" s="24"/>
    </row>
    <row r="55" spans="1:8" ht="34.5">
      <c r="A55" s="117" t="s">
        <v>46</v>
      </c>
      <c r="B55" s="118"/>
      <c r="C55" s="118"/>
      <c r="D55" s="118"/>
      <c r="E55" s="178"/>
      <c r="F55" s="369" t="str">
        <f t="shared" si="1"/>
        <v xml:space="preserve">  </v>
      </c>
      <c r="G55" s="24"/>
      <c r="H55" s="24"/>
    </row>
    <row r="56" spans="1:8" ht="34.5">
      <c r="A56" s="117" t="s">
        <v>47</v>
      </c>
      <c r="B56" s="93">
        <v>4023461</v>
      </c>
      <c r="C56" s="93">
        <v>4955463</v>
      </c>
      <c r="D56" s="93">
        <v>4446918</v>
      </c>
      <c r="E56" s="178">
        <f t="shared" si="2"/>
        <v>423457</v>
      </c>
      <c r="F56" s="369">
        <f t="shared" si="1"/>
        <v>0.1052469503246086</v>
      </c>
      <c r="G56" s="24"/>
      <c r="H56" s="24"/>
    </row>
    <row r="57" spans="1:8" ht="35.25">
      <c r="A57" s="114" t="s">
        <v>48</v>
      </c>
      <c r="B57" s="116">
        <f>SUM(B49:B56)</f>
        <v>17150604</v>
      </c>
      <c r="C57" s="116">
        <f>SUM(C49:C56)</f>
        <v>17150614</v>
      </c>
      <c r="D57" s="116">
        <f>SUM(D49:D56)</f>
        <v>15796053</v>
      </c>
      <c r="E57" s="465">
        <f t="shared" si="2"/>
        <v>-1354551</v>
      </c>
      <c r="F57" s="390">
        <f t="shared" si="1"/>
        <v>-7.8979784035594316E-2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1"/>
        <v xml:space="preserve">  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1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1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1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17150604</v>
      </c>
      <c r="C62" s="120">
        <f>SUM(C57:C61)</f>
        <v>17150614</v>
      </c>
      <c r="D62" s="120">
        <f>SUM(D57:D61)</f>
        <v>15796053</v>
      </c>
      <c r="E62" s="465">
        <f t="shared" si="2"/>
        <v>-1354551</v>
      </c>
      <c r="F62" s="344">
        <f t="shared" si="1"/>
        <v>-7.8979784035594316E-2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9577759</v>
      </c>
      <c r="C65" s="92">
        <v>7593888</v>
      </c>
      <c r="D65" s="92">
        <v>8025281</v>
      </c>
      <c r="E65" s="178">
        <f t="shared" ref="E65:E82" si="3">D65-B65</f>
        <v>-1552478</v>
      </c>
      <c r="F65" s="397">
        <f t="shared" ref="F65:F82" si="4">IF(ISBLANK(E65),"  ",IF(B65&gt;0,E65/B65,IF(E65&gt;0,1,0)))</f>
        <v>-0.16209198832419985</v>
      </c>
      <c r="G65" s="24"/>
      <c r="H65" s="24"/>
    </row>
    <row r="66" spans="1:8" ht="34.5">
      <c r="A66" s="117" t="s">
        <v>56</v>
      </c>
      <c r="B66" s="118">
        <v>356160</v>
      </c>
      <c r="C66" s="118">
        <v>202600</v>
      </c>
      <c r="D66" s="118">
        <v>288369</v>
      </c>
      <c r="E66" s="178">
        <f t="shared" si="3"/>
        <v>-67791</v>
      </c>
      <c r="F66" s="369">
        <f t="shared" si="4"/>
        <v>-0.19033861185983827</v>
      </c>
      <c r="G66" s="24"/>
      <c r="H66" s="24"/>
    </row>
    <row r="67" spans="1:8" ht="34.5">
      <c r="A67" s="117" t="s">
        <v>57</v>
      </c>
      <c r="B67" s="118">
        <v>1717516</v>
      </c>
      <c r="C67" s="118">
        <v>2277514</v>
      </c>
      <c r="D67" s="118">
        <v>2307938</v>
      </c>
      <c r="E67" s="178">
        <f t="shared" si="3"/>
        <v>590422</v>
      </c>
      <c r="F67" s="369">
        <f t="shared" si="4"/>
        <v>0.34376506536183649</v>
      </c>
      <c r="G67" s="24"/>
      <c r="H67" s="24"/>
    </row>
    <row r="68" spans="1:8" ht="35.25">
      <c r="A68" s="175" t="s">
        <v>58</v>
      </c>
      <c r="B68" s="116">
        <f>SUM(B65:B67)</f>
        <v>11651435</v>
      </c>
      <c r="C68" s="116">
        <f>SUM(C65:C67)</f>
        <v>10074002</v>
      </c>
      <c r="D68" s="116">
        <f>SUM(D65:D67)</f>
        <v>10621588</v>
      </c>
      <c r="E68" s="465">
        <f t="shared" si="3"/>
        <v>-1029847</v>
      </c>
      <c r="F68" s="390">
        <f t="shared" si="4"/>
        <v>-8.8387996843307282E-2</v>
      </c>
      <c r="G68" s="24"/>
      <c r="H68" s="24"/>
    </row>
    <row r="69" spans="1:8" ht="34.5">
      <c r="A69" s="151" t="s">
        <v>59</v>
      </c>
      <c r="B69" s="166">
        <v>214494</v>
      </c>
      <c r="C69" s="166">
        <v>146919</v>
      </c>
      <c r="D69" s="166">
        <v>55308</v>
      </c>
      <c r="E69" s="178">
        <f t="shared" si="3"/>
        <v>-159186</v>
      </c>
      <c r="F69" s="369">
        <f t="shared" si="4"/>
        <v>-0.74214663347226495</v>
      </c>
      <c r="G69" s="24"/>
      <c r="H69" s="24"/>
    </row>
    <row r="70" spans="1:8" ht="34.5">
      <c r="A70" s="151" t="s">
        <v>60</v>
      </c>
      <c r="B70" s="166">
        <v>3048708</v>
      </c>
      <c r="C70" s="166">
        <v>4871033</v>
      </c>
      <c r="D70" s="166">
        <v>3513055</v>
      </c>
      <c r="E70" s="178">
        <f t="shared" si="3"/>
        <v>464347</v>
      </c>
      <c r="F70" s="369">
        <f t="shared" si="4"/>
        <v>0.15230943730918145</v>
      </c>
      <c r="G70" s="24"/>
      <c r="H70" s="24"/>
    </row>
    <row r="71" spans="1:8" ht="34.5">
      <c r="A71" s="176" t="s">
        <v>61</v>
      </c>
      <c r="B71" s="177">
        <v>1846374</v>
      </c>
      <c r="C71" s="177">
        <v>1902765</v>
      </c>
      <c r="D71" s="177">
        <v>1483500</v>
      </c>
      <c r="E71" s="178">
        <f t="shared" si="3"/>
        <v>-362874</v>
      </c>
      <c r="F71" s="369">
        <f t="shared" si="4"/>
        <v>-0.19653331340237676</v>
      </c>
      <c r="G71" s="24"/>
      <c r="H71" s="24"/>
    </row>
    <row r="72" spans="1:8" ht="35.25">
      <c r="A72" s="114" t="s">
        <v>62</v>
      </c>
      <c r="B72" s="116">
        <f>SUM(B69:B71)</f>
        <v>5109576</v>
      </c>
      <c r="C72" s="116">
        <f>SUM(C69:C71)</f>
        <v>6920717</v>
      </c>
      <c r="D72" s="116">
        <f>SUM(D69:D71)</f>
        <v>5051863</v>
      </c>
      <c r="E72" s="465">
        <f t="shared" si="3"/>
        <v>-57713</v>
      </c>
      <c r="F72" s="390">
        <f t="shared" si="4"/>
        <v>-1.1295066361670714E-2</v>
      </c>
      <c r="G72" s="24"/>
      <c r="H72" s="24"/>
    </row>
    <row r="73" spans="1:8" ht="34.5">
      <c r="A73" s="117" t="s">
        <v>63</v>
      </c>
      <c r="B73" s="118">
        <v>264083</v>
      </c>
      <c r="C73" s="118">
        <v>152895</v>
      </c>
      <c r="D73" s="118">
        <v>119602</v>
      </c>
      <c r="E73" s="178">
        <f t="shared" si="3"/>
        <v>-144481</v>
      </c>
      <c r="F73" s="369">
        <f t="shared" si="4"/>
        <v>-0.54710450880973027</v>
      </c>
      <c r="G73" s="24"/>
      <c r="H73" s="24"/>
    </row>
    <row r="74" spans="1:8" ht="34.5">
      <c r="A74" s="126" t="s">
        <v>64</v>
      </c>
      <c r="B74" s="128">
        <v>38403</v>
      </c>
      <c r="C74" s="128">
        <v>3000</v>
      </c>
      <c r="D74" s="128">
        <v>3000</v>
      </c>
      <c r="E74" s="178">
        <f t="shared" si="3"/>
        <v>-35403</v>
      </c>
      <c r="F74" s="369">
        <f t="shared" si="4"/>
        <v>-0.92188110303882509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/>
      <c r="C76" s="118"/>
      <c r="D76" s="118"/>
      <c r="E76" s="178"/>
      <c r="F76" s="369" t="str">
        <f t="shared" si="4"/>
        <v xml:space="preserve">  </v>
      </c>
      <c r="G76" s="24"/>
      <c r="H76" s="24"/>
    </row>
    <row r="77" spans="1:8" ht="35.25">
      <c r="A77" s="114" t="s">
        <v>67</v>
      </c>
      <c r="B77" s="116">
        <f>SUM(B73:B76)</f>
        <v>302486</v>
      </c>
      <c r="C77" s="116">
        <f>SUM(C73:C76)</f>
        <v>155895</v>
      </c>
      <c r="D77" s="116">
        <f>SUM(D73:D76)</f>
        <v>122602</v>
      </c>
      <c r="E77" s="465">
        <f t="shared" si="3"/>
        <v>-179884</v>
      </c>
      <c r="F77" s="390">
        <f t="shared" si="4"/>
        <v>-0.5946853738685427</v>
      </c>
      <c r="G77" s="24"/>
      <c r="H77" s="24"/>
    </row>
    <row r="78" spans="1:8" ht="34.5">
      <c r="A78" s="117" t="s">
        <v>68</v>
      </c>
      <c r="B78" s="118">
        <v>87117</v>
      </c>
      <c r="C78" s="118">
        <v>0</v>
      </c>
      <c r="D78" s="118">
        <v>0</v>
      </c>
      <c r="E78" s="178">
        <f t="shared" si="3"/>
        <v>-87117</v>
      </c>
      <c r="F78" s="369">
        <f t="shared" si="4"/>
        <v>-1</v>
      </c>
      <c r="G78" s="24"/>
      <c r="H78" s="24"/>
    </row>
    <row r="79" spans="1:8" ht="34.5">
      <c r="A79" s="117" t="s">
        <v>69</v>
      </c>
      <c r="B79" s="118"/>
      <c r="C79" s="118"/>
      <c r="D79" s="118"/>
      <c r="E79" s="178"/>
      <c r="F79" s="369" t="str">
        <f t="shared" si="4"/>
        <v xml:space="preserve">  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87117</v>
      </c>
      <c r="C81" s="116">
        <f>SUM(C78:C80)</f>
        <v>0</v>
      </c>
      <c r="D81" s="116">
        <f>SUM(D78:D80)</f>
        <v>0</v>
      </c>
      <c r="E81" s="465">
        <f t="shared" si="3"/>
        <v>-87117</v>
      </c>
      <c r="F81" s="390">
        <f t="shared" si="4"/>
        <v>-1</v>
      </c>
      <c r="G81" s="24"/>
      <c r="H81" s="24"/>
    </row>
    <row r="82" spans="1:8" s="163" customFormat="1" ht="45" thickBot="1">
      <c r="A82" s="164" t="s">
        <v>53</v>
      </c>
      <c r="B82" s="165">
        <f>+B81+B77+B72+B68</f>
        <v>17150614</v>
      </c>
      <c r="C82" s="165">
        <f>+C81+C77+C72+C68</f>
        <v>17150614</v>
      </c>
      <c r="D82" s="165">
        <f>+D81+D77+D72+D68</f>
        <v>15796053</v>
      </c>
      <c r="E82" s="466">
        <f t="shared" si="3"/>
        <v>-1354561</v>
      </c>
      <c r="F82" s="348">
        <f t="shared" si="4"/>
        <v>-7.8980321054394897E-2</v>
      </c>
      <c r="G82" s="36"/>
      <c r="H82" s="36"/>
    </row>
    <row r="83" spans="1:8" s="163" customFormat="1" ht="44.25">
      <c r="A83" s="113"/>
      <c r="B83" s="36"/>
      <c r="C83" s="36"/>
      <c r="D83" s="36"/>
      <c r="E83" s="36"/>
      <c r="F83" s="351"/>
      <c r="G83" s="36"/>
      <c r="H83" s="36"/>
    </row>
    <row r="84" spans="1:8" s="163" customFormat="1" ht="44.25">
      <c r="A84" s="113" t="s">
        <v>96</v>
      </c>
      <c r="B84" s="36"/>
      <c r="C84" s="36"/>
      <c r="D84" s="36"/>
      <c r="E84" s="36"/>
      <c r="F84" s="351"/>
      <c r="G84" s="36"/>
      <c r="H84" s="36"/>
    </row>
    <row r="85" spans="1:8" s="163" customFormat="1" ht="44.25">
      <c r="A85" s="36" t="s">
        <v>86</v>
      </c>
      <c r="B85" s="36"/>
      <c r="C85" s="36"/>
      <c r="D85" s="36"/>
      <c r="E85" s="36"/>
      <c r="F85" s="351"/>
      <c r="G85" s="36"/>
      <c r="H85" s="36"/>
    </row>
    <row r="86" spans="1:8" s="163" customFormat="1" ht="44.25">
      <c r="A86" s="36"/>
      <c r="B86" s="36"/>
      <c r="C86" s="36"/>
      <c r="D86" s="36"/>
      <c r="E86" s="36"/>
      <c r="F86" s="351"/>
      <c r="G86" s="36"/>
      <c r="H86" s="36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</sheetData>
  <phoneticPr fontId="5" type="noConversion"/>
  <printOptions horizontalCentered="1"/>
  <pageMargins left="0.45" right="0.45" top="0.5" bottom="0.5" header="0.3" footer="0.3"/>
  <pageSetup scale="2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9"/>
  <sheetViews>
    <sheetView topLeftCell="A55" zoomScale="30" zoomScaleNormal="100" workbookViewId="0">
      <selection activeCell="C5" sqref="C5"/>
    </sheetView>
  </sheetViews>
  <sheetFormatPr defaultRowHeight="15"/>
  <cols>
    <col min="1" max="1" width="115.77734375" style="16" customWidth="1"/>
    <col min="2" max="2" width="29.77734375" style="16" customWidth="1"/>
    <col min="3" max="3" width="26.5546875" style="16" customWidth="1"/>
    <col min="4" max="4" width="29.109375" style="16" customWidth="1"/>
    <col min="5" max="5" width="33.21875" style="16" customWidth="1"/>
    <col min="6" max="6" width="31.66406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290</v>
      </c>
      <c r="G1" s="5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83044377</v>
      </c>
      <c r="C8" s="92">
        <v>83044377</v>
      </c>
      <c r="D8" s="92">
        <v>70571559</v>
      </c>
      <c r="E8" s="178">
        <f>D8-B8</f>
        <v>-12472818</v>
      </c>
      <c r="F8" s="342">
        <f>IF(ISBLANK(E8),"  ",IF(B8&gt;0,E8/B8,IF(E8&gt;0,1,0)))</f>
        <v>-0.15019461221317851</v>
      </c>
      <c r="G8" s="24"/>
      <c r="H8" s="24"/>
      <c r="I8" s="24"/>
      <c r="J8" s="24"/>
    </row>
    <row r="9" spans="1:10" ht="34.5">
      <c r="A9" s="153" t="s">
        <v>87</v>
      </c>
      <c r="B9" s="93"/>
      <c r="C9" s="93"/>
      <c r="D9" s="93">
        <f>5902815+2170000</f>
        <v>8072815</v>
      </c>
      <c r="E9" s="178">
        <f>D9-B9</f>
        <v>8072815</v>
      </c>
      <c r="F9" s="369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v>6617861</v>
      </c>
      <c r="C10" s="93">
        <v>6725821</v>
      </c>
      <c r="D10" s="93">
        <v>7827905</v>
      </c>
      <c r="E10" s="93">
        <f>D10-C10</f>
        <v>1102084</v>
      </c>
      <c r="F10" s="369">
        <f t="shared" si="0"/>
        <v>0.16653175399120654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467"/>
      <c r="F11" s="369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>
        <v>3481942</v>
      </c>
      <c r="C12" s="93">
        <v>3589902</v>
      </c>
      <c r="D12" s="93">
        <v>3105751</v>
      </c>
      <c r="E12" s="178">
        <f>D12-B12</f>
        <v>-376191</v>
      </c>
      <c r="F12" s="369">
        <f t="shared" si="0"/>
        <v>-0.10804057046326447</v>
      </c>
      <c r="G12" s="24"/>
      <c r="H12" s="24"/>
      <c r="I12" s="24"/>
      <c r="J12" s="24"/>
    </row>
    <row r="13" spans="1:10" ht="34.5">
      <c r="A13" s="31" t="s">
        <v>18</v>
      </c>
      <c r="B13" s="93">
        <v>2683136</v>
      </c>
      <c r="C13" s="93">
        <v>2683136</v>
      </c>
      <c r="D13" s="93">
        <v>2683135</v>
      </c>
      <c r="E13" s="178">
        <f>D13-B13</f>
        <v>-1</v>
      </c>
      <c r="F13" s="369">
        <f t="shared" si="0"/>
        <v>-3.7269821581910122E-7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>
        <v>452783</v>
      </c>
      <c r="C25" s="93">
        <v>452783</v>
      </c>
      <c r="D25" s="93">
        <v>2039019</v>
      </c>
      <c r="E25" s="178">
        <f>D25-B25</f>
        <v>1586236</v>
      </c>
      <c r="F25" s="369">
        <f t="shared" si="0"/>
        <v>3.5033029066904016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v>89662238</v>
      </c>
      <c r="C31" s="122">
        <v>89770198</v>
      </c>
      <c r="D31" s="122">
        <v>86472279</v>
      </c>
      <c r="E31" s="465">
        <f>D31-B31</f>
        <v>-3189959</v>
      </c>
      <c r="F31" s="390">
        <f t="shared" si="0"/>
        <v>-3.5577508114397055E-2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465"/>
      <c r="F33" s="34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/>
      <c r="C37" s="147"/>
      <c r="D37" s="147"/>
      <c r="E37" s="465"/>
      <c r="F37" s="345" t="str">
        <f>IF(ISBLANK(E37),"  ",IF(B37&gt;0,E37/B37,IF(E37&gt;0,1,0)))</f>
        <v xml:space="preserve">  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5170712.209999999</v>
      </c>
      <c r="C39" s="147">
        <v>6267967</v>
      </c>
      <c r="D39" s="147">
        <v>6807967</v>
      </c>
      <c r="E39" s="465">
        <f>D39-B39</f>
        <v>1637254.790000001</v>
      </c>
      <c r="F39" s="399">
        <f>IF(ISBLANK(E39),"  ",IF(B39&gt;0,E39/B39,IF(E39&gt;0,1,0)))</f>
        <v>0.31664009202322269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v>12524823.529999999</v>
      </c>
      <c r="C41" s="147">
        <v>13018275</v>
      </c>
      <c r="D41" s="147">
        <v>13018275</v>
      </c>
      <c r="E41" s="465">
        <f>D41-B41</f>
        <v>493451.47000000067</v>
      </c>
      <c r="F41" s="345">
        <f>IF(ISBLANK(E41),"  ",IF(B41&gt;0,E41/B41,IF(E41&gt;0,1,0)))</f>
        <v>3.9397878047388403E-2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v>107357773.73999999</v>
      </c>
      <c r="C45" s="147">
        <v>109056440</v>
      </c>
      <c r="D45" s="147">
        <v>106298521</v>
      </c>
      <c r="E45" s="465">
        <f>D45-B45</f>
        <v>-1059252.7399999946</v>
      </c>
      <c r="F45" s="345">
        <f>IF(ISBLANK(E45),"  ",IF(B45&gt;0,E45/B45,IF(E45&gt;0,1,0)))</f>
        <v>-9.8665676745989753E-3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/>
      <c r="C49" s="154"/>
      <c r="D49" s="154"/>
      <c r="E49" s="178"/>
      <c r="F49" s="397" t="str">
        <f t="shared" ref="F49:F62" si="1">IF(ISBLANK(E49),"  ",IF(B49&gt;0,E49/B49,IF(E49&gt;0,1,0)))</f>
        <v xml:space="preserve">  </v>
      </c>
      <c r="G49" s="24"/>
      <c r="H49" s="24"/>
    </row>
    <row r="50" spans="1:8" ht="34.5">
      <c r="A50" s="156" t="s">
        <v>42</v>
      </c>
      <c r="B50" s="157">
        <v>49039861</v>
      </c>
      <c r="C50" s="157">
        <v>49316165</v>
      </c>
      <c r="D50" s="157">
        <v>47552292</v>
      </c>
      <c r="E50" s="178">
        <f t="shared" ref="E50:E62" si="2">D50-B50</f>
        <v>-1487569</v>
      </c>
      <c r="F50" s="369">
        <f t="shared" si="1"/>
        <v>-3.0333874722850457E-2</v>
      </c>
      <c r="G50" s="24"/>
      <c r="H50" s="24"/>
    </row>
    <row r="51" spans="1:8" ht="34.5">
      <c r="A51" s="158" t="s">
        <v>43</v>
      </c>
      <c r="B51" s="159">
        <v>39714527</v>
      </c>
      <c r="C51" s="159">
        <v>41130990</v>
      </c>
      <c r="D51" s="159">
        <v>39594458</v>
      </c>
      <c r="E51" s="178">
        <f t="shared" si="2"/>
        <v>-120069</v>
      </c>
      <c r="F51" s="369">
        <f t="shared" si="1"/>
        <v>-3.0233017756953269E-3</v>
      </c>
      <c r="G51" s="24"/>
      <c r="H51" s="24"/>
    </row>
    <row r="52" spans="1:8" ht="34.5">
      <c r="A52" s="158" t="s">
        <v>44</v>
      </c>
      <c r="B52" s="159">
        <v>3630127</v>
      </c>
      <c r="C52" s="159">
        <v>3671026</v>
      </c>
      <c r="D52" s="159">
        <v>3513599</v>
      </c>
      <c r="E52" s="178">
        <f t="shared" si="2"/>
        <v>-116528</v>
      </c>
      <c r="F52" s="369">
        <f t="shared" si="1"/>
        <v>-3.2100254343718555E-2</v>
      </c>
      <c r="G52" s="24"/>
      <c r="H52" s="24"/>
    </row>
    <row r="53" spans="1:8" ht="34.5">
      <c r="A53" s="156" t="s">
        <v>45</v>
      </c>
      <c r="B53" s="159"/>
      <c r="C53" s="159"/>
      <c r="D53" s="159"/>
      <c r="E53" s="178"/>
      <c r="F53" s="369" t="str">
        <f t="shared" si="1"/>
        <v xml:space="preserve">  </v>
      </c>
      <c r="G53" s="24"/>
      <c r="H53" s="24"/>
    </row>
    <row r="54" spans="1:8" ht="34.5">
      <c r="A54" s="153" t="s">
        <v>74</v>
      </c>
      <c r="B54" s="160">
        <v>10236736</v>
      </c>
      <c r="C54" s="160">
        <v>10575491</v>
      </c>
      <c r="D54" s="160">
        <v>11260134</v>
      </c>
      <c r="E54" s="178">
        <f t="shared" si="2"/>
        <v>1023398</v>
      </c>
      <c r="F54" s="369">
        <f t="shared" si="1"/>
        <v>9.99730773559072E-2</v>
      </c>
      <c r="G54" s="24"/>
      <c r="H54" s="24"/>
    </row>
    <row r="55" spans="1:8" ht="34.5">
      <c r="A55" s="117" t="s">
        <v>46</v>
      </c>
      <c r="B55" s="118"/>
      <c r="C55" s="118"/>
      <c r="D55" s="118"/>
      <c r="E55" s="178"/>
      <c r="F55" s="369" t="str">
        <f t="shared" si="1"/>
        <v xml:space="preserve">  </v>
      </c>
      <c r="G55" s="24"/>
      <c r="H55" s="24"/>
    </row>
    <row r="56" spans="1:8" ht="34.5">
      <c r="A56" s="117" t="s">
        <v>47</v>
      </c>
      <c r="B56" s="93">
        <v>4579526</v>
      </c>
      <c r="C56" s="93">
        <v>4362768</v>
      </c>
      <c r="D56" s="93">
        <v>4378038</v>
      </c>
      <c r="E56" s="178">
        <f t="shared" si="2"/>
        <v>-201488</v>
      </c>
      <c r="F56" s="369">
        <f t="shared" si="1"/>
        <v>-4.3997566560382013E-2</v>
      </c>
      <c r="G56" s="24"/>
      <c r="H56" s="24"/>
    </row>
    <row r="57" spans="1:8" ht="35.25">
      <c r="A57" s="114" t="s">
        <v>48</v>
      </c>
      <c r="B57" s="116">
        <v>107200777</v>
      </c>
      <c r="C57" s="116">
        <v>109056440</v>
      </c>
      <c r="D57" s="116">
        <v>106298521</v>
      </c>
      <c r="E57" s="465">
        <f t="shared" si="2"/>
        <v>-902256</v>
      </c>
      <c r="F57" s="390">
        <f t="shared" si="1"/>
        <v>-8.4165061602118792E-3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1"/>
        <v xml:space="preserve">  </v>
      </c>
      <c r="G58" s="24"/>
      <c r="H58" s="24"/>
    </row>
    <row r="59" spans="1:8" ht="34.5">
      <c r="A59" s="117" t="s">
        <v>50</v>
      </c>
      <c r="B59" s="93">
        <v>156997</v>
      </c>
      <c r="C59" s="93">
        <v>0</v>
      </c>
      <c r="D59" s="93">
        <v>0</v>
      </c>
      <c r="E59" s="178">
        <f t="shared" si="2"/>
        <v>-156997</v>
      </c>
      <c r="F59" s="369">
        <f t="shared" si="1"/>
        <v>-1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1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1"/>
        <v xml:space="preserve">  </v>
      </c>
      <c r="G61" s="24"/>
      <c r="H61" s="24"/>
    </row>
    <row r="62" spans="1:8" ht="35.25">
      <c r="A62" s="119" t="s">
        <v>53</v>
      </c>
      <c r="B62" s="120">
        <v>107357774</v>
      </c>
      <c r="C62" s="120">
        <v>109056440</v>
      </c>
      <c r="D62" s="120">
        <v>106298521</v>
      </c>
      <c r="E62" s="465">
        <f t="shared" si="2"/>
        <v>-1059253</v>
      </c>
      <c r="F62" s="344">
        <f t="shared" si="1"/>
        <v>-9.8665700725128671E-3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61882278</v>
      </c>
      <c r="C65" s="92">
        <v>59751164</v>
      </c>
      <c r="D65" s="92">
        <v>57996279</v>
      </c>
      <c r="E65" s="178">
        <f t="shared" ref="E65:E82" si="3">D65-B65</f>
        <v>-3885999</v>
      </c>
      <c r="F65" s="397">
        <f t="shared" ref="F65:F82" si="4">IF(ISBLANK(E65),"  ",IF(B65&gt;0,E65/B65,IF(E65&gt;0,1,0)))</f>
        <v>-6.2796637835472055E-2</v>
      </c>
      <c r="G65" s="24"/>
      <c r="H65" s="24"/>
    </row>
    <row r="66" spans="1:8" ht="34.5">
      <c r="A66" s="117" t="s">
        <v>56</v>
      </c>
      <c r="B66" s="118">
        <v>1918830</v>
      </c>
      <c r="C66" s="118">
        <v>1859356</v>
      </c>
      <c r="D66" s="118">
        <v>1745689</v>
      </c>
      <c r="E66" s="178">
        <f t="shared" si="3"/>
        <v>-173141</v>
      </c>
      <c r="F66" s="369">
        <f t="shared" si="4"/>
        <v>-9.023258965098524E-2</v>
      </c>
      <c r="G66" s="24"/>
      <c r="H66" s="24"/>
    </row>
    <row r="67" spans="1:8" ht="34.5">
      <c r="A67" s="117" t="s">
        <v>57</v>
      </c>
      <c r="B67" s="118">
        <v>21541745</v>
      </c>
      <c r="C67" s="118">
        <v>19470063</v>
      </c>
      <c r="D67" s="118">
        <v>20893863</v>
      </c>
      <c r="E67" s="178">
        <f t="shared" si="3"/>
        <v>-647882</v>
      </c>
      <c r="F67" s="369">
        <f t="shared" si="4"/>
        <v>-3.0075650788736009E-2</v>
      </c>
      <c r="G67" s="24"/>
      <c r="H67" s="24"/>
    </row>
    <row r="68" spans="1:8" ht="35.25">
      <c r="A68" s="175" t="s">
        <v>58</v>
      </c>
      <c r="B68" s="116">
        <v>85342853</v>
      </c>
      <c r="C68" s="116">
        <v>81080583</v>
      </c>
      <c r="D68" s="116">
        <v>80635831</v>
      </c>
      <c r="E68" s="465">
        <f t="shared" si="3"/>
        <v>-4707022</v>
      </c>
      <c r="F68" s="390">
        <f t="shared" si="4"/>
        <v>-5.5154261130688942E-2</v>
      </c>
      <c r="G68" s="24"/>
      <c r="H68" s="24"/>
    </row>
    <row r="69" spans="1:8" ht="34.5">
      <c r="A69" s="151" t="s">
        <v>59</v>
      </c>
      <c r="B69" s="166">
        <v>2312883</v>
      </c>
      <c r="C69" s="166">
        <v>2369599</v>
      </c>
      <c r="D69" s="166">
        <v>2427856</v>
      </c>
      <c r="E69" s="178">
        <f t="shared" si="3"/>
        <v>114973</v>
      </c>
      <c r="F69" s="369">
        <f t="shared" si="4"/>
        <v>4.9709821032884065E-2</v>
      </c>
      <c r="G69" s="24"/>
      <c r="H69" s="24"/>
    </row>
    <row r="70" spans="1:8" ht="34.5">
      <c r="A70" s="151" t="s">
        <v>60</v>
      </c>
      <c r="B70" s="166">
        <v>7789605</v>
      </c>
      <c r="C70" s="166">
        <v>12358248</v>
      </c>
      <c r="D70" s="166">
        <v>10629439</v>
      </c>
      <c r="E70" s="178">
        <f t="shared" si="3"/>
        <v>2839834</v>
      </c>
      <c r="F70" s="369">
        <f t="shared" si="4"/>
        <v>0.36456713787156086</v>
      </c>
      <c r="G70" s="24"/>
      <c r="H70" s="24"/>
    </row>
    <row r="71" spans="1:8" ht="34.5">
      <c r="A71" s="176" t="s">
        <v>61</v>
      </c>
      <c r="B71" s="177">
        <v>6162727</v>
      </c>
      <c r="C71" s="177">
        <v>7548392</v>
      </c>
      <c r="D71" s="177">
        <v>7593967</v>
      </c>
      <c r="E71" s="178">
        <f t="shared" si="3"/>
        <v>1431240</v>
      </c>
      <c r="F71" s="369">
        <f t="shared" si="4"/>
        <v>0.2322413438077007</v>
      </c>
      <c r="G71" s="24"/>
      <c r="H71" s="24"/>
    </row>
    <row r="72" spans="1:8" ht="35.25">
      <c r="A72" s="114" t="s">
        <v>62</v>
      </c>
      <c r="B72" s="116">
        <v>16265215</v>
      </c>
      <c r="C72" s="116">
        <v>22276239</v>
      </c>
      <c r="D72" s="116">
        <v>20651262</v>
      </c>
      <c r="E72" s="465">
        <f t="shared" si="3"/>
        <v>4386047</v>
      </c>
      <c r="F72" s="390">
        <f t="shared" si="4"/>
        <v>0.2696581016605068</v>
      </c>
      <c r="G72" s="24"/>
      <c r="H72" s="24"/>
    </row>
    <row r="73" spans="1:8" ht="34.5">
      <c r="A73" s="117" t="s">
        <v>63</v>
      </c>
      <c r="B73" s="118">
        <v>1015983</v>
      </c>
      <c r="C73" s="118">
        <v>335258</v>
      </c>
      <c r="D73" s="118">
        <v>581853</v>
      </c>
      <c r="E73" s="178">
        <f t="shared" si="3"/>
        <v>-434130</v>
      </c>
      <c r="F73" s="369">
        <f t="shared" si="4"/>
        <v>-0.42730045679898188</v>
      </c>
      <c r="G73" s="24"/>
      <c r="H73" s="24"/>
    </row>
    <row r="74" spans="1:8" ht="34.5">
      <c r="A74" s="126" t="s">
        <v>64</v>
      </c>
      <c r="B74" s="128">
        <v>344046</v>
      </c>
      <c r="C74" s="128">
        <v>1434106</v>
      </c>
      <c r="D74" s="128">
        <v>912884</v>
      </c>
      <c r="E74" s="178">
        <f t="shared" si="3"/>
        <v>568838</v>
      </c>
      <c r="F74" s="369">
        <f t="shared" si="4"/>
        <v>1.6533777459990815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>
        <v>2189635</v>
      </c>
      <c r="C76" s="118">
        <v>2032638</v>
      </c>
      <c r="D76" s="118">
        <v>2666637</v>
      </c>
      <c r="E76" s="178">
        <f t="shared" si="3"/>
        <v>477002</v>
      </c>
      <c r="F76" s="369">
        <f t="shared" si="4"/>
        <v>0.21784543999342357</v>
      </c>
      <c r="G76" s="24"/>
      <c r="H76" s="24"/>
    </row>
    <row r="77" spans="1:8" ht="35.25">
      <c r="A77" s="114" t="s">
        <v>67</v>
      </c>
      <c r="B77" s="116">
        <v>3549664</v>
      </c>
      <c r="C77" s="116">
        <v>3802002</v>
      </c>
      <c r="D77" s="116">
        <v>4161374</v>
      </c>
      <c r="E77" s="465">
        <f t="shared" si="3"/>
        <v>611710</v>
      </c>
      <c r="F77" s="390">
        <f t="shared" si="4"/>
        <v>0.17232898663084731</v>
      </c>
      <c r="G77" s="24"/>
      <c r="H77" s="24"/>
    </row>
    <row r="78" spans="1:8" ht="34.5">
      <c r="A78" s="117" t="s">
        <v>68</v>
      </c>
      <c r="B78" s="118">
        <v>2200042</v>
      </c>
      <c r="C78" s="118">
        <v>1897616</v>
      </c>
      <c r="D78" s="118">
        <v>850054</v>
      </c>
      <c r="E78" s="178">
        <f t="shared" si="3"/>
        <v>-1349988</v>
      </c>
      <c r="F78" s="369">
        <f t="shared" si="4"/>
        <v>-0.61361919454264968</v>
      </c>
      <c r="G78" s="24"/>
      <c r="H78" s="24"/>
    </row>
    <row r="79" spans="1:8" ht="34.5">
      <c r="A79" s="117" t="s">
        <v>69</v>
      </c>
      <c r="B79" s="118"/>
      <c r="C79" s="118"/>
      <c r="D79" s="118"/>
      <c r="E79" s="178"/>
      <c r="F79" s="369" t="str">
        <f t="shared" si="4"/>
        <v xml:space="preserve">  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v>2200042</v>
      </c>
      <c r="C81" s="116">
        <v>1897616</v>
      </c>
      <c r="D81" s="116">
        <v>850054</v>
      </c>
      <c r="E81" s="465">
        <f t="shared" si="3"/>
        <v>-1349988</v>
      </c>
      <c r="F81" s="390">
        <f t="shared" si="4"/>
        <v>-0.61361919454264968</v>
      </c>
      <c r="G81" s="24"/>
      <c r="H81" s="24"/>
    </row>
    <row r="82" spans="1:8" s="163" customFormat="1" ht="45" thickBot="1">
      <c r="A82" s="164" t="s">
        <v>53</v>
      </c>
      <c r="B82" s="165">
        <v>107357774</v>
      </c>
      <c r="C82" s="165">
        <v>109056440</v>
      </c>
      <c r="D82" s="165">
        <v>106298521</v>
      </c>
      <c r="E82" s="466">
        <f t="shared" si="3"/>
        <v>-1059253</v>
      </c>
      <c r="F82" s="348">
        <f t="shared" si="4"/>
        <v>-9.8665700725128671E-3</v>
      </c>
      <c r="G82" s="36"/>
      <c r="H82" s="36"/>
    </row>
    <row r="83" spans="1:8" s="163" customFormat="1" ht="44.25">
      <c r="A83" s="113"/>
      <c r="B83" s="36"/>
      <c r="C83" s="36"/>
      <c r="D83" s="36"/>
      <c r="E83" s="36"/>
      <c r="F83" s="351"/>
      <c r="G83" s="36"/>
      <c r="H83" s="36"/>
    </row>
    <row r="84" spans="1:8" s="163" customFormat="1" ht="44.25">
      <c r="A84" s="113" t="s">
        <v>96</v>
      </c>
      <c r="B84" s="36"/>
      <c r="C84" s="36"/>
      <c r="D84" s="36"/>
      <c r="E84" s="36"/>
      <c r="F84" s="351"/>
      <c r="G84" s="36"/>
      <c r="H84" s="36"/>
    </row>
    <row r="85" spans="1:8" s="163" customFormat="1" ht="44.25">
      <c r="A85" s="36" t="s">
        <v>86</v>
      </c>
      <c r="B85" s="36"/>
      <c r="C85" s="36"/>
      <c r="D85" s="36"/>
      <c r="E85" s="36"/>
      <c r="F85" s="351"/>
      <c r="G85" s="36"/>
      <c r="H85" s="36"/>
    </row>
    <row r="86" spans="1:8">
      <c r="A86" s="24"/>
      <c r="B86" s="24"/>
      <c r="C86" s="24"/>
      <c r="D86" s="24"/>
      <c r="E86" s="24"/>
      <c r="F86" s="353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</sheetData>
  <phoneticPr fontId="5" type="noConversion"/>
  <printOptions horizontalCentered="1"/>
  <pageMargins left="0.45" right="0.45" top="0.5" bottom="0.5" header="0.17" footer="0.01"/>
  <pageSetup scale="2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8"/>
  <sheetViews>
    <sheetView topLeftCell="A46" zoomScale="30" zoomScaleNormal="100" workbookViewId="0">
      <selection activeCell="C5" sqref="C5"/>
    </sheetView>
  </sheetViews>
  <sheetFormatPr defaultRowHeight="15"/>
  <cols>
    <col min="1" max="1" width="115.777343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92</v>
      </c>
      <c r="E1" s="5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17297805</v>
      </c>
      <c r="C8" s="92">
        <v>17297805</v>
      </c>
      <c r="D8" s="92">
        <v>11666411</v>
      </c>
      <c r="E8" s="178">
        <f>D8-B8</f>
        <v>-5631394</v>
      </c>
      <c r="F8" s="397">
        <f>IF(ISBLANK(E8),"  ",IF(B8&gt;0,E8/B8,IF(E8&gt;0,1,0)))</f>
        <v>-0.32555541006503425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1081928</v>
      </c>
      <c r="E9" s="178">
        <f>D9-B9</f>
        <v>1081928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946203</v>
      </c>
      <c r="C10" s="93">
        <f>SUM(C11:C25)</f>
        <v>969650</v>
      </c>
      <c r="D10" s="93">
        <f>SUM(D11:D25)</f>
        <v>766029</v>
      </c>
      <c r="E10" s="160">
        <f>D10-C10</f>
        <v>-203621</v>
      </c>
      <c r="F10" s="369">
        <f t="shared" si="0"/>
        <v>-0.21519800719295964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91526</v>
      </c>
      <c r="E11" s="178">
        <f>D11-B11</f>
        <v>91526</v>
      </c>
      <c r="F11" s="369">
        <f t="shared" si="0"/>
        <v>1</v>
      </c>
      <c r="G11" s="24"/>
      <c r="H11" s="24"/>
      <c r="I11" s="24" t="s">
        <v>35</v>
      </c>
      <c r="J11" s="24"/>
    </row>
    <row r="12" spans="1:10" ht="34.5">
      <c r="A12" s="31" t="s">
        <v>17</v>
      </c>
      <c r="B12" s="93">
        <v>756203</v>
      </c>
      <c r="C12" s="93">
        <v>779650</v>
      </c>
      <c r="D12" s="93">
        <v>674503</v>
      </c>
      <c r="E12" s="178">
        <f>D12-B12</f>
        <v>-81700</v>
      </c>
      <c r="F12" s="369">
        <f t="shared" si="0"/>
        <v>-0.10803977238916006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>
        <v>190000</v>
      </c>
      <c r="C25" s="93">
        <v>190000</v>
      </c>
      <c r="D25" s="93">
        <v>0</v>
      </c>
      <c r="E25" s="178">
        <f>D25-B25</f>
        <v>-190000</v>
      </c>
      <c r="F25" s="369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18244008</v>
      </c>
      <c r="C31" s="122">
        <f>SUM(C8:C10,C26:C30)</f>
        <v>18267455</v>
      </c>
      <c r="D31" s="122">
        <f>SUM(D8:D10,D26:D30)</f>
        <v>13514368</v>
      </c>
      <c r="E31" s="465">
        <f>D31-B31</f>
        <v>-4729640</v>
      </c>
      <c r="F31" s="390">
        <f t="shared" si="0"/>
        <v>-0.25924347325434194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465"/>
      <c r="F33" s="34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3043779</v>
      </c>
      <c r="E37" s="465">
        <f>D37-B37</f>
        <v>3043779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>29437100-B31+1284294</f>
        <v>12477386</v>
      </c>
      <c r="C39" s="147">
        <v>13276974</v>
      </c>
      <c r="D39" s="147">
        <v>14011180</v>
      </c>
      <c r="E39" s="465">
        <f>D39-B39</f>
        <v>1533794</v>
      </c>
      <c r="F39" s="399">
        <f>IF(ISBLANK(E39),"  ",IF(B39&gt;0,E39/B39,IF(E39&gt;0,1,0)))</f>
        <v>0.12292590771817109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30721394</v>
      </c>
      <c r="C45" s="147">
        <f>SUM(C43,C41,C39,C35,C33,C31)</f>
        <v>31544429</v>
      </c>
      <c r="D45" s="147">
        <f>+D43+D41+D39+D37+D35+D33+D31</f>
        <v>30569327</v>
      </c>
      <c r="E45" s="465">
        <f>D45-B45</f>
        <v>-152067</v>
      </c>
      <c r="F45" s="345">
        <f>IF(ISBLANK(E45),"  ",IF(B45&gt;0,E45/B45,IF(E45&gt;0,1,0)))</f>
        <v>-4.9498730428703857E-3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9" ht="34.5">
      <c r="A49" s="155" t="s">
        <v>41</v>
      </c>
      <c r="B49" s="154">
        <v>14581402</v>
      </c>
      <c r="C49" s="154">
        <v>15398371</v>
      </c>
      <c r="D49" s="154">
        <v>14124426</v>
      </c>
      <c r="E49" s="178">
        <f t="shared" ref="E49:E62" si="1">D49-B49</f>
        <v>-456976</v>
      </c>
      <c r="F49" s="397">
        <f t="shared" ref="F49:F62" si="2">IF(ISBLANK(E49),"  ",IF(B49&gt;0,E49/B49,IF(E49&gt;0,1,0)))</f>
        <v>-3.1339647586699826E-2</v>
      </c>
      <c r="G49" s="24"/>
      <c r="H49" s="24"/>
    </row>
    <row r="50" spans="1:9" ht="34.5">
      <c r="A50" s="156" t="s">
        <v>42</v>
      </c>
      <c r="B50" s="157">
        <v>171484</v>
      </c>
      <c r="C50" s="157">
        <v>155125</v>
      </c>
      <c r="D50" s="157">
        <v>65258</v>
      </c>
      <c r="E50" s="178">
        <f t="shared" si="1"/>
        <v>-106226</v>
      </c>
      <c r="F50" s="369">
        <f t="shared" si="2"/>
        <v>-0.61945137738797784</v>
      </c>
      <c r="G50" s="24"/>
      <c r="H50" s="24"/>
    </row>
    <row r="51" spans="1:9" ht="34.5">
      <c r="A51" s="158" t="s">
        <v>43</v>
      </c>
      <c r="B51" s="159">
        <v>100</v>
      </c>
      <c r="C51" s="159">
        <v>0</v>
      </c>
      <c r="D51" s="159">
        <v>0</v>
      </c>
      <c r="E51" s="178">
        <f t="shared" si="1"/>
        <v>-100</v>
      </c>
      <c r="F51" s="369">
        <f t="shared" si="2"/>
        <v>-1</v>
      </c>
      <c r="G51" s="24"/>
      <c r="H51" s="24"/>
    </row>
    <row r="52" spans="1:9" ht="34.5">
      <c r="A52" s="158" t="s">
        <v>44</v>
      </c>
      <c r="B52" s="159">
        <v>3453328</v>
      </c>
      <c r="C52" s="159">
        <v>3613183</v>
      </c>
      <c r="D52" s="159">
        <v>3384337</v>
      </c>
      <c r="E52" s="178">
        <f t="shared" si="1"/>
        <v>-68991</v>
      </c>
      <c r="F52" s="369">
        <f t="shared" si="2"/>
        <v>-1.9978119657327657E-2</v>
      </c>
      <c r="G52" s="24"/>
      <c r="H52" s="24"/>
    </row>
    <row r="53" spans="1:9" ht="34.5">
      <c r="A53" s="156" t="s">
        <v>45</v>
      </c>
      <c r="B53" s="159">
        <v>1941673</v>
      </c>
      <c r="C53" s="159">
        <v>2022202</v>
      </c>
      <c r="D53" s="159">
        <v>2364054</v>
      </c>
      <c r="E53" s="178">
        <f t="shared" si="1"/>
        <v>422381</v>
      </c>
      <c r="F53" s="369">
        <f t="shared" si="2"/>
        <v>0.21753456941513838</v>
      </c>
      <c r="G53" s="24"/>
      <c r="H53" s="24"/>
    </row>
    <row r="54" spans="1:9" ht="34.5">
      <c r="A54" s="153" t="s">
        <v>74</v>
      </c>
      <c r="B54" s="160">
        <v>5063826</v>
      </c>
      <c r="C54" s="160">
        <v>4871357</v>
      </c>
      <c r="D54" s="160">
        <v>4667129</v>
      </c>
      <c r="E54" s="178">
        <f t="shared" si="1"/>
        <v>-396697</v>
      </c>
      <c r="F54" s="369">
        <f t="shared" si="2"/>
        <v>-7.8339382119369819E-2</v>
      </c>
      <c r="G54" s="24"/>
      <c r="H54" s="24"/>
    </row>
    <row r="55" spans="1:9" ht="34.5">
      <c r="A55" s="117" t="s">
        <v>46</v>
      </c>
      <c r="B55" s="118">
        <f>1012501+1284294</f>
        <v>2296795</v>
      </c>
      <c r="C55" s="118">
        <v>2178000</v>
      </c>
      <c r="D55" s="118">
        <v>2689004</v>
      </c>
      <c r="E55" s="178">
        <f t="shared" si="1"/>
        <v>392209</v>
      </c>
      <c r="F55" s="369">
        <f t="shared" si="2"/>
        <v>0.17076360754877992</v>
      </c>
      <c r="G55" s="24"/>
      <c r="H55" s="24"/>
    </row>
    <row r="56" spans="1:9" ht="34.5">
      <c r="A56" s="117" t="s">
        <v>47</v>
      </c>
      <c r="B56" s="93">
        <v>2992786</v>
      </c>
      <c r="C56" s="93">
        <v>3006070</v>
      </c>
      <c r="D56" s="93">
        <v>3161264</v>
      </c>
      <c r="E56" s="178">
        <f t="shared" si="1"/>
        <v>168478</v>
      </c>
      <c r="F56" s="369">
        <f t="shared" si="2"/>
        <v>5.6294703329940729E-2</v>
      </c>
      <c r="G56" s="24"/>
      <c r="H56" s="24"/>
    </row>
    <row r="57" spans="1:9" ht="35.25">
      <c r="A57" s="114" t="s">
        <v>48</v>
      </c>
      <c r="B57" s="116">
        <f>SUM(B49:B56)</f>
        <v>30501394</v>
      </c>
      <c r="C57" s="116">
        <f>SUM(C49:C56)</f>
        <v>31244308</v>
      </c>
      <c r="D57" s="116">
        <f>SUM(D49:D56)</f>
        <v>30455472</v>
      </c>
      <c r="E57" s="465">
        <f t="shared" si="1"/>
        <v>-45922</v>
      </c>
      <c r="F57" s="390">
        <f t="shared" si="2"/>
        <v>-1.5055705322845245E-3</v>
      </c>
      <c r="G57" s="24"/>
      <c r="H57" s="24"/>
    </row>
    <row r="58" spans="1:9" ht="34.5">
      <c r="A58" s="117" t="s">
        <v>49</v>
      </c>
      <c r="B58" s="93"/>
      <c r="C58" s="93"/>
      <c r="D58" s="93"/>
      <c r="E58" s="178"/>
      <c r="F58" s="369" t="str">
        <f t="shared" si="2"/>
        <v xml:space="preserve">  </v>
      </c>
      <c r="G58" s="24"/>
      <c r="H58" s="24"/>
    </row>
    <row r="59" spans="1:9" ht="34.5">
      <c r="A59" s="117" t="s">
        <v>50</v>
      </c>
      <c r="B59" s="93">
        <v>0</v>
      </c>
      <c r="C59" s="93">
        <v>80121</v>
      </c>
      <c r="D59" s="93">
        <v>113855</v>
      </c>
      <c r="E59" s="178">
        <f t="shared" si="1"/>
        <v>113855</v>
      </c>
      <c r="F59" s="369">
        <f t="shared" si="2"/>
        <v>1</v>
      </c>
      <c r="G59" s="24"/>
      <c r="H59" s="24"/>
      <c r="I59" s="16" t="s">
        <v>35</v>
      </c>
    </row>
    <row r="60" spans="1:9" ht="34.5">
      <c r="A60" s="117" t="s">
        <v>51</v>
      </c>
      <c r="B60" s="118">
        <v>220000</v>
      </c>
      <c r="C60" s="118">
        <v>220000</v>
      </c>
      <c r="D60" s="118">
        <v>0</v>
      </c>
      <c r="E60" s="178">
        <f t="shared" si="1"/>
        <v>-220000</v>
      </c>
      <c r="F60" s="369">
        <f t="shared" si="2"/>
        <v>-1</v>
      </c>
      <c r="G60" s="24"/>
      <c r="H60" s="24"/>
    </row>
    <row r="61" spans="1:9" ht="35.25">
      <c r="A61" s="150" t="s">
        <v>52</v>
      </c>
      <c r="B61" s="173"/>
      <c r="C61" s="173"/>
      <c r="D61" s="173"/>
      <c r="E61" s="178"/>
      <c r="F61" s="369" t="str">
        <f t="shared" si="2"/>
        <v xml:space="preserve">  </v>
      </c>
      <c r="G61" s="24"/>
      <c r="H61" s="24"/>
    </row>
    <row r="62" spans="1:9" ht="35.25">
      <c r="A62" s="119" t="s">
        <v>53</v>
      </c>
      <c r="B62" s="120">
        <f>SUM(B57:B61)</f>
        <v>30721394</v>
      </c>
      <c r="C62" s="120">
        <f>SUM(C57:C61)</f>
        <v>31544429</v>
      </c>
      <c r="D62" s="120">
        <f>SUM(D57:D61)</f>
        <v>30569327</v>
      </c>
      <c r="E62" s="465">
        <f t="shared" si="1"/>
        <v>-152067</v>
      </c>
      <c r="F62" s="344">
        <f t="shared" si="2"/>
        <v>-4.9498730428703857E-3</v>
      </c>
      <c r="G62" s="24"/>
      <c r="H62" s="24"/>
    </row>
    <row r="63" spans="1:9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9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11" ht="34.5">
      <c r="A65" s="30" t="s">
        <v>55</v>
      </c>
      <c r="B65" s="92">
        <v>17345055</v>
      </c>
      <c r="C65" s="92">
        <v>17775717</v>
      </c>
      <c r="D65" s="92">
        <v>16975573</v>
      </c>
      <c r="E65" s="178">
        <f t="shared" ref="E65:E82" si="3">D65-B65</f>
        <v>-369482</v>
      </c>
      <c r="F65" s="397">
        <f t="shared" ref="F65:F82" si="4">IF(ISBLANK(E65),"  ",IF(B65&gt;0,E65/B65,IF(E65&gt;0,1,0)))</f>
        <v>-2.1301863845343817E-2</v>
      </c>
      <c r="G65" s="24"/>
      <c r="H65" s="24"/>
    </row>
    <row r="66" spans="1:11" ht="34.5">
      <c r="A66" s="117" t="s">
        <v>56</v>
      </c>
      <c r="B66" s="118">
        <v>454591</v>
      </c>
      <c r="C66" s="118">
        <v>651114</v>
      </c>
      <c r="D66" s="118">
        <v>568614</v>
      </c>
      <c r="E66" s="178">
        <f t="shared" si="3"/>
        <v>114023</v>
      </c>
      <c r="F66" s="369">
        <f t="shared" si="4"/>
        <v>0.25082546728817773</v>
      </c>
      <c r="G66" s="24"/>
      <c r="H66" s="24"/>
    </row>
    <row r="67" spans="1:11" ht="34.5">
      <c r="A67" s="117" t="s">
        <v>57</v>
      </c>
      <c r="B67" s="118">
        <v>5325879</v>
      </c>
      <c r="C67" s="118">
        <v>5749699</v>
      </c>
      <c r="D67" s="118">
        <v>5283288</v>
      </c>
      <c r="E67" s="178">
        <f t="shared" si="3"/>
        <v>-42591</v>
      </c>
      <c r="F67" s="369">
        <f t="shared" si="4"/>
        <v>-7.9969897926708434E-3</v>
      </c>
      <c r="G67" s="24"/>
      <c r="H67" s="24"/>
    </row>
    <row r="68" spans="1:11" ht="35.25">
      <c r="A68" s="175" t="s">
        <v>58</v>
      </c>
      <c r="B68" s="116">
        <f>SUM(B65:B67)</f>
        <v>23125525</v>
      </c>
      <c r="C68" s="116">
        <f>SUM(C65:C67)</f>
        <v>24176530</v>
      </c>
      <c r="D68" s="116">
        <f>SUM(D65:D67)</f>
        <v>22827475</v>
      </c>
      <c r="E68" s="465">
        <f t="shared" si="3"/>
        <v>-298050</v>
      </c>
      <c r="F68" s="390">
        <f t="shared" si="4"/>
        <v>-1.2888356048132961E-2</v>
      </c>
      <c r="G68" s="24"/>
      <c r="H68" s="24"/>
    </row>
    <row r="69" spans="1:11" ht="34.5">
      <c r="A69" s="151" t="s">
        <v>59</v>
      </c>
      <c r="B69" s="166">
        <v>231567</v>
      </c>
      <c r="C69" s="166">
        <v>238952</v>
      </c>
      <c r="D69" s="166">
        <v>93452</v>
      </c>
      <c r="E69" s="178">
        <f t="shared" si="3"/>
        <v>-138115</v>
      </c>
      <c r="F69" s="369">
        <f t="shared" si="4"/>
        <v>-0.59643645251698207</v>
      </c>
      <c r="G69" s="24"/>
      <c r="H69" s="24"/>
    </row>
    <row r="70" spans="1:11" ht="34.5">
      <c r="A70" s="151" t="s">
        <v>60</v>
      </c>
      <c r="B70" s="166">
        <v>2301570</v>
      </c>
      <c r="C70" s="166">
        <v>2513775</v>
      </c>
      <c r="D70" s="166">
        <v>2573494</v>
      </c>
      <c r="E70" s="178">
        <f t="shared" si="3"/>
        <v>271924</v>
      </c>
      <c r="F70" s="369">
        <f t="shared" si="4"/>
        <v>0.1181471777960262</v>
      </c>
      <c r="G70" s="24"/>
      <c r="H70" s="24"/>
    </row>
    <row r="71" spans="1:11" ht="34.5">
      <c r="A71" s="176" t="s">
        <v>61</v>
      </c>
      <c r="B71" s="177">
        <v>925386</v>
      </c>
      <c r="C71" s="177">
        <v>734478</v>
      </c>
      <c r="D71" s="177">
        <v>771034</v>
      </c>
      <c r="E71" s="178">
        <f t="shared" si="3"/>
        <v>-154352</v>
      </c>
      <c r="F71" s="369">
        <f t="shared" si="4"/>
        <v>-0.16679742291324917</v>
      </c>
      <c r="G71" s="24"/>
      <c r="H71" s="24"/>
    </row>
    <row r="72" spans="1:11" ht="35.25">
      <c r="A72" s="114" t="s">
        <v>62</v>
      </c>
      <c r="B72" s="116">
        <f>SUM(B69:B71)</f>
        <v>3458523</v>
      </c>
      <c r="C72" s="116">
        <f>SUM(C69:C71)</f>
        <v>3487205</v>
      </c>
      <c r="D72" s="116">
        <f>SUM(D69:D71)</f>
        <v>3437980</v>
      </c>
      <c r="E72" s="465">
        <f t="shared" si="3"/>
        <v>-20543</v>
      </c>
      <c r="F72" s="390">
        <f t="shared" si="4"/>
        <v>-5.9398188186112972E-3</v>
      </c>
      <c r="G72" s="24"/>
      <c r="H72" s="24"/>
    </row>
    <row r="73" spans="1:11" ht="34.5">
      <c r="A73" s="117" t="s">
        <v>63</v>
      </c>
      <c r="B73" s="118">
        <v>395276</v>
      </c>
      <c r="C73" s="118">
        <v>211699</v>
      </c>
      <c r="D73" s="118">
        <v>245699</v>
      </c>
      <c r="E73" s="178">
        <f t="shared" si="3"/>
        <v>-149577</v>
      </c>
      <c r="F73" s="369">
        <f t="shared" si="4"/>
        <v>-0.37841154029083474</v>
      </c>
      <c r="G73" s="24"/>
      <c r="H73" s="24"/>
    </row>
    <row r="74" spans="1:11" ht="34.5">
      <c r="A74" s="126" t="s">
        <v>64</v>
      </c>
      <c r="B74" s="128">
        <f>1770277+220000-B76+1284294</f>
        <v>2606902</v>
      </c>
      <c r="C74" s="128">
        <v>2300011</v>
      </c>
      <c r="D74" s="128">
        <v>2776304</v>
      </c>
      <c r="E74" s="178">
        <f t="shared" si="3"/>
        <v>169402</v>
      </c>
      <c r="F74" s="369">
        <f t="shared" si="4"/>
        <v>6.4982112868070985E-2</v>
      </c>
      <c r="G74" s="24"/>
      <c r="H74" s="24"/>
    </row>
    <row r="75" spans="1:11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11" ht="34.5">
      <c r="A76" s="117" t="s">
        <v>66</v>
      </c>
      <c r="B76" s="118">
        <v>667669</v>
      </c>
      <c r="C76" s="118">
        <v>980516</v>
      </c>
      <c r="D76" s="118">
        <v>1036576</v>
      </c>
      <c r="E76" s="178">
        <f t="shared" si="3"/>
        <v>368907</v>
      </c>
      <c r="F76" s="369">
        <f t="shared" si="4"/>
        <v>0.55252977148856697</v>
      </c>
      <c r="G76" s="24"/>
      <c r="H76" s="24"/>
      <c r="J76" s="16" t="s">
        <v>35</v>
      </c>
      <c r="K76" s="16" t="s">
        <v>35</v>
      </c>
    </row>
    <row r="77" spans="1:11" ht="35.25">
      <c r="A77" s="114" t="s">
        <v>67</v>
      </c>
      <c r="B77" s="116">
        <f>SUM(B73:B76)</f>
        <v>3669847</v>
      </c>
      <c r="C77" s="116">
        <f>SUM(C73:C76)</f>
        <v>3492226</v>
      </c>
      <c r="D77" s="116">
        <f>SUM(D73:D76)</f>
        <v>4058579</v>
      </c>
      <c r="E77" s="465">
        <f t="shared" si="3"/>
        <v>388732</v>
      </c>
      <c r="F77" s="390">
        <f t="shared" si="4"/>
        <v>0.1059259418716911</v>
      </c>
      <c r="G77" s="24"/>
      <c r="H77" s="24"/>
    </row>
    <row r="78" spans="1:11" ht="34.5">
      <c r="A78" s="117" t="s">
        <v>68</v>
      </c>
      <c r="B78" s="118">
        <f>467499-B79</f>
        <v>223481</v>
      </c>
      <c r="C78" s="118">
        <v>130566</v>
      </c>
      <c r="D78" s="118">
        <v>95667</v>
      </c>
      <c r="E78" s="178">
        <f t="shared" si="3"/>
        <v>-127814</v>
      </c>
      <c r="F78" s="369">
        <f t="shared" si="4"/>
        <v>-0.57192334023921498</v>
      </c>
      <c r="G78" s="24"/>
      <c r="H78" s="24"/>
    </row>
    <row r="79" spans="1:11" ht="34.5">
      <c r="A79" s="117" t="s">
        <v>69</v>
      </c>
      <c r="B79" s="118">
        <v>244018</v>
      </c>
      <c r="C79" s="118">
        <v>257902</v>
      </c>
      <c r="D79" s="118">
        <v>149626</v>
      </c>
      <c r="E79" s="178">
        <f t="shared" si="3"/>
        <v>-94392</v>
      </c>
      <c r="F79" s="369">
        <f t="shared" si="4"/>
        <v>-0.38682392282536532</v>
      </c>
      <c r="G79" s="24"/>
      <c r="H79" s="24"/>
    </row>
    <row r="80" spans="1:11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  <c r="I80" s="16" t="s">
        <v>35</v>
      </c>
    </row>
    <row r="81" spans="1:9" ht="35.25">
      <c r="A81" s="114" t="s">
        <v>71</v>
      </c>
      <c r="B81" s="116">
        <f>SUM(B78:B80)</f>
        <v>467499</v>
      </c>
      <c r="C81" s="116">
        <f>SUM(C78:C80)</f>
        <v>388468</v>
      </c>
      <c r="D81" s="116">
        <f>SUM(D78:D80)</f>
        <v>245293</v>
      </c>
      <c r="E81" s="465">
        <f t="shared" si="3"/>
        <v>-222206</v>
      </c>
      <c r="F81" s="390">
        <f t="shared" si="4"/>
        <v>-0.47530796857319479</v>
      </c>
      <c r="G81" s="24"/>
      <c r="H81" s="24"/>
      <c r="I81" s="16" t="s">
        <v>35</v>
      </c>
    </row>
    <row r="82" spans="1:9" s="163" customFormat="1" ht="45" thickBot="1">
      <c r="A82" s="164" t="s">
        <v>53</v>
      </c>
      <c r="B82" s="165">
        <f>+B81+B77+B72+B68</f>
        <v>30721394</v>
      </c>
      <c r="C82" s="165">
        <f>+C81+C77+C72+C68</f>
        <v>31544429</v>
      </c>
      <c r="D82" s="165">
        <f>+D81+D77+D72+D68</f>
        <v>30569327</v>
      </c>
      <c r="E82" s="466">
        <f t="shared" si="3"/>
        <v>-152067</v>
      </c>
      <c r="F82" s="348">
        <f t="shared" si="4"/>
        <v>-4.9498730428703857E-3</v>
      </c>
      <c r="G82" s="36"/>
      <c r="H82" s="36"/>
      <c r="I82" s="163" t="s">
        <v>35</v>
      </c>
    </row>
    <row r="83" spans="1:9" s="163" customFormat="1" ht="44.25">
      <c r="A83" s="113"/>
      <c r="B83" s="36"/>
      <c r="C83" s="36"/>
      <c r="D83" s="36"/>
      <c r="E83" s="36"/>
      <c r="F83" s="351"/>
      <c r="G83" s="36"/>
      <c r="H83" s="36"/>
    </row>
    <row r="84" spans="1:9" s="163" customFormat="1" ht="44.25">
      <c r="A84" s="113" t="s">
        <v>96</v>
      </c>
      <c r="B84" s="36"/>
      <c r="C84" s="36"/>
      <c r="D84" s="36"/>
      <c r="E84" s="36"/>
      <c r="F84" s="351"/>
      <c r="G84" s="36"/>
      <c r="H84" s="36"/>
    </row>
    <row r="85" spans="1:9" ht="44.25">
      <c r="A85" s="36" t="s">
        <v>86</v>
      </c>
      <c r="B85" s="24"/>
      <c r="C85" s="24"/>
      <c r="D85" s="24"/>
      <c r="E85" s="24"/>
      <c r="F85" s="353"/>
      <c r="G85" s="24"/>
      <c r="H85" s="24"/>
    </row>
    <row r="86" spans="1:9">
      <c r="A86" s="24"/>
      <c r="B86" s="24"/>
      <c r="C86" s="24"/>
      <c r="D86" s="24"/>
      <c r="E86" s="24"/>
      <c r="F86" s="353"/>
      <c r="G86" s="24"/>
      <c r="H86" s="24"/>
    </row>
    <row r="87" spans="1:9">
      <c r="A87" s="24"/>
      <c r="B87" s="24"/>
      <c r="C87" s="24"/>
      <c r="D87" s="24"/>
      <c r="E87" s="24"/>
      <c r="F87" s="353"/>
      <c r="G87" s="24"/>
      <c r="H87" s="24"/>
    </row>
    <row r="88" spans="1:9">
      <c r="A88" s="24"/>
      <c r="B88" s="24"/>
      <c r="C88" s="24"/>
      <c r="D88" s="24"/>
      <c r="E88" s="24"/>
      <c r="F88" s="353"/>
      <c r="G88" s="24"/>
      <c r="H88" s="24"/>
    </row>
  </sheetData>
  <phoneticPr fontId="5" type="noConversion"/>
  <printOptions horizontalCentered="1"/>
  <pageMargins left="0.45" right="0.45" top="0.5" bottom="0.5" header="0.3" footer="0.3"/>
  <pageSetup scale="24" orientation="portrait" r:id="rId1"/>
  <rowBreaks count="1" manualBreakCount="1">
    <brk id="85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7"/>
  <sheetViews>
    <sheetView showOutlineSymbols="0" zoomScale="30" zoomScaleNormal="100" workbookViewId="0">
      <selection activeCell="C5" sqref="C5"/>
    </sheetView>
  </sheetViews>
  <sheetFormatPr defaultRowHeight="15"/>
  <cols>
    <col min="1" max="1" width="115.77734375" style="16" customWidth="1"/>
    <col min="2" max="2" width="29.777343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291</v>
      </c>
      <c r="E1" s="5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12090058</v>
      </c>
      <c r="C8" s="92">
        <v>12090058</v>
      </c>
      <c r="D8" s="92">
        <v>8040907</v>
      </c>
      <c r="E8" s="178">
        <f>D8-B8</f>
        <v>-4049151</v>
      </c>
      <c r="F8" s="397">
        <f>IF(ISBLANK(E8),"  ",IF(B8&gt;0,E8/B8,IF(E8&gt;0,1,0)))</f>
        <v>-0.33491576301784493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659355</v>
      </c>
      <c r="E9" s="178">
        <f>D9-B9</f>
        <v>659355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321285</v>
      </c>
      <c r="C10" s="93">
        <f>SUM(C11:C25)</f>
        <v>331247</v>
      </c>
      <c r="D10" s="93">
        <f>SUM(D11:D25)</f>
        <v>342351</v>
      </c>
      <c r="E10" s="160">
        <f>D10-C10</f>
        <v>11104</v>
      </c>
      <c r="F10" s="369">
        <f t="shared" si="0"/>
        <v>3.4561215120531612E-2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55778</v>
      </c>
      <c r="E11" s="178">
        <f>D11-B11</f>
        <v>55778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321285</v>
      </c>
      <c r="C12" s="93">
        <v>331247</v>
      </c>
      <c r="D12" s="93">
        <v>286573</v>
      </c>
      <c r="E12" s="178">
        <f>D12-B12</f>
        <v>-34712</v>
      </c>
      <c r="F12" s="369">
        <f t="shared" si="0"/>
        <v>-0.10804114726800193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12411343</v>
      </c>
      <c r="C31" s="122">
        <f>SUM(C8:C10,C26:C30)</f>
        <v>12421305</v>
      </c>
      <c r="D31" s="122">
        <f>SUM(D8:D10,D26:D30)</f>
        <v>9042613</v>
      </c>
      <c r="E31" s="465">
        <f>D31-B31</f>
        <v>-3368730</v>
      </c>
      <c r="F31" s="390">
        <f t="shared" si="0"/>
        <v>-0.271423487369578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465"/>
      <c r="F33" s="34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v>200000</v>
      </c>
      <c r="C35" s="147">
        <v>200000</v>
      </c>
      <c r="D35" s="147">
        <v>0</v>
      </c>
      <c r="E35" s="465">
        <f>D35-B35</f>
        <v>-200000</v>
      </c>
      <c r="F35" s="399">
        <f>IF(ISBLANK(E35),"  ",IF(B35&gt;0,E35/B35,IF(E35&gt;0,1,0)))</f>
        <v>-1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2469134</v>
      </c>
      <c r="E37" s="465">
        <f>D37-B37</f>
        <v>2469134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7016354</v>
      </c>
      <c r="C39" s="147">
        <v>8050704</v>
      </c>
      <c r="D39" s="147">
        <v>8379167</v>
      </c>
      <c r="E39" s="465">
        <f>D39-B39</f>
        <v>1362813</v>
      </c>
      <c r="F39" s="399">
        <f>IF(ISBLANK(E39),"  ",IF(B39&gt;0,E39/B39,IF(E39&gt;0,1,0)))</f>
        <v>0.19423378580955294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19627697</v>
      </c>
      <c r="C45" s="147">
        <f>SUM(C31:C44)</f>
        <v>20672009</v>
      </c>
      <c r="D45" s="147">
        <f>SUM(D31:D44)</f>
        <v>19890914</v>
      </c>
      <c r="E45" s="465">
        <f>D45-B45</f>
        <v>263217</v>
      </c>
      <c r="F45" s="345">
        <f>IF(ISBLANK(E45),"  ",IF(B45&gt;0,E45/B45,IF(E45&gt;0,1,0)))</f>
        <v>1.3410488250353569E-2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9181802</v>
      </c>
      <c r="C49" s="154">
        <v>10882954</v>
      </c>
      <c r="D49" s="154">
        <v>10704514</v>
      </c>
      <c r="E49" s="178">
        <f t="shared" ref="E49:E62" si="1">D49-B49</f>
        <v>1522712</v>
      </c>
      <c r="F49" s="397">
        <f t="shared" ref="F49:F62" si="2">IF(ISBLANK(E49),"  ",IF(B49&gt;0,E49/B49,IF(E49&gt;0,1,0)))</f>
        <v>0.16584021306492996</v>
      </c>
      <c r="G49" s="24"/>
      <c r="H49" s="24"/>
    </row>
    <row r="50" spans="1:8" ht="34.5">
      <c r="A50" s="156" t="s">
        <v>42</v>
      </c>
      <c r="B50" s="157"/>
      <c r="C50" s="157"/>
      <c r="D50" s="157"/>
      <c r="E50" s="178"/>
      <c r="F50" s="369" t="str">
        <f t="shared" si="2"/>
        <v xml:space="preserve">  </v>
      </c>
      <c r="G50" s="24"/>
      <c r="H50" s="24"/>
    </row>
    <row r="51" spans="1:8" ht="34.5">
      <c r="A51" s="158" t="s">
        <v>43</v>
      </c>
      <c r="B51" s="159"/>
      <c r="C51" s="159"/>
      <c r="D51" s="159"/>
      <c r="E51" s="178"/>
      <c r="F51" s="369" t="str">
        <f t="shared" si="2"/>
        <v xml:space="preserve">  </v>
      </c>
      <c r="G51" s="24"/>
      <c r="H51" s="24"/>
    </row>
    <row r="52" spans="1:8" ht="34.5">
      <c r="A52" s="158" t="s">
        <v>44</v>
      </c>
      <c r="B52" s="159">
        <v>1294365</v>
      </c>
      <c r="C52" s="159">
        <v>1284281</v>
      </c>
      <c r="D52" s="159">
        <v>1353361</v>
      </c>
      <c r="E52" s="178">
        <f t="shared" si="1"/>
        <v>58996</v>
      </c>
      <c r="F52" s="369">
        <f t="shared" si="2"/>
        <v>4.557910635717128E-2</v>
      </c>
      <c r="G52" s="24"/>
      <c r="H52" s="24"/>
    </row>
    <row r="53" spans="1:8" ht="34.5">
      <c r="A53" s="156" t="s">
        <v>45</v>
      </c>
      <c r="B53" s="159">
        <v>1640852</v>
      </c>
      <c r="C53" s="159">
        <v>1696388</v>
      </c>
      <c r="D53" s="159">
        <v>1356307</v>
      </c>
      <c r="E53" s="178">
        <f t="shared" si="1"/>
        <v>-284545</v>
      </c>
      <c r="F53" s="369">
        <f t="shared" si="2"/>
        <v>-0.17341295863368542</v>
      </c>
      <c r="G53" s="24"/>
      <c r="H53" s="24"/>
    </row>
    <row r="54" spans="1:8" ht="34.5">
      <c r="A54" s="153" t="s">
        <v>74</v>
      </c>
      <c r="B54" s="160">
        <v>3585828</v>
      </c>
      <c r="C54" s="160">
        <v>3582835</v>
      </c>
      <c r="D54" s="160">
        <v>3056664</v>
      </c>
      <c r="E54" s="178">
        <f t="shared" si="1"/>
        <v>-529164</v>
      </c>
      <c r="F54" s="369">
        <f t="shared" si="2"/>
        <v>-0.14757093759098316</v>
      </c>
      <c r="G54" s="24"/>
      <c r="H54" s="24"/>
    </row>
    <row r="55" spans="1:8" ht="34.5">
      <c r="A55" s="117" t="s">
        <v>46</v>
      </c>
      <c r="B55" s="118">
        <v>698960</v>
      </c>
      <c r="C55" s="118">
        <v>670500</v>
      </c>
      <c r="D55" s="118">
        <v>755577</v>
      </c>
      <c r="E55" s="178">
        <f t="shared" si="1"/>
        <v>56617</v>
      </c>
      <c r="F55" s="369">
        <f t="shared" si="2"/>
        <v>8.1001774064324142E-2</v>
      </c>
      <c r="G55" s="24"/>
      <c r="H55" s="24"/>
    </row>
    <row r="56" spans="1:8" ht="34.5">
      <c r="A56" s="117" t="s">
        <v>47</v>
      </c>
      <c r="B56" s="93">
        <v>3026629</v>
      </c>
      <c r="C56" s="93">
        <v>2555051</v>
      </c>
      <c r="D56" s="93">
        <v>2664491</v>
      </c>
      <c r="E56" s="178">
        <f t="shared" si="1"/>
        <v>-362138</v>
      </c>
      <c r="F56" s="369">
        <f t="shared" si="2"/>
        <v>-0.11965060798664125</v>
      </c>
      <c r="G56" s="24"/>
      <c r="H56" s="24"/>
    </row>
    <row r="57" spans="1:8" ht="35.25">
      <c r="A57" s="114" t="s">
        <v>48</v>
      </c>
      <c r="B57" s="116">
        <f>SUM(B49:B56)</f>
        <v>19428436</v>
      </c>
      <c r="C57" s="116">
        <f>SUM(C49:C56)</f>
        <v>20672009</v>
      </c>
      <c r="D57" s="116">
        <f>SUM(D49:D56)</f>
        <v>19890914</v>
      </c>
      <c r="E57" s="465">
        <f t="shared" si="1"/>
        <v>462478</v>
      </c>
      <c r="F57" s="390">
        <f t="shared" si="2"/>
        <v>2.3804180635023837E-2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2"/>
        <v xml:space="preserve">  </v>
      </c>
      <c r="G58" s="24"/>
      <c r="H58" s="24"/>
    </row>
    <row r="59" spans="1:8" ht="34.5">
      <c r="A59" s="117" t="s">
        <v>50</v>
      </c>
      <c r="B59" s="93">
        <v>199261</v>
      </c>
      <c r="C59" s="93">
        <v>0</v>
      </c>
      <c r="D59" s="93">
        <v>0</v>
      </c>
      <c r="E59" s="178">
        <f t="shared" si="1"/>
        <v>-199261</v>
      </c>
      <c r="F59" s="369">
        <f t="shared" si="2"/>
        <v>-1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19627697</v>
      </c>
      <c r="C62" s="120">
        <f>SUM(C57:C61)</f>
        <v>20672009</v>
      </c>
      <c r="D62" s="120">
        <f>SUM(D57:D61)</f>
        <v>19890914</v>
      </c>
      <c r="E62" s="465">
        <f t="shared" si="1"/>
        <v>263217</v>
      </c>
      <c r="F62" s="344">
        <f t="shared" si="2"/>
        <v>1.3410488250353569E-2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10617407</v>
      </c>
      <c r="C65" s="92">
        <v>12572684</v>
      </c>
      <c r="D65" s="92">
        <v>12262895</v>
      </c>
      <c r="E65" s="178">
        <f t="shared" ref="E65:E82" si="3">D65-B65</f>
        <v>1645488</v>
      </c>
      <c r="F65" s="397">
        <f t="shared" ref="F65:F82" si="4">IF(ISBLANK(E65),"  ",IF(B65&gt;0,E65/B65,IF(E65&gt;0,1,0)))</f>
        <v>0.15498021315373894</v>
      </c>
      <c r="G65" s="24"/>
      <c r="H65" s="24"/>
    </row>
    <row r="66" spans="1:8" ht="34.5">
      <c r="A66" s="117" t="s">
        <v>56</v>
      </c>
      <c r="B66" s="118">
        <v>174086</v>
      </c>
      <c r="C66" s="118">
        <v>151740</v>
      </c>
      <c r="D66" s="118">
        <v>4370</v>
      </c>
      <c r="E66" s="178">
        <f t="shared" si="3"/>
        <v>-169716</v>
      </c>
      <c r="F66" s="369">
        <f t="shared" si="4"/>
        <v>-0.97489746447158299</v>
      </c>
      <c r="G66" s="24"/>
      <c r="H66" s="24"/>
    </row>
    <row r="67" spans="1:8" ht="34.5">
      <c r="A67" s="117" t="s">
        <v>57</v>
      </c>
      <c r="B67" s="118">
        <v>3431680</v>
      </c>
      <c r="C67" s="118">
        <v>3451900</v>
      </c>
      <c r="D67" s="118">
        <v>3491261</v>
      </c>
      <c r="E67" s="178">
        <f t="shared" si="3"/>
        <v>59581</v>
      </c>
      <c r="F67" s="369">
        <f t="shared" si="4"/>
        <v>1.7362050074599029E-2</v>
      </c>
      <c r="G67" s="24"/>
      <c r="H67" s="24"/>
    </row>
    <row r="68" spans="1:8" ht="35.25">
      <c r="A68" s="175" t="s">
        <v>58</v>
      </c>
      <c r="B68" s="116">
        <f>SUM(B65:B67)</f>
        <v>14223173</v>
      </c>
      <c r="C68" s="116">
        <f>SUM(C65:C67)</f>
        <v>16176324</v>
      </c>
      <c r="D68" s="116">
        <f>SUM(D65:D67)</f>
        <v>15758526</v>
      </c>
      <c r="E68" s="465">
        <f t="shared" si="3"/>
        <v>1535353</v>
      </c>
      <c r="F68" s="390">
        <f t="shared" si="4"/>
        <v>0.10794729136740444</v>
      </c>
      <c r="G68" s="24"/>
      <c r="H68" s="24"/>
    </row>
    <row r="69" spans="1:8" ht="34.5">
      <c r="A69" s="151" t="s">
        <v>59</v>
      </c>
      <c r="B69" s="166">
        <v>137925</v>
      </c>
      <c r="C69" s="166">
        <v>203615</v>
      </c>
      <c r="D69" s="166">
        <v>87152</v>
      </c>
      <c r="E69" s="178">
        <f t="shared" si="3"/>
        <v>-50773</v>
      </c>
      <c r="F69" s="369">
        <f t="shared" si="4"/>
        <v>-0.36812035526554288</v>
      </c>
      <c r="G69" s="24"/>
      <c r="H69" s="24"/>
    </row>
    <row r="70" spans="1:8" ht="34.5">
      <c r="A70" s="151" t="s">
        <v>60</v>
      </c>
      <c r="B70" s="166">
        <v>2362536</v>
      </c>
      <c r="C70" s="166">
        <v>1984214</v>
      </c>
      <c r="D70" s="166">
        <v>2312033</v>
      </c>
      <c r="E70" s="178">
        <f t="shared" si="3"/>
        <v>-50503</v>
      </c>
      <c r="F70" s="369">
        <f t="shared" si="4"/>
        <v>-2.1376605478181075E-2</v>
      </c>
      <c r="G70" s="24"/>
      <c r="H70" s="24"/>
    </row>
    <row r="71" spans="1:8" ht="34.5">
      <c r="A71" s="176" t="s">
        <v>61</v>
      </c>
      <c r="B71" s="177">
        <v>840779</v>
      </c>
      <c r="C71" s="177">
        <v>537790</v>
      </c>
      <c r="D71" s="177">
        <v>423528</v>
      </c>
      <c r="E71" s="178">
        <f t="shared" si="3"/>
        <v>-417251</v>
      </c>
      <c r="F71" s="369">
        <f t="shared" si="4"/>
        <v>-0.49626715224809376</v>
      </c>
      <c r="G71" s="24"/>
      <c r="H71" s="24"/>
    </row>
    <row r="72" spans="1:8" ht="35.25">
      <c r="A72" s="114" t="s">
        <v>62</v>
      </c>
      <c r="B72" s="116">
        <f>SUM(B69:B71)</f>
        <v>3341240</v>
      </c>
      <c r="C72" s="116">
        <f>SUM(C69:C71)</f>
        <v>2725619</v>
      </c>
      <c r="D72" s="116">
        <f>SUM(D69:D71)</f>
        <v>2822713</v>
      </c>
      <c r="E72" s="465">
        <f t="shared" si="3"/>
        <v>-518527</v>
      </c>
      <c r="F72" s="390">
        <f t="shared" si="4"/>
        <v>-0.15518998934527301</v>
      </c>
      <c r="G72" s="24"/>
      <c r="H72" s="24"/>
    </row>
    <row r="73" spans="1:8" ht="34.5">
      <c r="A73" s="117" t="s">
        <v>63</v>
      </c>
      <c r="B73" s="118">
        <v>497929</v>
      </c>
      <c r="C73" s="118">
        <v>300630</v>
      </c>
      <c r="D73" s="118">
        <v>192600</v>
      </c>
      <c r="E73" s="178">
        <f t="shared" si="3"/>
        <v>-305329</v>
      </c>
      <c r="F73" s="369">
        <f t="shared" si="4"/>
        <v>-0.61319786555914602</v>
      </c>
      <c r="G73" s="24"/>
      <c r="H73" s="24"/>
    </row>
    <row r="74" spans="1:8" ht="34.5">
      <c r="A74" s="126" t="s">
        <v>64</v>
      </c>
      <c r="B74" s="128">
        <f>910483+199261</f>
        <v>1109744</v>
      </c>
      <c r="C74" s="128">
        <v>1195346</v>
      </c>
      <c r="D74" s="128">
        <v>1029759</v>
      </c>
      <c r="E74" s="178">
        <f t="shared" si="3"/>
        <v>-79985</v>
      </c>
      <c r="F74" s="369">
        <f t="shared" si="4"/>
        <v>-7.2075181303075303E-2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/>
      <c r="C76" s="118"/>
      <c r="D76" s="118"/>
      <c r="E76" s="178"/>
      <c r="F76" s="369" t="str">
        <f t="shared" si="4"/>
        <v xml:space="preserve">  </v>
      </c>
      <c r="G76" s="24"/>
      <c r="H76" s="24"/>
    </row>
    <row r="77" spans="1:8" ht="35.25">
      <c r="A77" s="114" t="s">
        <v>67</v>
      </c>
      <c r="B77" s="116">
        <f>SUM(B73:B76)</f>
        <v>1607673</v>
      </c>
      <c r="C77" s="116">
        <f>SUM(C73:C76)</f>
        <v>1495976</v>
      </c>
      <c r="D77" s="116">
        <f>SUM(D73:D76)</f>
        <v>1222359</v>
      </c>
      <c r="E77" s="465">
        <f t="shared" si="3"/>
        <v>-385314</v>
      </c>
      <c r="F77" s="390">
        <f t="shared" si="4"/>
        <v>-0.23967187357130462</v>
      </c>
      <c r="G77" s="24"/>
      <c r="H77" s="24"/>
    </row>
    <row r="78" spans="1:8" ht="34.5">
      <c r="A78" s="117" t="s">
        <v>68</v>
      </c>
      <c r="B78" s="118">
        <v>363319</v>
      </c>
      <c r="C78" s="118">
        <v>177090</v>
      </c>
      <c r="D78" s="118">
        <v>36933</v>
      </c>
      <c r="E78" s="178">
        <f t="shared" si="3"/>
        <v>-326386</v>
      </c>
      <c r="F78" s="369">
        <f t="shared" si="4"/>
        <v>-0.89834553106223458</v>
      </c>
      <c r="G78" s="24"/>
      <c r="H78" s="24"/>
    </row>
    <row r="79" spans="1:8" ht="34.5">
      <c r="A79" s="117" t="s">
        <v>69</v>
      </c>
      <c r="B79" s="118">
        <v>92292</v>
      </c>
      <c r="C79" s="118">
        <v>97000</v>
      </c>
      <c r="D79" s="118">
        <v>50383</v>
      </c>
      <c r="E79" s="178">
        <f t="shared" si="3"/>
        <v>-41909</v>
      </c>
      <c r="F79" s="369">
        <f t="shared" si="4"/>
        <v>-0.45409136219824037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455611</v>
      </c>
      <c r="C81" s="116">
        <f>SUM(C78:C80)</f>
        <v>274090</v>
      </c>
      <c r="D81" s="116">
        <f>SUM(D78:D80)</f>
        <v>87316</v>
      </c>
      <c r="E81" s="465">
        <f t="shared" si="3"/>
        <v>-368295</v>
      </c>
      <c r="F81" s="390">
        <f t="shared" si="4"/>
        <v>-0.80835405642093805</v>
      </c>
      <c r="G81" s="24"/>
      <c r="H81" s="24"/>
    </row>
    <row r="82" spans="1:8" s="163" customFormat="1" ht="45" thickBot="1">
      <c r="A82" s="164" t="s">
        <v>53</v>
      </c>
      <c r="B82" s="165">
        <f>+B81+B77+B72+B68</f>
        <v>19627697</v>
      </c>
      <c r="C82" s="165">
        <f>+C81+C77+C72+C68</f>
        <v>20672009</v>
      </c>
      <c r="D82" s="165">
        <f>+D81+D77+D72+D68</f>
        <v>19890914</v>
      </c>
      <c r="E82" s="466">
        <f t="shared" si="3"/>
        <v>263217</v>
      </c>
      <c r="F82" s="348">
        <f t="shared" si="4"/>
        <v>1.3410488250353569E-2</v>
      </c>
      <c r="G82" s="36"/>
      <c r="H82" s="36"/>
    </row>
    <row r="83" spans="1:8" s="163" customFormat="1" ht="44.25">
      <c r="A83" s="113"/>
      <c r="B83" s="36"/>
      <c r="C83" s="36"/>
      <c r="D83" s="36"/>
      <c r="E83" s="36"/>
      <c r="F83" s="351"/>
      <c r="G83" s="36"/>
      <c r="H83" s="36"/>
    </row>
    <row r="84" spans="1:8" ht="44.25">
      <c r="A84" s="113" t="s">
        <v>96</v>
      </c>
      <c r="B84" s="24"/>
      <c r="C84" s="24"/>
      <c r="D84" s="24"/>
      <c r="E84" s="24"/>
      <c r="F84" s="353"/>
      <c r="G84" s="24"/>
      <c r="H84" s="24"/>
    </row>
    <row r="85" spans="1:8" ht="44.25">
      <c r="A85" s="36" t="s">
        <v>86</v>
      </c>
      <c r="B85" s="24"/>
      <c r="C85" s="24"/>
      <c r="D85" s="24"/>
      <c r="E85" s="24"/>
      <c r="F85" s="353"/>
      <c r="G85" s="24"/>
      <c r="H85" s="24"/>
    </row>
    <row r="86" spans="1:8">
      <c r="A86" s="24"/>
      <c r="B86" s="24"/>
      <c r="C86" s="24"/>
      <c r="D86" s="24"/>
      <c r="E86" s="24"/>
      <c r="F86" s="353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6"/>
  <sheetViews>
    <sheetView zoomScale="30" zoomScaleNormal="100" workbookViewId="0">
      <selection activeCell="C5" sqref="C5"/>
    </sheetView>
  </sheetViews>
  <sheetFormatPr defaultRowHeight="15"/>
  <cols>
    <col min="1" max="1" width="122.777343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292</v>
      </c>
      <c r="E1" s="58"/>
      <c r="H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8281633</v>
      </c>
      <c r="C8" s="92">
        <v>8281633</v>
      </c>
      <c r="D8" s="92">
        <f>6505834-398487</f>
        <v>6107347</v>
      </c>
      <c r="E8" s="178">
        <f>D8-B8</f>
        <v>-2174286</v>
      </c>
      <c r="F8" s="397">
        <f>IF(ISBLANK(E8),"  ",IF(B8&gt;0,E8/B8,IF(E8&gt;0,1,0)))</f>
        <v>-0.26254314819311603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398487</v>
      </c>
      <c r="E9" s="178">
        <f>D9-B9</f>
        <v>398487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299035</v>
      </c>
      <c r="C10" s="93">
        <f>SUM(C11:C25)</f>
        <v>308308</v>
      </c>
      <c r="D10" s="93">
        <f>SUM(D11:D25)</f>
        <v>300438</v>
      </c>
      <c r="E10" s="160">
        <f>D10-C10</f>
        <v>-7870</v>
      </c>
      <c r="F10" s="369">
        <f t="shared" si="0"/>
        <v>-2.6317989532997809E-2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33710</v>
      </c>
      <c r="E11" s="178">
        <f>D11-B11</f>
        <v>33710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299035</v>
      </c>
      <c r="C12" s="93">
        <v>308308</v>
      </c>
      <c r="D12" s="93">
        <v>266728</v>
      </c>
      <c r="E12" s="178">
        <f>D12-B12</f>
        <v>-32307</v>
      </c>
      <c r="F12" s="369">
        <f t="shared" si="0"/>
        <v>-0.10803752069155785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8580668</v>
      </c>
      <c r="C31" s="122">
        <f>SUM(C8:C10,C26:C30)</f>
        <v>8589941</v>
      </c>
      <c r="D31" s="122">
        <f>SUM(D8:D10,D26:D30)</f>
        <v>6806272</v>
      </c>
      <c r="E31" s="465">
        <f>D31-B31</f>
        <v>-1774396</v>
      </c>
      <c r="F31" s="390">
        <f t="shared" si="0"/>
        <v>-0.20678996087484097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1251551</v>
      </c>
      <c r="E37" s="465">
        <f>D37-B37</f>
        <v>1251551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4666742</v>
      </c>
      <c r="C39" s="147">
        <f>5050489+21000</f>
        <v>5071489</v>
      </c>
      <c r="D39" s="147">
        <f>5205120+10000</f>
        <v>5215120</v>
      </c>
      <c r="E39" s="465">
        <f>D39-B39</f>
        <v>548378</v>
      </c>
      <c r="F39" s="399">
        <f>IF(ISBLANK(E39),"  ",IF(B39&gt;0,E39/B39,IF(E39&gt;0,1,0)))</f>
        <v>0.11750767451896849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13247410</v>
      </c>
      <c r="C45" s="147">
        <f>SUM(C43,C41,C39,C35,C33,C31)</f>
        <v>13661430</v>
      </c>
      <c r="D45" s="147">
        <f>SUM(D37,D41,D39,D35,D33,D31)</f>
        <v>13272943</v>
      </c>
      <c r="E45" s="465">
        <f>D45-B45</f>
        <v>25533</v>
      </c>
      <c r="F45" s="345">
        <f>IF(ISBLANK(E45),"  ",IF(B45&gt;0,E45/B45,IF(E45&gt;0,1,0)))</f>
        <v>1.9273956192191531E-3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6839442</v>
      </c>
      <c r="C49" s="154">
        <v>7201991</v>
      </c>
      <c r="D49" s="154">
        <v>7020542</v>
      </c>
      <c r="E49" s="178">
        <f t="shared" ref="E49:E62" si="1">D49-B49</f>
        <v>181100</v>
      </c>
      <c r="F49" s="397">
        <f t="shared" ref="F49:F62" si="2">IF(ISBLANK(E49),"  ",IF(B49&gt;0,E49/B49,IF(E49&gt;0,1,0)))</f>
        <v>2.6478768297179798E-2</v>
      </c>
      <c r="G49" s="24"/>
      <c r="H49" s="24"/>
    </row>
    <row r="50" spans="1:8" ht="34.5">
      <c r="A50" s="156" t="s">
        <v>42</v>
      </c>
      <c r="B50" s="157"/>
      <c r="C50" s="157"/>
      <c r="D50" s="157"/>
      <c r="E50" s="178"/>
      <c r="F50" s="369" t="str">
        <f t="shared" si="2"/>
        <v xml:space="preserve">  </v>
      </c>
      <c r="G50" s="24"/>
      <c r="H50" s="24"/>
    </row>
    <row r="51" spans="1:8" ht="34.5">
      <c r="A51" s="158" t="s">
        <v>43</v>
      </c>
      <c r="B51" s="159"/>
      <c r="C51" s="159"/>
      <c r="D51" s="159"/>
      <c r="E51" s="178"/>
      <c r="F51" s="369" t="str">
        <f t="shared" si="2"/>
        <v xml:space="preserve">  </v>
      </c>
      <c r="G51" s="24"/>
      <c r="H51" s="24"/>
    </row>
    <row r="52" spans="1:8" ht="34.5">
      <c r="A52" s="158" t="s">
        <v>44</v>
      </c>
      <c r="B52" s="159">
        <v>647344</v>
      </c>
      <c r="C52" s="159">
        <v>695215</v>
      </c>
      <c r="D52" s="159">
        <v>647564</v>
      </c>
      <c r="E52" s="178">
        <f t="shared" si="1"/>
        <v>220</v>
      </c>
      <c r="F52" s="369">
        <f t="shared" si="2"/>
        <v>3.3985021873995897E-4</v>
      </c>
      <c r="G52" s="24"/>
      <c r="H52" s="24"/>
    </row>
    <row r="53" spans="1:8" ht="34.5">
      <c r="A53" s="156" t="s">
        <v>45</v>
      </c>
      <c r="B53" s="159">
        <v>997983</v>
      </c>
      <c r="C53" s="159">
        <v>998980</v>
      </c>
      <c r="D53" s="159">
        <v>1012717</v>
      </c>
      <c r="E53" s="178">
        <f t="shared" si="1"/>
        <v>14734</v>
      </c>
      <c r="F53" s="369">
        <f t="shared" si="2"/>
        <v>1.4763778541317838E-2</v>
      </c>
      <c r="G53" s="24"/>
      <c r="H53" s="24"/>
    </row>
    <row r="54" spans="1:8" ht="34.5">
      <c r="A54" s="153" t="s">
        <v>74</v>
      </c>
      <c r="B54" s="160">
        <v>2208992</v>
      </c>
      <c r="C54" s="160">
        <v>2392159</v>
      </c>
      <c r="D54" s="160">
        <v>2338742</v>
      </c>
      <c r="E54" s="178">
        <f t="shared" si="1"/>
        <v>129750</v>
      </c>
      <c r="F54" s="369">
        <f t="shared" si="2"/>
        <v>5.8737197780707219E-2</v>
      </c>
      <c r="G54" s="24"/>
      <c r="H54" s="24"/>
    </row>
    <row r="55" spans="1:8" ht="34.5">
      <c r="A55" s="117" t="s">
        <v>46</v>
      </c>
      <c r="B55" s="118">
        <v>254424</v>
      </c>
      <c r="C55" s="118">
        <v>341431</v>
      </c>
      <c r="D55" s="118">
        <v>341431</v>
      </c>
      <c r="E55" s="178">
        <f t="shared" si="1"/>
        <v>87007</v>
      </c>
      <c r="F55" s="369">
        <f t="shared" si="2"/>
        <v>0.34197638587554635</v>
      </c>
      <c r="G55" s="24"/>
      <c r="H55" s="24"/>
    </row>
    <row r="56" spans="1:8" ht="34.5">
      <c r="A56" s="117" t="s">
        <v>47</v>
      </c>
      <c r="B56" s="93">
        <v>2299225</v>
      </c>
      <c r="C56" s="93">
        <v>2025672</v>
      </c>
      <c r="D56" s="93">
        <v>1905965</v>
      </c>
      <c r="E56" s="178">
        <f t="shared" si="1"/>
        <v>-393260</v>
      </c>
      <c r="F56" s="369">
        <f t="shared" si="2"/>
        <v>-0.17104024182061348</v>
      </c>
      <c r="G56" s="24"/>
      <c r="H56" s="24"/>
    </row>
    <row r="57" spans="1:8" ht="35.25">
      <c r="A57" s="114" t="s">
        <v>48</v>
      </c>
      <c r="B57" s="116">
        <f>SUM(B49:B56)</f>
        <v>13247410</v>
      </c>
      <c r="C57" s="116">
        <f>SUM(C49:C56)</f>
        <v>13655448</v>
      </c>
      <c r="D57" s="116">
        <f>SUM(D49:D56)</f>
        <v>13266961</v>
      </c>
      <c r="E57" s="465">
        <f t="shared" si="1"/>
        <v>19551</v>
      </c>
      <c r="F57" s="390">
        <f t="shared" si="2"/>
        <v>1.4758356539127271E-3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2"/>
        <v xml:space="preserve">  </v>
      </c>
      <c r="G58" s="24"/>
      <c r="H58" s="24"/>
    </row>
    <row r="59" spans="1:8" ht="34.5">
      <c r="A59" s="117" t="s">
        <v>50</v>
      </c>
      <c r="B59" s="93">
        <v>0</v>
      </c>
      <c r="C59" s="93">
        <v>5982</v>
      </c>
      <c r="D59" s="93">
        <v>5982</v>
      </c>
      <c r="E59" s="178">
        <f t="shared" si="1"/>
        <v>5982</v>
      </c>
      <c r="F59" s="369">
        <f t="shared" si="2"/>
        <v>1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13247410</v>
      </c>
      <c r="C62" s="120">
        <f>SUM(C57:C61)</f>
        <v>13661430</v>
      </c>
      <c r="D62" s="120">
        <f>SUM(D57:D61)</f>
        <v>13272943</v>
      </c>
      <c r="E62" s="465">
        <f t="shared" si="1"/>
        <v>25533</v>
      </c>
      <c r="F62" s="344">
        <f t="shared" si="2"/>
        <v>1.9273956192191531E-3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f>6017015+1708233</f>
        <v>7725248</v>
      </c>
      <c r="C65" s="92">
        <f>6328849+1820921</f>
        <v>8149770</v>
      </c>
      <c r="D65" s="92">
        <f>6161096+1835515</f>
        <v>7996611</v>
      </c>
      <c r="E65" s="178">
        <f t="shared" ref="E65:E82" si="3">D65-B65</f>
        <v>271363</v>
      </c>
      <c r="F65" s="397">
        <f t="shared" ref="F65:F82" si="4">IF(ISBLANK(E65),"  ",IF(B65&gt;0,E65/B65,IF(E65&gt;0,1,0)))</f>
        <v>3.5126768745805961E-2</v>
      </c>
      <c r="G65" s="24"/>
      <c r="H65" s="24"/>
    </row>
    <row r="66" spans="1:8" ht="34.5">
      <c r="A66" s="117" t="s">
        <v>56</v>
      </c>
      <c r="B66" s="118">
        <v>132578</v>
      </c>
      <c r="C66" s="118">
        <v>152669</v>
      </c>
      <c r="D66" s="118">
        <v>130669</v>
      </c>
      <c r="E66" s="178">
        <f t="shared" si="3"/>
        <v>-1909</v>
      </c>
      <c r="F66" s="369">
        <f t="shared" si="4"/>
        <v>-1.4399070735717841E-2</v>
      </c>
      <c r="G66" s="24"/>
      <c r="H66" s="24"/>
    </row>
    <row r="67" spans="1:8" ht="34.5">
      <c r="A67" s="117" t="s">
        <v>57</v>
      </c>
      <c r="B67" s="118">
        <v>2604155</v>
      </c>
      <c r="C67" s="118">
        <v>2677989</v>
      </c>
      <c r="D67" s="118">
        <v>2682636</v>
      </c>
      <c r="E67" s="178">
        <f t="shared" si="3"/>
        <v>78481</v>
      </c>
      <c r="F67" s="369">
        <f t="shared" si="4"/>
        <v>3.0136839013038777E-2</v>
      </c>
      <c r="G67" s="24"/>
      <c r="H67" s="24"/>
    </row>
    <row r="68" spans="1:8" ht="35.25">
      <c r="A68" s="175" t="s">
        <v>58</v>
      </c>
      <c r="B68" s="116">
        <f>SUM(B65:B67)</f>
        <v>10461981</v>
      </c>
      <c r="C68" s="116">
        <f>SUM(C65:C67)</f>
        <v>10980428</v>
      </c>
      <c r="D68" s="116">
        <f>SUM(D65:D67)</f>
        <v>10809916</v>
      </c>
      <c r="E68" s="465">
        <f t="shared" si="3"/>
        <v>347935</v>
      </c>
      <c r="F68" s="390">
        <f t="shared" si="4"/>
        <v>3.3257085823421011E-2</v>
      </c>
      <c r="G68" s="24"/>
      <c r="H68" s="24"/>
    </row>
    <row r="69" spans="1:8" ht="34.5">
      <c r="A69" s="151" t="s">
        <v>59</v>
      </c>
      <c r="B69" s="166">
        <v>96407</v>
      </c>
      <c r="C69" s="166">
        <v>126333</v>
      </c>
      <c r="D69" s="166">
        <v>103971</v>
      </c>
      <c r="E69" s="178">
        <f t="shared" si="3"/>
        <v>7564</v>
      </c>
      <c r="F69" s="369">
        <f t="shared" si="4"/>
        <v>7.8459033057765512E-2</v>
      </c>
      <c r="G69" s="24"/>
      <c r="H69" s="24"/>
    </row>
    <row r="70" spans="1:8" ht="34.5">
      <c r="A70" s="151" t="s">
        <v>60</v>
      </c>
      <c r="B70" s="166">
        <v>1149498</v>
      </c>
      <c r="C70" s="166">
        <v>966693</v>
      </c>
      <c r="D70" s="166">
        <v>930162</v>
      </c>
      <c r="E70" s="178">
        <f t="shared" si="3"/>
        <v>-219336</v>
      </c>
      <c r="F70" s="369">
        <f t="shared" si="4"/>
        <v>-0.19081024934362653</v>
      </c>
      <c r="G70" s="24"/>
      <c r="H70" s="24"/>
    </row>
    <row r="71" spans="1:8" ht="34.5">
      <c r="A71" s="176" t="s">
        <v>61</v>
      </c>
      <c r="B71" s="177">
        <v>642484</v>
      </c>
      <c r="C71" s="177">
        <v>524345</v>
      </c>
      <c r="D71" s="177">
        <v>463707</v>
      </c>
      <c r="E71" s="178">
        <f t="shared" si="3"/>
        <v>-178777</v>
      </c>
      <c r="F71" s="369">
        <f t="shared" si="4"/>
        <v>-0.27825906948655532</v>
      </c>
      <c r="G71" s="24"/>
      <c r="H71" s="24"/>
    </row>
    <row r="72" spans="1:8" ht="35.25">
      <c r="A72" s="114" t="s">
        <v>62</v>
      </c>
      <c r="B72" s="116">
        <f>SUM(B69:B71)</f>
        <v>1888389</v>
      </c>
      <c r="C72" s="116">
        <f>SUM(C69:C71)</f>
        <v>1617371</v>
      </c>
      <c r="D72" s="116">
        <f>SUM(D69:D71)</f>
        <v>1497840</v>
      </c>
      <c r="E72" s="465">
        <f t="shared" si="3"/>
        <v>-390549</v>
      </c>
      <c r="F72" s="390">
        <f t="shared" si="4"/>
        <v>-0.20681596853190737</v>
      </c>
      <c r="G72" s="24"/>
      <c r="H72" s="24"/>
    </row>
    <row r="73" spans="1:8" ht="34.5">
      <c r="A73" s="117" t="s">
        <v>63</v>
      </c>
      <c r="B73" s="118">
        <v>51277</v>
      </c>
      <c r="C73" s="118">
        <v>15250</v>
      </c>
      <c r="D73" s="118">
        <v>11825</v>
      </c>
      <c r="E73" s="178">
        <f t="shared" si="3"/>
        <v>-39452</v>
      </c>
      <c r="F73" s="369">
        <f t="shared" si="4"/>
        <v>-0.76938978489381205</v>
      </c>
      <c r="G73" s="24"/>
      <c r="H73" s="24"/>
    </row>
    <row r="74" spans="1:8" ht="34.5">
      <c r="A74" s="126" t="s">
        <v>64</v>
      </c>
      <c r="B74" s="128">
        <v>349639</v>
      </c>
      <c r="C74" s="128">
        <v>434613</v>
      </c>
      <c r="D74" s="128">
        <v>432743</v>
      </c>
      <c r="E74" s="178">
        <f t="shared" si="3"/>
        <v>83104</v>
      </c>
      <c r="F74" s="369">
        <f t="shared" si="4"/>
        <v>0.23768515526013975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>
        <v>317872</v>
      </c>
      <c r="C76" s="118">
        <v>357441</v>
      </c>
      <c r="D76" s="118">
        <v>398734</v>
      </c>
      <c r="E76" s="178">
        <f t="shared" si="3"/>
        <v>80862</v>
      </c>
      <c r="F76" s="369">
        <f t="shared" si="4"/>
        <v>0.25438541299642625</v>
      </c>
      <c r="G76" s="24"/>
      <c r="H76" s="24"/>
    </row>
    <row r="77" spans="1:8" ht="35.25">
      <c r="A77" s="114" t="s">
        <v>67</v>
      </c>
      <c r="B77" s="116">
        <f>SUM(B73:B76)</f>
        <v>718788</v>
      </c>
      <c r="C77" s="116">
        <f>SUM(C73:C76)</f>
        <v>807304</v>
      </c>
      <c r="D77" s="116">
        <f>SUM(D73:D76)</f>
        <v>843302</v>
      </c>
      <c r="E77" s="465">
        <f t="shared" si="3"/>
        <v>124514</v>
      </c>
      <c r="F77" s="390">
        <f t="shared" si="4"/>
        <v>0.17322771109144838</v>
      </c>
      <c r="G77" s="24"/>
      <c r="H77" s="24"/>
    </row>
    <row r="78" spans="1:8" ht="34.5">
      <c r="A78" s="117" t="s">
        <v>68</v>
      </c>
      <c r="B78" s="118">
        <v>122429</v>
      </c>
      <c r="C78" s="118">
        <v>187327</v>
      </c>
      <c r="D78" s="118">
        <v>66885</v>
      </c>
      <c r="E78" s="178">
        <f t="shared" si="3"/>
        <v>-55544</v>
      </c>
      <c r="F78" s="369">
        <f t="shared" si="4"/>
        <v>-0.45368335933479814</v>
      </c>
      <c r="G78" s="24"/>
      <c r="H78" s="24"/>
    </row>
    <row r="79" spans="1:8" ht="34.5">
      <c r="A79" s="117" t="s">
        <v>69</v>
      </c>
      <c r="B79" s="118">
        <v>55823</v>
      </c>
      <c r="C79" s="118">
        <v>69000</v>
      </c>
      <c r="D79" s="118">
        <v>55000</v>
      </c>
      <c r="E79" s="178">
        <f t="shared" si="3"/>
        <v>-823</v>
      </c>
      <c r="F79" s="369">
        <f t="shared" si="4"/>
        <v>-1.4743027067696111E-2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178252</v>
      </c>
      <c r="C81" s="116">
        <f>SUM(C78:C80)</f>
        <v>256327</v>
      </c>
      <c r="D81" s="116">
        <f>SUM(D78:D80)</f>
        <v>121885</v>
      </c>
      <c r="E81" s="465">
        <f t="shared" si="3"/>
        <v>-56367</v>
      </c>
      <c r="F81" s="390">
        <f t="shared" si="4"/>
        <v>-0.31622085586697485</v>
      </c>
      <c r="G81" s="24"/>
      <c r="H81" s="24"/>
    </row>
    <row r="82" spans="1:8" s="163" customFormat="1" ht="45" thickBot="1">
      <c r="A82" s="164" t="s">
        <v>53</v>
      </c>
      <c r="B82" s="165">
        <f>+B81+B77+B72+B68</f>
        <v>13247410</v>
      </c>
      <c r="C82" s="165">
        <f>+C81+C77+C72+C68</f>
        <v>13661430</v>
      </c>
      <c r="D82" s="165">
        <f>+D81+D77+D72+D68</f>
        <v>13272943</v>
      </c>
      <c r="E82" s="466">
        <f t="shared" si="3"/>
        <v>25533</v>
      </c>
      <c r="F82" s="348">
        <f t="shared" si="4"/>
        <v>1.9273956192191531E-3</v>
      </c>
      <c r="G82" s="36"/>
      <c r="H82" s="36"/>
    </row>
    <row r="83" spans="1:8" ht="44.25">
      <c r="A83" s="113"/>
      <c r="B83" s="24"/>
      <c r="C83" s="24"/>
      <c r="D83" s="24"/>
      <c r="E83" s="24"/>
      <c r="F83" s="353"/>
      <c r="G83" s="24"/>
      <c r="H83" s="24"/>
    </row>
    <row r="84" spans="1:8" ht="44.25">
      <c r="A84" s="113" t="s">
        <v>96</v>
      </c>
      <c r="B84" s="24"/>
      <c r="C84" s="24"/>
      <c r="D84" s="24"/>
      <c r="E84" s="24"/>
      <c r="F84" s="353"/>
      <c r="G84" s="24"/>
      <c r="H84" s="24"/>
    </row>
    <row r="85" spans="1:8" ht="44.25">
      <c r="A85" s="36" t="s">
        <v>86</v>
      </c>
      <c r="B85" s="24"/>
      <c r="C85" s="24"/>
      <c r="D85" s="24"/>
      <c r="E85" s="24"/>
      <c r="F85" s="353"/>
      <c r="G85" s="24"/>
      <c r="H85" s="24"/>
    </row>
    <row r="86" spans="1:8">
      <c r="A86" s="24"/>
      <c r="B86" s="24"/>
      <c r="C86" s="24"/>
      <c r="D86" s="24"/>
      <c r="E86" s="24"/>
      <c r="F86" s="353"/>
      <c r="G86" s="24"/>
      <c r="H86" s="24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66" zoomScale="30" zoomScaleNormal="100" workbookViewId="0">
      <selection activeCell="C5" sqref="C5"/>
    </sheetView>
  </sheetViews>
  <sheetFormatPr defaultRowHeight="15"/>
  <cols>
    <col min="1" max="1" width="121.664062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76</v>
      </c>
      <c r="E1" s="58"/>
      <c r="G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67730739</v>
      </c>
      <c r="C8" s="92">
        <v>67730739</v>
      </c>
      <c r="D8" s="92">
        <v>46520309</v>
      </c>
      <c r="E8" s="178">
        <f>D8-B8</f>
        <v>-21210430</v>
      </c>
      <c r="F8" s="397">
        <f>IF(ISBLANK(E8),"  ",IF(B8&gt;0,E8/B8,IF(E8&gt;0,1,0)))</f>
        <v>-0.31315810683831458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4042440</v>
      </c>
      <c r="E9" s="178">
        <f>D9-B9</f>
        <v>4042440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3061651</v>
      </c>
      <c r="C10" s="93">
        <f>SUM(C11:C25)</f>
        <v>3156581</v>
      </c>
      <c r="D10" s="93">
        <f>SUM(D11:D25)</f>
        <v>3072841</v>
      </c>
      <c r="E10" s="160">
        <f>D10-C10</f>
        <v>-83740</v>
      </c>
      <c r="F10" s="369">
        <f t="shared" si="0"/>
        <v>-2.7351255907351948E-2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341972</v>
      </c>
      <c r="E11" s="178">
        <f>D11-B11</f>
        <v>341972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3061651</v>
      </c>
      <c r="C12" s="93">
        <v>3156581</v>
      </c>
      <c r="D12" s="93">
        <v>2730869</v>
      </c>
      <c r="E12" s="178">
        <f>D12-B12</f>
        <v>-330782</v>
      </c>
      <c r="F12" s="369">
        <f t="shared" si="0"/>
        <v>-0.10804040042447687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70792390</v>
      </c>
      <c r="C31" s="122">
        <f>SUM(C8:C10,C26:C30)</f>
        <v>70887320</v>
      </c>
      <c r="D31" s="122">
        <f>SUM(D8:D10,D26:D30)</f>
        <v>53635590</v>
      </c>
      <c r="E31" s="465">
        <f>D31-B31</f>
        <v>-17156800</v>
      </c>
      <c r="F31" s="390">
        <f t="shared" si="0"/>
        <v>-0.24235373321906492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11585148</v>
      </c>
      <c r="E37" s="465">
        <f>D37-B37</f>
        <v>11585148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50668050</v>
      </c>
      <c r="C39" s="147">
        <v>50678019</v>
      </c>
      <c r="D39" s="147">
        <v>55898840</v>
      </c>
      <c r="E39" s="465">
        <f>D39-B39</f>
        <v>5230790</v>
      </c>
      <c r="F39" s="399">
        <f>IF(ISBLANK(E39),"  ",IF(B39&gt;0,E39/B39,IF(E39&gt;0,1,0)))</f>
        <v>0.10323645768881969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121460440</v>
      </c>
      <c r="C45" s="147">
        <f>SUM(C43,C41,C39,C35,C33,C31)</f>
        <v>121565339</v>
      </c>
      <c r="D45" s="147">
        <f>SUM(D43,D41,D39,D37,D35,D33,D31)</f>
        <v>121119578</v>
      </c>
      <c r="E45" s="465">
        <f>D45-B45</f>
        <v>-340862</v>
      </c>
      <c r="F45" s="345">
        <f>IF(ISBLANK(E45),"  ",IF(B45&gt;0,E45/B45,IF(E45&gt;0,1,0)))</f>
        <v>-2.8063623019972594E-3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50350839</v>
      </c>
      <c r="C49" s="154">
        <v>51595001</v>
      </c>
      <c r="D49" s="154">
        <v>49961967.439502783</v>
      </c>
      <c r="E49" s="178">
        <f t="shared" ref="E49:E62" si="1">D49-B49</f>
        <v>-388871.56049721688</v>
      </c>
      <c r="F49" s="397">
        <f t="shared" ref="F49:F62" si="2">IF(ISBLANK(E49),"  ",IF(B49&gt;0,E49/B49,IF(E49&gt;0,1,0)))</f>
        <v>-7.7232389414050653E-3</v>
      </c>
      <c r="G49" s="24"/>
      <c r="H49" s="24"/>
    </row>
    <row r="50" spans="1:8" ht="34.5">
      <c r="A50" s="156" t="s">
        <v>42</v>
      </c>
      <c r="B50" s="157">
        <v>1978324</v>
      </c>
      <c r="C50" s="157">
        <v>1616380</v>
      </c>
      <c r="D50" s="157">
        <v>1658871.4168174036</v>
      </c>
      <c r="E50" s="178">
        <f t="shared" si="1"/>
        <v>-319452.58318259637</v>
      </c>
      <c r="F50" s="369">
        <f t="shared" si="2"/>
        <v>-0.16147637251663347</v>
      </c>
      <c r="G50" s="24"/>
      <c r="H50" s="24"/>
    </row>
    <row r="51" spans="1:8" ht="34.5">
      <c r="A51" s="158" t="s">
        <v>43</v>
      </c>
      <c r="B51" s="159">
        <v>3015282</v>
      </c>
      <c r="C51" s="159">
        <v>1668264</v>
      </c>
      <c r="D51" s="159">
        <v>2771816</v>
      </c>
      <c r="E51" s="178">
        <f t="shared" si="1"/>
        <v>-243466</v>
      </c>
      <c r="F51" s="369">
        <f t="shared" si="2"/>
        <v>-8.0744023278751367E-2</v>
      </c>
      <c r="G51" s="24"/>
      <c r="H51" s="24"/>
    </row>
    <row r="52" spans="1:8" ht="34.5">
      <c r="A52" s="158" t="s">
        <v>44</v>
      </c>
      <c r="B52" s="159">
        <v>12122959</v>
      </c>
      <c r="C52" s="159">
        <v>14930214</v>
      </c>
      <c r="D52" s="159">
        <v>13789976.855507424</v>
      </c>
      <c r="E52" s="178">
        <f t="shared" si="1"/>
        <v>1667017.8555074241</v>
      </c>
      <c r="F52" s="369">
        <f t="shared" si="2"/>
        <v>0.13750915560362978</v>
      </c>
      <c r="G52" s="24"/>
      <c r="H52" s="24"/>
    </row>
    <row r="53" spans="1:8" ht="34.5">
      <c r="A53" s="156" t="s">
        <v>45</v>
      </c>
      <c r="B53" s="159">
        <v>4971420</v>
      </c>
      <c r="C53" s="159">
        <v>6003177</v>
      </c>
      <c r="D53" s="159">
        <v>5447445.5467728265</v>
      </c>
      <c r="E53" s="178">
        <f t="shared" si="1"/>
        <v>476025.54677282646</v>
      </c>
      <c r="F53" s="369">
        <f t="shared" si="2"/>
        <v>9.5752430245850575E-2</v>
      </c>
      <c r="G53" s="24"/>
      <c r="H53" s="24"/>
    </row>
    <row r="54" spans="1:8" ht="34.5">
      <c r="A54" s="153" t="s">
        <v>74</v>
      </c>
      <c r="B54" s="160">
        <v>19856595</v>
      </c>
      <c r="C54" s="160">
        <v>21888826</v>
      </c>
      <c r="D54" s="160">
        <v>20747612.022015307</v>
      </c>
      <c r="E54" s="178">
        <f t="shared" si="1"/>
        <v>891017.0220153071</v>
      </c>
      <c r="F54" s="369">
        <f t="shared" si="2"/>
        <v>4.487259885268885E-2</v>
      </c>
      <c r="G54" s="24"/>
      <c r="H54" s="24"/>
    </row>
    <row r="55" spans="1:8" ht="34.5">
      <c r="A55" s="117" t="s">
        <v>46</v>
      </c>
      <c r="B55" s="118">
        <v>10013845</v>
      </c>
      <c r="C55" s="118">
        <v>9798432</v>
      </c>
      <c r="D55" s="118">
        <v>12203508</v>
      </c>
      <c r="E55" s="178">
        <f t="shared" si="1"/>
        <v>2189663</v>
      </c>
      <c r="F55" s="369">
        <f t="shared" si="2"/>
        <v>0.21866356030076359</v>
      </c>
      <c r="G55" s="24"/>
      <c r="H55" s="24"/>
    </row>
    <row r="56" spans="1:8" ht="34.5">
      <c r="A56" s="117" t="s">
        <v>47</v>
      </c>
      <c r="B56" s="93">
        <v>19151176</v>
      </c>
      <c r="C56" s="93">
        <v>14065045</v>
      </c>
      <c r="D56" s="93">
        <v>14538381.015026346</v>
      </c>
      <c r="E56" s="178">
        <f t="shared" si="1"/>
        <v>-4612794.9849736542</v>
      </c>
      <c r="F56" s="369">
        <f t="shared" si="2"/>
        <v>-0.24086223138326618</v>
      </c>
      <c r="G56" s="24"/>
      <c r="H56" s="24"/>
    </row>
    <row r="57" spans="1:8" ht="35.25">
      <c r="A57" s="114" t="s">
        <v>48</v>
      </c>
      <c r="B57" s="116">
        <f>SUM(B49:B56)</f>
        <v>121460440</v>
      </c>
      <c r="C57" s="116">
        <f>SUM(C49:C56)</f>
        <v>121565339</v>
      </c>
      <c r="D57" s="116">
        <f>SUM(D49:D56)</f>
        <v>121119578.29564208</v>
      </c>
      <c r="E57" s="465">
        <f t="shared" si="1"/>
        <v>-340861.70435792208</v>
      </c>
      <c r="F57" s="390">
        <f t="shared" si="2"/>
        <v>-2.8063598679366063E-3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2"/>
        <v xml:space="preserve">  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2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121460440</v>
      </c>
      <c r="C62" s="120">
        <f>SUM(C57:C61)</f>
        <v>121565339</v>
      </c>
      <c r="D62" s="120">
        <f>SUM(D57:D61)</f>
        <v>121119578.29564208</v>
      </c>
      <c r="E62" s="465">
        <f t="shared" si="1"/>
        <v>-340861.70435792208</v>
      </c>
      <c r="F62" s="344">
        <f t="shared" si="2"/>
        <v>-2.8063598679366063E-3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59667952</v>
      </c>
      <c r="C65" s="92">
        <v>62489028</v>
      </c>
      <c r="D65" s="92">
        <v>60170304</v>
      </c>
      <c r="E65" s="178">
        <f t="shared" ref="E65:E82" si="3">D65-B65</f>
        <v>502352</v>
      </c>
      <c r="F65" s="397">
        <f t="shared" ref="F65:F82" si="4">IF(ISBLANK(E65),"  ",IF(B65&gt;0,E65/B65,IF(E65&gt;0,1,0)))</f>
        <v>8.4191258986063399E-3</v>
      </c>
      <c r="G65" s="24"/>
      <c r="H65" s="24"/>
    </row>
    <row r="66" spans="1:8" ht="34.5">
      <c r="A66" s="117" t="s">
        <v>56</v>
      </c>
      <c r="B66" s="118">
        <v>4786639</v>
      </c>
      <c r="C66" s="118">
        <v>4151232</v>
      </c>
      <c r="D66" s="118">
        <v>4477655</v>
      </c>
      <c r="E66" s="178">
        <f t="shared" si="3"/>
        <v>-308984</v>
      </c>
      <c r="F66" s="369">
        <f t="shared" si="4"/>
        <v>-6.4551348033557582E-2</v>
      </c>
      <c r="G66" s="24"/>
      <c r="H66" s="24"/>
    </row>
    <row r="67" spans="1:8" ht="34.5">
      <c r="A67" s="117" t="s">
        <v>57</v>
      </c>
      <c r="B67" s="118">
        <v>17395341</v>
      </c>
      <c r="C67" s="118">
        <f>18153366-543427</f>
        <v>17609939</v>
      </c>
      <c r="D67" s="118">
        <v>16556531</v>
      </c>
      <c r="E67" s="178">
        <f t="shared" si="3"/>
        <v>-838810</v>
      </c>
      <c r="F67" s="369">
        <f t="shared" si="4"/>
        <v>-4.8220382687525355E-2</v>
      </c>
      <c r="G67" s="24"/>
      <c r="H67" s="24"/>
    </row>
    <row r="68" spans="1:8" ht="35.25">
      <c r="A68" s="175" t="s">
        <v>58</v>
      </c>
      <c r="B68" s="116">
        <f>SUM(B65:B67)</f>
        <v>81849932</v>
      </c>
      <c r="C68" s="116">
        <f>SUM(C65:C67)</f>
        <v>84250199</v>
      </c>
      <c r="D68" s="116">
        <f>SUM(D65:D67)</f>
        <v>81204490</v>
      </c>
      <c r="E68" s="465">
        <f t="shared" si="3"/>
        <v>-645442</v>
      </c>
      <c r="F68" s="390">
        <f t="shared" si="4"/>
        <v>-7.8856754578611014E-3</v>
      </c>
      <c r="G68" s="24"/>
      <c r="H68" s="24"/>
    </row>
    <row r="69" spans="1:8" ht="34.5">
      <c r="A69" s="151" t="s">
        <v>59</v>
      </c>
      <c r="B69" s="166">
        <v>758896</v>
      </c>
      <c r="C69" s="166">
        <f>701623-25000</f>
        <v>676623</v>
      </c>
      <c r="D69" s="166">
        <v>884958</v>
      </c>
      <c r="E69" s="178">
        <f t="shared" si="3"/>
        <v>126062</v>
      </c>
      <c r="F69" s="369">
        <f t="shared" si="4"/>
        <v>0.16611235268073624</v>
      </c>
      <c r="G69" s="24"/>
      <c r="H69" s="24"/>
    </row>
    <row r="70" spans="1:8" ht="34.5">
      <c r="A70" s="151" t="s">
        <v>60</v>
      </c>
      <c r="B70" s="166">
        <v>13911060</v>
      </c>
      <c r="C70" s="166">
        <f>12496549-555000</f>
        <v>11941549</v>
      </c>
      <c r="D70" s="166">
        <v>12615474</v>
      </c>
      <c r="E70" s="178">
        <f t="shared" si="3"/>
        <v>-1295586</v>
      </c>
      <c r="F70" s="369">
        <f t="shared" si="4"/>
        <v>-9.3133521097601479E-2</v>
      </c>
      <c r="G70" s="24"/>
      <c r="H70" s="24"/>
    </row>
    <row r="71" spans="1:8" ht="34.5">
      <c r="A71" s="176" t="s">
        <v>61</v>
      </c>
      <c r="B71" s="177">
        <v>2536706</v>
      </c>
      <c r="C71" s="177">
        <f>2867661-75000</f>
        <v>2792661</v>
      </c>
      <c r="D71" s="177">
        <v>3032875</v>
      </c>
      <c r="E71" s="178">
        <f t="shared" si="3"/>
        <v>496169</v>
      </c>
      <c r="F71" s="369">
        <f t="shared" si="4"/>
        <v>0.19559578445432776</v>
      </c>
      <c r="G71" s="24"/>
      <c r="H71" s="24"/>
    </row>
    <row r="72" spans="1:8" ht="35.25">
      <c r="A72" s="114" t="s">
        <v>62</v>
      </c>
      <c r="B72" s="116">
        <f>SUM(B69:B71)</f>
        <v>17206662</v>
      </c>
      <c r="C72" s="116">
        <f>SUM(C69:C71)</f>
        <v>15410833</v>
      </c>
      <c r="D72" s="116">
        <f>SUM(D69:D71)</f>
        <v>16533307</v>
      </c>
      <c r="E72" s="465">
        <f t="shared" si="3"/>
        <v>-673355</v>
      </c>
      <c r="F72" s="390">
        <f t="shared" si="4"/>
        <v>-3.9133389148923829E-2</v>
      </c>
      <c r="G72" s="24"/>
      <c r="H72" s="24"/>
    </row>
    <row r="73" spans="1:8" ht="34.5">
      <c r="A73" s="117" t="s">
        <v>63</v>
      </c>
      <c r="B73" s="118">
        <v>2297702</v>
      </c>
      <c r="C73" s="118">
        <f>2186886-15000</f>
        <v>2171886</v>
      </c>
      <c r="D73" s="118">
        <v>1387513</v>
      </c>
      <c r="E73" s="178">
        <f t="shared" si="3"/>
        <v>-910189</v>
      </c>
      <c r="F73" s="369">
        <f t="shared" si="4"/>
        <v>-0.39613013349859988</v>
      </c>
      <c r="G73" s="24"/>
      <c r="H73" s="24"/>
    </row>
    <row r="74" spans="1:8" ht="34.5">
      <c r="A74" s="126" t="s">
        <v>64</v>
      </c>
      <c r="B74" s="128">
        <v>17823099</v>
      </c>
      <c r="C74" s="128">
        <v>16548430</v>
      </c>
      <c r="D74" s="128">
        <v>19280110</v>
      </c>
      <c r="E74" s="178">
        <f t="shared" si="3"/>
        <v>1457011</v>
      </c>
      <c r="F74" s="369">
        <f t="shared" si="4"/>
        <v>8.1748465853216656E-2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/>
      <c r="C76" s="118"/>
      <c r="D76" s="118"/>
      <c r="E76" s="178"/>
      <c r="F76" s="369" t="str">
        <f t="shared" si="4"/>
        <v xml:space="preserve">  </v>
      </c>
      <c r="G76" s="24"/>
      <c r="H76" s="24"/>
    </row>
    <row r="77" spans="1:8" ht="35.25">
      <c r="A77" s="114" t="s">
        <v>67</v>
      </c>
      <c r="B77" s="116">
        <f>SUM(B73:B76)</f>
        <v>20120801</v>
      </c>
      <c r="C77" s="116">
        <f>SUM(C73:C76)</f>
        <v>18720316</v>
      </c>
      <c r="D77" s="116">
        <f>SUM(D73:D76)</f>
        <v>20667623</v>
      </c>
      <c r="E77" s="465">
        <f t="shared" si="3"/>
        <v>546822</v>
      </c>
      <c r="F77" s="390">
        <f t="shared" si="4"/>
        <v>2.7176949863974103E-2</v>
      </c>
      <c r="G77" s="24"/>
      <c r="H77" s="24"/>
    </row>
    <row r="78" spans="1:8" ht="34.5">
      <c r="A78" s="117" t="s">
        <v>68</v>
      </c>
      <c r="B78" s="118">
        <v>369919</v>
      </c>
      <c r="C78" s="118">
        <v>1208643</v>
      </c>
      <c r="D78" s="118">
        <v>996699</v>
      </c>
      <c r="E78" s="178">
        <f t="shared" si="3"/>
        <v>626780</v>
      </c>
      <c r="F78" s="369">
        <f t="shared" si="4"/>
        <v>1.6943709298522109</v>
      </c>
      <c r="G78" s="24"/>
      <c r="H78" s="24"/>
    </row>
    <row r="79" spans="1:8" ht="34.5">
      <c r="A79" s="117" t="s">
        <v>69</v>
      </c>
      <c r="B79" s="118">
        <v>1913126</v>
      </c>
      <c r="C79" s="118">
        <v>1975348</v>
      </c>
      <c r="D79" s="118">
        <v>1717459</v>
      </c>
      <c r="E79" s="178">
        <f t="shared" si="3"/>
        <v>-195667</v>
      </c>
      <c r="F79" s="369">
        <f t="shared" si="4"/>
        <v>-0.10227606545517651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8" ht="35.25">
      <c r="A81" s="114" t="s">
        <v>71</v>
      </c>
      <c r="B81" s="116">
        <f>SUM(B78:B80)</f>
        <v>2283045</v>
      </c>
      <c r="C81" s="116">
        <f>SUM(C78:C80)</f>
        <v>3183991</v>
      </c>
      <c r="D81" s="116">
        <f>SUM(D78:D80)</f>
        <v>2714158</v>
      </c>
      <c r="E81" s="465">
        <f t="shared" si="3"/>
        <v>431113</v>
      </c>
      <c r="F81" s="390">
        <f t="shared" si="4"/>
        <v>0.18883245840533147</v>
      </c>
      <c r="G81" s="24"/>
      <c r="H81" s="24"/>
    </row>
    <row r="82" spans="1:8" ht="36" thickBot="1">
      <c r="A82" s="164" t="s">
        <v>53</v>
      </c>
      <c r="B82" s="165">
        <f>+B81+B77+B72+B68</f>
        <v>121460440</v>
      </c>
      <c r="C82" s="165">
        <f>+C81+C77+C72+C68</f>
        <v>121565339</v>
      </c>
      <c r="D82" s="165">
        <f>+D81+D77+D72+D68</f>
        <v>121119578</v>
      </c>
      <c r="E82" s="466">
        <f t="shared" si="3"/>
        <v>-340862</v>
      </c>
      <c r="F82" s="348">
        <f t="shared" si="4"/>
        <v>-2.8063623019972594E-3</v>
      </c>
      <c r="G82" s="24"/>
      <c r="H82" s="24"/>
    </row>
    <row r="83" spans="1:8" ht="44.25">
      <c r="A83" s="36"/>
      <c r="B83" s="24"/>
      <c r="C83" s="24"/>
      <c r="D83" s="24"/>
      <c r="E83" s="24"/>
      <c r="F83" s="353"/>
      <c r="G83" s="24"/>
      <c r="H83" s="24"/>
    </row>
    <row r="84" spans="1:8" ht="44.25">
      <c r="A84" s="113" t="s">
        <v>96</v>
      </c>
      <c r="B84" s="24"/>
      <c r="C84" s="24"/>
      <c r="D84" s="24"/>
      <c r="E84" s="24"/>
      <c r="F84" s="353"/>
      <c r="G84" s="24"/>
      <c r="H84" s="24"/>
    </row>
    <row r="85" spans="1:8" ht="44.25">
      <c r="A85" s="36" t="s">
        <v>86</v>
      </c>
      <c r="B85" s="24"/>
      <c r="C85" s="24"/>
      <c r="D85" s="24"/>
      <c r="E85" s="24"/>
      <c r="F85" s="353"/>
      <c r="G85" s="24"/>
      <c r="H85" s="24"/>
    </row>
  </sheetData>
  <phoneticPr fontId="5" type="noConversion"/>
  <printOptions horizontalCentered="1"/>
  <pageMargins left="0.45" right="0.45" top="0.5" bottom="0.5" header="0.3" footer="0.3"/>
  <pageSetup scale="24" orientation="portrait" r:id="rId1"/>
  <rowBreaks count="1" manualBreakCount="1">
    <brk id="86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showOutlineSymbols="0" topLeftCell="A67" zoomScale="30" zoomScaleNormal="100" workbookViewId="0">
      <selection activeCell="C5" sqref="C5"/>
    </sheetView>
  </sheetViews>
  <sheetFormatPr defaultRowHeight="15"/>
  <cols>
    <col min="1" max="1" width="115.777343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293</v>
      </c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112702373</v>
      </c>
      <c r="C8" s="92">
        <v>112702373</v>
      </c>
      <c r="D8" s="92">
        <v>75725369</v>
      </c>
      <c r="E8" s="178">
        <f>D8-B8</f>
        <v>-36977004</v>
      </c>
      <c r="F8" s="397">
        <f>IF(ISBLANK(E8),"  ",IF(B8&gt;0,E8/B8,IF(E8&gt;0,1,0)))</f>
        <v>-0.32809428067676977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6927443</v>
      </c>
      <c r="E9" s="178">
        <f>D9-B9</f>
        <v>6927443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22441647</v>
      </c>
      <c r="C10" s="93">
        <f>SUM(C11:C25)</f>
        <v>22594995</v>
      </c>
      <c r="D10" s="93">
        <f>SUM(D11:D25)</f>
        <v>23095874</v>
      </c>
      <c r="E10" s="160">
        <f>D10-C10</f>
        <v>500879</v>
      </c>
      <c r="F10" s="369">
        <f t="shared" si="0"/>
        <v>2.2319172919884177E-2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586030</v>
      </c>
      <c r="E11" s="178">
        <f>D11-B11</f>
        <v>586030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4945721</v>
      </c>
      <c r="C12" s="93">
        <v>5099069</v>
      </c>
      <c r="D12" s="93">
        <v>4411384</v>
      </c>
      <c r="E12" s="178">
        <f>D12-B12</f>
        <v>-534337</v>
      </c>
      <c r="F12" s="369">
        <f t="shared" si="0"/>
        <v>-0.10804026349242102</v>
      </c>
      <c r="G12" s="24"/>
      <c r="H12" s="24"/>
      <c r="I12" s="24"/>
      <c r="J12" s="24"/>
    </row>
    <row r="13" spans="1:10" ht="34.5">
      <c r="A13" s="31" t="s">
        <v>18</v>
      </c>
      <c r="B13" s="93">
        <v>17495926</v>
      </c>
      <c r="C13" s="93">
        <v>17495926</v>
      </c>
      <c r="D13" s="93">
        <v>18098460</v>
      </c>
      <c r="E13" s="178">
        <f>D13-B13</f>
        <v>602534</v>
      </c>
      <c r="F13" s="369">
        <f t="shared" si="0"/>
        <v>3.4438531575865149E-2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135144020</v>
      </c>
      <c r="C31" s="122">
        <f>SUM(C8:C10,C26:C30)</f>
        <v>135297368</v>
      </c>
      <c r="D31" s="122">
        <f>SUM(D8:D10,D26:D30)</f>
        <v>105748686</v>
      </c>
      <c r="E31" s="465">
        <f>D31-B31</f>
        <v>-29395334</v>
      </c>
      <c r="F31" s="390">
        <f t="shared" si="0"/>
        <v>-0.21751117067555042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v>35290810</v>
      </c>
      <c r="C35" s="147">
        <v>39169464</v>
      </c>
      <c r="D35" s="147">
        <v>39169464</v>
      </c>
      <c r="E35" s="465">
        <f>D35-B35</f>
        <v>3878654</v>
      </c>
      <c r="F35" s="399">
        <f>IF(ISBLANK(E35),"  ",IF(B35&gt;0,E35/B35,IF(E35&gt;0,1,0)))</f>
        <v>0.10990549664346044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19890110</v>
      </c>
      <c r="E37" s="465">
        <f>D37-B37</f>
        <v>19890110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20566762</v>
      </c>
      <c r="C39" s="147">
        <v>21429159</v>
      </c>
      <c r="D39" s="147">
        <v>22912676</v>
      </c>
      <c r="E39" s="465">
        <f>D39-B39</f>
        <v>2345914</v>
      </c>
      <c r="F39" s="399">
        <f>IF(ISBLANK(E39),"  ",IF(B39&gt;0,E39/B39,IF(E39&gt;0,1,0)))</f>
        <v>0.11406336106772666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191001592</v>
      </c>
      <c r="C45" s="147">
        <f>SUM(C43,C41,C39,C35,C33,C31)</f>
        <v>195895991</v>
      </c>
      <c r="D45" s="147">
        <f>SUM(D43,D41,D39,D35,D33,D31,D37)</f>
        <v>187720936</v>
      </c>
      <c r="E45" s="465">
        <f>D45-B45</f>
        <v>-3280656</v>
      </c>
      <c r="F45" s="345">
        <f>IF(ISBLANK(E45),"  ",IF(B45&gt;0,E45/B45,IF(E45&gt;0,1,0)))</f>
        <v>-1.7176066260222583E-2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103335184</v>
      </c>
      <c r="C49" s="154">
        <v>110217286</v>
      </c>
      <c r="D49" s="154">
        <v>104086384</v>
      </c>
      <c r="E49" s="178">
        <f t="shared" ref="E49:E62" si="1">D49-B49</f>
        <v>751200</v>
      </c>
      <c r="F49" s="397">
        <f t="shared" ref="F49:F62" si="2">IF(ISBLANK(E49),"  ",IF(B49&gt;0,E49/B49,IF(E49&gt;0,1,0)))</f>
        <v>7.2695472241090702E-3</v>
      </c>
      <c r="G49" s="24"/>
      <c r="H49" s="24"/>
    </row>
    <row r="50" spans="1:8" ht="34.5">
      <c r="A50" s="156" t="s">
        <v>42</v>
      </c>
      <c r="B50" s="157">
        <v>21050067</v>
      </c>
      <c r="C50" s="157">
        <v>20231897</v>
      </c>
      <c r="D50" s="157">
        <v>17733820</v>
      </c>
      <c r="E50" s="178">
        <f t="shared" si="1"/>
        <v>-3316247</v>
      </c>
      <c r="F50" s="369">
        <f t="shared" si="2"/>
        <v>-0.15754092374147788</v>
      </c>
      <c r="G50" s="24"/>
      <c r="H50" s="24"/>
    </row>
    <row r="51" spans="1:8" ht="34.5">
      <c r="A51" s="158" t="s">
        <v>43</v>
      </c>
      <c r="B51" s="159">
        <v>7353260</v>
      </c>
      <c r="C51" s="159">
        <v>7365653</v>
      </c>
      <c r="D51" s="159">
        <v>7339931</v>
      </c>
      <c r="E51" s="178">
        <f t="shared" si="1"/>
        <v>-13329</v>
      </c>
      <c r="F51" s="369">
        <f t="shared" si="2"/>
        <v>-1.8126654028281335E-3</v>
      </c>
      <c r="G51" s="24"/>
      <c r="H51" s="24"/>
    </row>
    <row r="52" spans="1:8" ht="34.5">
      <c r="A52" s="158" t="s">
        <v>44</v>
      </c>
      <c r="B52" s="159">
        <v>16478099</v>
      </c>
      <c r="C52" s="159">
        <v>14777596</v>
      </c>
      <c r="D52" s="159">
        <v>13175832</v>
      </c>
      <c r="E52" s="178">
        <f t="shared" si="1"/>
        <v>-3302267</v>
      </c>
      <c r="F52" s="369">
        <f t="shared" si="2"/>
        <v>-0.20040339604708043</v>
      </c>
      <c r="G52" s="24"/>
      <c r="H52" s="24"/>
    </row>
    <row r="53" spans="1:8" ht="34.5">
      <c r="A53" s="156" t="s">
        <v>45</v>
      </c>
      <c r="B53" s="159">
        <v>2435286</v>
      </c>
      <c r="C53" s="159">
        <v>2862772</v>
      </c>
      <c r="D53" s="159">
        <v>2557968</v>
      </c>
      <c r="E53" s="178">
        <f t="shared" si="1"/>
        <v>122682</v>
      </c>
      <c r="F53" s="369">
        <f t="shared" si="2"/>
        <v>5.0376834589448631E-2</v>
      </c>
      <c r="G53" s="24"/>
      <c r="H53" s="24"/>
    </row>
    <row r="54" spans="1:8" ht="34.5">
      <c r="A54" s="153" t="s">
        <v>74</v>
      </c>
      <c r="B54" s="160">
        <v>10823067</v>
      </c>
      <c r="C54" s="160">
        <v>13629726</v>
      </c>
      <c r="D54" s="160">
        <v>14873204</v>
      </c>
      <c r="E54" s="178">
        <f t="shared" si="1"/>
        <v>4050137</v>
      </c>
      <c r="F54" s="369">
        <f t="shared" si="2"/>
        <v>0.37421342767258114</v>
      </c>
      <c r="G54" s="24"/>
      <c r="H54" s="24"/>
    </row>
    <row r="55" spans="1:8" ht="34.5">
      <c r="A55" s="117" t="s">
        <v>46</v>
      </c>
      <c r="B55" s="118">
        <v>2212569</v>
      </c>
      <c r="C55" s="118">
        <v>1729727</v>
      </c>
      <c r="D55" s="118">
        <v>1915696</v>
      </c>
      <c r="E55" s="178">
        <f t="shared" si="1"/>
        <v>-296873</v>
      </c>
      <c r="F55" s="369">
        <f t="shared" si="2"/>
        <v>-0.13417570254306194</v>
      </c>
      <c r="G55" s="24"/>
      <c r="H55" s="24"/>
    </row>
    <row r="56" spans="1:8" ht="34.5">
      <c r="A56" s="117" t="s">
        <v>47</v>
      </c>
      <c r="B56" s="93">
        <v>27047698</v>
      </c>
      <c r="C56" s="93">
        <v>24764117</v>
      </c>
      <c r="D56" s="93">
        <v>25764117</v>
      </c>
      <c r="E56" s="178">
        <f t="shared" si="1"/>
        <v>-1283581</v>
      </c>
      <c r="F56" s="369">
        <f t="shared" si="2"/>
        <v>-4.745620126341251E-2</v>
      </c>
      <c r="G56" s="24"/>
      <c r="H56" s="24"/>
    </row>
    <row r="57" spans="1:8" ht="35.25">
      <c r="A57" s="114" t="s">
        <v>48</v>
      </c>
      <c r="B57" s="116">
        <f>SUM(B49:B56)</f>
        <v>190735230</v>
      </c>
      <c r="C57" s="116">
        <f>SUM(C49:C56)</f>
        <v>195578774</v>
      </c>
      <c r="D57" s="116">
        <f>SUM(D49:D56)</f>
        <v>187446952</v>
      </c>
      <c r="E57" s="465">
        <f t="shared" si="1"/>
        <v>-3288278</v>
      </c>
      <c r="F57" s="390">
        <f t="shared" si="2"/>
        <v>-1.7240013813913664E-2</v>
      </c>
      <c r="G57" s="24"/>
      <c r="H57" s="24"/>
    </row>
    <row r="58" spans="1:8" ht="34.5">
      <c r="A58" s="117" t="s">
        <v>49</v>
      </c>
      <c r="B58" s="93">
        <v>-72</v>
      </c>
      <c r="C58" s="93">
        <v>0</v>
      </c>
      <c r="D58" s="93">
        <v>0</v>
      </c>
      <c r="E58" s="178">
        <f t="shared" si="1"/>
        <v>72</v>
      </c>
      <c r="F58" s="369">
        <f t="shared" si="2"/>
        <v>1</v>
      </c>
      <c r="G58" s="24"/>
      <c r="H58" s="24"/>
    </row>
    <row r="59" spans="1:8" ht="34.5">
      <c r="A59" s="117" t="s">
        <v>50</v>
      </c>
      <c r="B59" s="93">
        <v>266434</v>
      </c>
      <c r="C59" s="93">
        <v>317217</v>
      </c>
      <c r="D59" s="93">
        <v>273984</v>
      </c>
      <c r="E59" s="178">
        <f t="shared" si="1"/>
        <v>7550</v>
      </c>
      <c r="F59" s="369">
        <f t="shared" si="2"/>
        <v>2.833722422813905E-2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2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191001592</v>
      </c>
      <c r="C62" s="120">
        <f>SUM(C57:C61)</f>
        <v>195895991</v>
      </c>
      <c r="D62" s="120">
        <f>SUM(D57:D61)</f>
        <v>187720936</v>
      </c>
      <c r="E62" s="465">
        <f t="shared" si="1"/>
        <v>-3280656</v>
      </c>
      <c r="F62" s="344">
        <f t="shared" si="2"/>
        <v>-1.7176066260222583E-2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104383879.34</v>
      </c>
      <c r="C65" s="92">
        <v>110462625</v>
      </c>
      <c r="D65" s="92">
        <v>106967934</v>
      </c>
      <c r="E65" s="178">
        <f t="shared" ref="E65:E82" si="3">D65-B65</f>
        <v>2584054.6599999964</v>
      </c>
      <c r="F65" s="397">
        <f t="shared" ref="F65:F82" si="4">IF(ISBLANK(E65),"  ",IF(B65&gt;0,E65/B65,IF(E65&gt;0,1,0)))</f>
        <v>2.4755303944809265E-2</v>
      </c>
      <c r="G65" s="24"/>
      <c r="H65" s="24"/>
    </row>
    <row r="66" spans="1:8" ht="34.5">
      <c r="A66" s="117" t="s">
        <v>56</v>
      </c>
      <c r="B66" s="118">
        <v>2481088.36</v>
      </c>
      <c r="C66" s="118">
        <v>2188660</v>
      </c>
      <c r="D66" s="118">
        <v>1687824</v>
      </c>
      <c r="E66" s="178">
        <f t="shared" si="3"/>
        <v>-793264.35999999987</v>
      </c>
      <c r="F66" s="369">
        <f t="shared" si="4"/>
        <v>-0.31972434871283661</v>
      </c>
      <c r="G66" s="24"/>
      <c r="H66" s="24"/>
    </row>
    <row r="67" spans="1:8" ht="34.5">
      <c r="A67" s="117" t="s">
        <v>57</v>
      </c>
      <c r="B67" s="118">
        <v>18598849.890000001</v>
      </c>
      <c r="C67" s="118">
        <v>24354462</v>
      </c>
      <c r="D67" s="118">
        <v>24161455</v>
      </c>
      <c r="E67" s="178">
        <f t="shared" si="3"/>
        <v>5562605.1099999994</v>
      </c>
      <c r="F67" s="369">
        <f t="shared" si="4"/>
        <v>0.29908328433742737</v>
      </c>
      <c r="G67" s="24"/>
      <c r="H67" s="24"/>
    </row>
    <row r="68" spans="1:8" ht="35.25">
      <c r="A68" s="175" t="s">
        <v>58</v>
      </c>
      <c r="B68" s="116">
        <f>SUM(B65:B67)</f>
        <v>125463817.59</v>
      </c>
      <c r="C68" s="116">
        <f>SUM(C65:C67)</f>
        <v>137005747</v>
      </c>
      <c r="D68" s="116">
        <f>SUM(D65:D67)</f>
        <v>132817213</v>
      </c>
      <c r="E68" s="465">
        <f t="shared" si="3"/>
        <v>7353395.4099999964</v>
      </c>
      <c r="F68" s="390">
        <f t="shared" si="4"/>
        <v>5.8609689640004174E-2</v>
      </c>
      <c r="G68" s="24"/>
      <c r="H68" s="24"/>
    </row>
    <row r="69" spans="1:8" ht="34.5">
      <c r="A69" s="151" t="s">
        <v>59</v>
      </c>
      <c r="B69" s="166">
        <v>1101508.69</v>
      </c>
      <c r="C69" s="166">
        <v>783896</v>
      </c>
      <c r="D69" s="166">
        <v>525930</v>
      </c>
      <c r="E69" s="178">
        <f t="shared" si="3"/>
        <v>-575578.68999999994</v>
      </c>
      <c r="F69" s="369">
        <f t="shared" si="4"/>
        <v>-0.52253667649231161</v>
      </c>
      <c r="G69" s="24"/>
      <c r="H69" s="24"/>
    </row>
    <row r="70" spans="1:8" ht="34.5">
      <c r="A70" s="151" t="s">
        <v>60</v>
      </c>
      <c r="B70" s="166">
        <v>15318392.17</v>
      </c>
      <c r="C70" s="166">
        <v>16561094</v>
      </c>
      <c r="D70" s="166">
        <v>15865766</v>
      </c>
      <c r="E70" s="178">
        <f t="shared" si="3"/>
        <v>547373.83000000007</v>
      </c>
      <c r="F70" s="369">
        <f t="shared" si="4"/>
        <v>3.5733112452362555E-2</v>
      </c>
      <c r="G70" s="24"/>
      <c r="H70" s="24"/>
    </row>
    <row r="71" spans="1:8" ht="34.5">
      <c r="A71" s="176" t="s">
        <v>61</v>
      </c>
      <c r="B71" s="177">
        <v>12003998.960000001</v>
      </c>
      <c r="C71" s="177">
        <v>8239360</v>
      </c>
      <c r="D71" s="177">
        <v>3994017</v>
      </c>
      <c r="E71" s="178">
        <f t="shared" si="3"/>
        <v>-8009981.9600000009</v>
      </c>
      <c r="F71" s="369">
        <f t="shared" si="4"/>
        <v>-0.66727612912089096</v>
      </c>
      <c r="G71" s="24"/>
      <c r="H71" s="24"/>
    </row>
    <row r="72" spans="1:8" ht="35.25">
      <c r="A72" s="114" t="s">
        <v>62</v>
      </c>
      <c r="B72" s="116">
        <f>SUM(B69:B71)</f>
        <v>28423899.82</v>
      </c>
      <c r="C72" s="116">
        <f>SUM(C69:C71)</f>
        <v>25584350</v>
      </c>
      <c r="D72" s="116">
        <f>SUM(D69:D71)</f>
        <v>20385713</v>
      </c>
      <c r="E72" s="465">
        <f t="shared" si="3"/>
        <v>-8038186.8200000003</v>
      </c>
      <c r="F72" s="390">
        <f t="shared" si="4"/>
        <v>-0.28279676155993433</v>
      </c>
      <c r="G72" s="24"/>
      <c r="H72" s="24"/>
    </row>
    <row r="73" spans="1:8" ht="34.5">
      <c r="A73" s="117" t="s">
        <v>63</v>
      </c>
      <c r="B73" s="118">
        <v>2694117.63</v>
      </c>
      <c r="C73" s="118">
        <v>3077472</v>
      </c>
      <c r="D73" s="118">
        <v>2487503</v>
      </c>
      <c r="E73" s="178">
        <f t="shared" si="3"/>
        <v>-206614.62999999989</v>
      </c>
      <c r="F73" s="369">
        <f t="shared" si="4"/>
        <v>-7.6691020354593756E-2</v>
      </c>
      <c r="G73" s="24"/>
      <c r="H73" s="24"/>
    </row>
    <row r="74" spans="1:8" ht="34.5">
      <c r="A74" s="126" t="s">
        <v>64</v>
      </c>
      <c r="B74" s="128">
        <v>22406011.710000001</v>
      </c>
      <c r="C74" s="128">
        <v>20404829</v>
      </c>
      <c r="D74" s="128">
        <v>21189882</v>
      </c>
      <c r="E74" s="178">
        <f t="shared" si="3"/>
        <v>-1216129.7100000009</v>
      </c>
      <c r="F74" s="369">
        <f t="shared" si="4"/>
        <v>-5.4276938070921002E-2</v>
      </c>
      <c r="G74" s="24"/>
      <c r="H74" s="24"/>
    </row>
    <row r="75" spans="1:8" ht="34.5">
      <c r="A75" s="117" t="s">
        <v>65</v>
      </c>
      <c r="B75" s="118">
        <v>261313.15</v>
      </c>
      <c r="C75" s="118">
        <v>261353</v>
      </c>
      <c r="D75" s="118">
        <v>263954</v>
      </c>
      <c r="E75" s="178">
        <f t="shared" si="3"/>
        <v>2640.8500000000058</v>
      </c>
      <c r="F75" s="369">
        <f t="shared" si="4"/>
        <v>1.0106073881088671E-2</v>
      </c>
      <c r="G75" s="24"/>
      <c r="H75" s="24"/>
    </row>
    <row r="76" spans="1:8" ht="34.5">
      <c r="A76" s="117" t="s">
        <v>66</v>
      </c>
      <c r="B76" s="118">
        <v>6687232</v>
      </c>
      <c r="C76" s="118">
        <v>6864963</v>
      </c>
      <c r="D76" s="118">
        <v>8168911</v>
      </c>
      <c r="E76" s="178">
        <f t="shared" si="3"/>
        <v>1481679</v>
      </c>
      <c r="F76" s="369">
        <f t="shared" si="4"/>
        <v>0.22156835593560983</v>
      </c>
      <c r="G76" s="24"/>
      <c r="H76" s="24"/>
    </row>
    <row r="77" spans="1:8" ht="35.25">
      <c r="A77" s="114" t="s">
        <v>67</v>
      </c>
      <c r="B77" s="116">
        <f>SUM(B73:B76)</f>
        <v>32048674.489999998</v>
      </c>
      <c r="C77" s="116">
        <f>SUM(C73:C76)</f>
        <v>30608617</v>
      </c>
      <c r="D77" s="116">
        <f>SUM(D73:D76)</f>
        <v>32110250</v>
      </c>
      <c r="E77" s="465">
        <f t="shared" si="3"/>
        <v>61575.510000001639</v>
      </c>
      <c r="F77" s="390">
        <f t="shared" si="4"/>
        <v>1.9213122221081176E-3</v>
      </c>
      <c r="G77" s="24"/>
      <c r="H77" s="24"/>
    </row>
    <row r="78" spans="1:8" ht="34.5">
      <c r="A78" s="117" t="s">
        <v>68</v>
      </c>
      <c r="B78" s="118">
        <v>2160158.77</v>
      </c>
      <c r="C78" s="118">
        <v>953785</v>
      </c>
      <c r="D78" s="118">
        <v>664268</v>
      </c>
      <c r="E78" s="178">
        <f t="shared" si="3"/>
        <v>-1495890.77</v>
      </c>
      <c r="F78" s="369">
        <f t="shared" si="4"/>
        <v>-0.69249112184471517</v>
      </c>
      <c r="G78" s="24"/>
      <c r="H78" s="24"/>
    </row>
    <row r="79" spans="1:8" ht="34.5">
      <c r="A79" s="117" t="s">
        <v>69</v>
      </c>
      <c r="B79" s="118">
        <v>1674149.02</v>
      </c>
      <c r="C79" s="118">
        <v>1743492</v>
      </c>
      <c r="D79" s="118">
        <v>1743492</v>
      </c>
      <c r="E79" s="178">
        <f t="shared" si="3"/>
        <v>69342.979999999981</v>
      </c>
      <c r="F79" s="369">
        <f t="shared" si="4"/>
        <v>4.1419837285452628E-2</v>
      </c>
      <c r="G79" s="24"/>
      <c r="H79" s="24"/>
    </row>
    <row r="80" spans="1:8" ht="34.5">
      <c r="A80" s="117" t="s">
        <v>70</v>
      </c>
      <c r="B80" s="118">
        <v>1230891.93</v>
      </c>
      <c r="C80" s="118">
        <v>0</v>
      </c>
      <c r="D80" s="118">
        <v>0</v>
      </c>
      <c r="E80" s="178">
        <f t="shared" si="3"/>
        <v>-1230891.93</v>
      </c>
      <c r="F80" s="369">
        <f t="shared" si="4"/>
        <v>-1</v>
      </c>
      <c r="G80" s="24"/>
      <c r="H80" s="24"/>
    </row>
    <row r="81" spans="1:8" ht="35.25">
      <c r="A81" s="114" t="s">
        <v>71</v>
      </c>
      <c r="B81" s="116">
        <f>SUM(B78:B80)</f>
        <v>5065199.72</v>
      </c>
      <c r="C81" s="116">
        <f>SUM(C78:C80)</f>
        <v>2697277</v>
      </c>
      <c r="D81" s="116">
        <f>SUM(D78:D80)</f>
        <v>2407760</v>
      </c>
      <c r="E81" s="465">
        <f t="shared" si="3"/>
        <v>-2657439.7199999997</v>
      </c>
      <c r="F81" s="390">
        <f t="shared" si="4"/>
        <v>-0.52464658195156022</v>
      </c>
      <c r="G81" s="24"/>
      <c r="H81" s="24"/>
    </row>
    <row r="82" spans="1:8" ht="36" thickBot="1">
      <c r="A82" s="164" t="s">
        <v>53</v>
      </c>
      <c r="B82" s="165">
        <f>+B81+B77+B72+B68</f>
        <v>191001591.62</v>
      </c>
      <c r="C82" s="165">
        <f>+C81+C77+C72+C68</f>
        <v>195895991</v>
      </c>
      <c r="D82" s="165">
        <f>+D81+D77+D72+D68</f>
        <v>187720936</v>
      </c>
      <c r="E82" s="466">
        <f t="shared" si="3"/>
        <v>-3280655.6200000048</v>
      </c>
      <c r="F82" s="348">
        <f t="shared" si="4"/>
        <v>-1.7176064304882385E-2</v>
      </c>
      <c r="G82" s="24"/>
      <c r="H82" s="24"/>
    </row>
    <row r="83" spans="1:8" ht="62.25" customHeight="1">
      <c r="A83" s="24"/>
      <c r="B83" s="24"/>
      <c r="C83" s="24"/>
      <c r="D83" s="24"/>
      <c r="E83" s="24"/>
      <c r="F83" s="353"/>
      <c r="G83" s="24"/>
      <c r="H83" s="24"/>
    </row>
    <row r="84" spans="1:8" ht="44.25">
      <c r="A84" s="113" t="s">
        <v>96</v>
      </c>
      <c r="B84" s="24"/>
      <c r="C84" s="24"/>
      <c r="D84" s="24"/>
      <c r="E84" s="24"/>
      <c r="F84" s="353"/>
      <c r="G84" s="24"/>
      <c r="H84" s="24"/>
    </row>
    <row r="85" spans="1:8" ht="44.25">
      <c r="A85" s="36" t="s">
        <v>86</v>
      </c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2"/>
  <sheetViews>
    <sheetView showOutlineSymbols="0" topLeftCell="A64" zoomScale="30" zoomScaleNormal="100" workbookViewId="0">
      <selection activeCell="E81" sqref="E81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294</v>
      </c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100</v>
      </c>
      <c r="B8" s="92">
        <f>55676929+1926185+15658046</f>
        <v>73261160</v>
      </c>
      <c r="C8" s="92">
        <f>71334975+1926185</f>
        <v>73261160</v>
      </c>
      <c r="D8" s="92">
        <f>47211184+6496187+500000+250000-4371559</f>
        <v>50085812</v>
      </c>
      <c r="E8" s="178">
        <f>D8-B8</f>
        <v>-23175348</v>
      </c>
      <c r="F8" s="397">
        <f>IF(ISBLANK(E8),"  ",IF(B8&gt;0,E8/B8,IF(E8&gt;0,1,0)))</f>
        <v>-0.31633880763012762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4371559</v>
      </c>
      <c r="E9" s="178">
        <f>D9-B9</f>
        <v>4371559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10044103</v>
      </c>
      <c r="C10" s="93">
        <f>SUM(C11:C25)</f>
        <v>10143827</v>
      </c>
      <c r="D10" s="93">
        <f>SUM(D11:D25)</f>
        <v>10276983</v>
      </c>
      <c r="E10" s="160">
        <f>D10-C10</f>
        <v>133156</v>
      </c>
      <c r="F10" s="369">
        <f t="shared" si="0"/>
        <v>1.3257132070429783E-2</v>
      </c>
      <c r="G10" s="24"/>
      <c r="H10" s="24"/>
      <c r="I10" s="24"/>
      <c r="J10" s="24"/>
    </row>
    <row r="11" spans="1:10" ht="34.5">
      <c r="A11" s="30" t="s">
        <v>101</v>
      </c>
      <c r="B11" s="93">
        <v>0</v>
      </c>
      <c r="C11" s="93">
        <v>0</v>
      </c>
      <c r="D11" s="93">
        <v>369814</v>
      </c>
      <c r="E11" s="178">
        <f>D11-B11</f>
        <v>369814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3178034+38347</f>
        <v>3216381</v>
      </c>
      <c r="C12" s="93">
        <f>2448615+867490</f>
        <v>3316105</v>
      </c>
      <c r="D12" s="93">
        <v>2868879</v>
      </c>
      <c r="E12" s="178">
        <f>D12-B12</f>
        <v>-347502</v>
      </c>
      <c r="F12" s="369">
        <f t="shared" si="0"/>
        <v>-0.10804130480810575</v>
      </c>
      <c r="G12" s="24"/>
      <c r="H12" s="24"/>
      <c r="I12" s="24"/>
      <c r="J12" s="24"/>
    </row>
    <row r="13" spans="1:10" ht="34.5">
      <c r="A13" s="31" t="s">
        <v>18</v>
      </c>
      <c r="B13" s="93">
        <v>6803972</v>
      </c>
      <c r="C13" s="93">
        <v>6803972</v>
      </c>
      <c r="D13" s="93">
        <v>7038290</v>
      </c>
      <c r="E13" s="178">
        <f>D13-B13</f>
        <v>234318</v>
      </c>
      <c r="F13" s="369">
        <f t="shared" si="0"/>
        <v>3.4438413326803814E-2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81</v>
      </c>
      <c r="B25" s="93">
        <v>23750</v>
      </c>
      <c r="C25" s="93">
        <v>23750</v>
      </c>
      <c r="D25" s="93">
        <v>0</v>
      </c>
      <c r="E25" s="178">
        <f>D25-B25</f>
        <v>-23750</v>
      </c>
      <c r="F25" s="369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83305263</v>
      </c>
      <c r="C31" s="122">
        <f>C30+C29+C27+C10+C9+C8</f>
        <v>83404987</v>
      </c>
      <c r="D31" s="122">
        <f>D30+D29+D27+D10+D9+D8</f>
        <v>64734354</v>
      </c>
      <c r="E31" s="465">
        <f>D31-B31</f>
        <v>-18570909</v>
      </c>
      <c r="F31" s="390">
        <f t="shared" si="0"/>
        <v>-0.22292599928530327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f>2509398+24844884+200036291.27-108560808+112859221</f>
        <v>231688986.27000001</v>
      </c>
      <c r="C35" s="147">
        <f>231315730+2509398</f>
        <v>233825128</v>
      </c>
      <c r="D35" s="147">
        <f>260088362+2509398</f>
        <v>262597760</v>
      </c>
      <c r="E35" s="465">
        <f>D35-B35</f>
        <v>30908773.729999989</v>
      </c>
      <c r="F35" s="399">
        <f>IF(ISBLANK(E35),"  ",IF(B35&gt;0,E35/B35,IF(E35&gt;0,1,0)))</f>
        <v>0.13340631433373482</v>
      </c>
      <c r="G35" s="24"/>
      <c r="H35" s="24"/>
    </row>
    <row r="36" spans="1:8" ht="35.25">
      <c r="A36" s="30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12929386</v>
      </c>
      <c r="E37" s="465">
        <f>D37-B37</f>
        <v>12929386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>94425276.89+192.42-51149151-2410169+2084571.11+50.96+6882659.91+10290.51</f>
        <v>49843721.800000004</v>
      </c>
      <c r="C39" s="147">
        <f>42950528+44750+20400+8200+1121416+6891313</f>
        <v>51036607</v>
      </c>
      <c r="D39" s="147">
        <f>6997913+1121416+8200+20400+44750+47098634</f>
        <v>55291313</v>
      </c>
      <c r="E39" s="465">
        <f>D39-B39</f>
        <v>5447591.1999999955</v>
      </c>
      <c r="F39" s="399">
        <f>IF(ISBLANK(E39),"  ",IF(B39&gt;0,E39/B39,IF(E39&gt;0,1,0)))</f>
        <v>0.10929342760275167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f>97349436-40761489</f>
        <v>56587947</v>
      </c>
      <c r="C41" s="147">
        <v>56587947</v>
      </c>
      <c r="D41" s="147">
        <v>49466921</v>
      </c>
      <c r="E41" s="465">
        <f>D41-B41</f>
        <v>-7121026</v>
      </c>
      <c r="F41" s="345">
        <f>IF(ISBLANK(E41),"  ",IF(B41&gt;0,E41/B41,IF(E41&gt;0,1,0)))</f>
        <v>-0.12583997790200802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B41+B39+B37+B35+B31</f>
        <v>421425918.07000005</v>
      </c>
      <c r="C45" s="147">
        <f>C41+C39+C37+C35+C31</f>
        <v>424854669</v>
      </c>
      <c r="D45" s="147">
        <f>D41+D39+D37+D35+D31</f>
        <v>445019734</v>
      </c>
      <c r="E45" s="465">
        <f>D45-B45</f>
        <v>23593815.929999948</v>
      </c>
      <c r="F45" s="345">
        <f>IF(ISBLANK(E45),"  ",IF(B45&gt;0,E45/B45,IF(E45&gt;0,1,0)))</f>
        <v>5.5985678427307707E-2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>
        <v>48271124</v>
      </c>
      <c r="C49" s="154">
        <f>48124393+450000</f>
        <v>48574393</v>
      </c>
      <c r="D49" s="154">
        <v>47005435</v>
      </c>
      <c r="E49" s="178">
        <f t="shared" ref="E49:E62" si="1">D49-B49</f>
        <v>-1265689</v>
      </c>
      <c r="F49" s="397">
        <f t="shared" ref="F49:F62" si="2">IF(ISBLANK(E49),"  ",IF(B49&gt;0,E49/B49,IF(E49&gt;0,1,0)))</f>
        <v>-2.6220416992983216E-2</v>
      </c>
      <c r="G49" s="24"/>
      <c r="H49" s="24"/>
    </row>
    <row r="50" spans="1:8" ht="34.5">
      <c r="A50" s="156" t="s">
        <v>42</v>
      </c>
      <c r="B50" s="157">
        <v>20272871</v>
      </c>
      <c r="C50" s="157">
        <f>20395668-450000</f>
        <v>19945668</v>
      </c>
      <c r="D50" s="157">
        <v>20731834</v>
      </c>
      <c r="E50" s="178">
        <f t="shared" si="1"/>
        <v>458963</v>
      </c>
      <c r="F50" s="369">
        <f t="shared" si="2"/>
        <v>2.2639269987955825E-2</v>
      </c>
      <c r="G50" s="24"/>
      <c r="H50" s="24"/>
    </row>
    <row r="51" spans="1:8" ht="34.5">
      <c r="A51" s="158" t="s">
        <v>43</v>
      </c>
      <c r="B51" s="159">
        <v>2272963</v>
      </c>
      <c r="C51" s="159">
        <v>2337273</v>
      </c>
      <c r="D51" s="159">
        <v>2326185</v>
      </c>
      <c r="E51" s="178">
        <f t="shared" si="1"/>
        <v>53222</v>
      </c>
      <c r="F51" s="369">
        <f t="shared" si="2"/>
        <v>2.3415251370127892E-2</v>
      </c>
      <c r="G51" s="24"/>
      <c r="H51" s="24"/>
    </row>
    <row r="52" spans="1:8" ht="34.5">
      <c r="A52" s="158" t="s">
        <v>44</v>
      </c>
      <c r="B52" s="159">
        <v>6624818</v>
      </c>
      <c r="C52" s="159">
        <v>5908146</v>
      </c>
      <c r="D52" s="159">
        <v>6774333</v>
      </c>
      <c r="E52" s="178">
        <f t="shared" si="1"/>
        <v>149515</v>
      </c>
      <c r="F52" s="369">
        <f t="shared" si="2"/>
        <v>2.2568921893401449E-2</v>
      </c>
      <c r="G52" s="24"/>
      <c r="H52" s="24"/>
    </row>
    <row r="53" spans="1:8" ht="34.5">
      <c r="A53" s="156" t="s">
        <v>45</v>
      </c>
      <c r="B53" s="159">
        <v>1142558</v>
      </c>
      <c r="C53" s="159">
        <v>1128454</v>
      </c>
      <c r="D53" s="159">
        <v>1206892</v>
      </c>
      <c r="E53" s="178">
        <f t="shared" si="1"/>
        <v>64334</v>
      </c>
      <c r="F53" s="369">
        <f t="shared" si="2"/>
        <v>5.6306988354201712E-2</v>
      </c>
      <c r="G53" s="24"/>
      <c r="H53" s="24"/>
    </row>
    <row r="54" spans="1:8" ht="34.5">
      <c r="A54" s="153" t="s">
        <v>74</v>
      </c>
      <c r="B54" s="160">
        <v>16983249</v>
      </c>
      <c r="C54" s="160">
        <f>18959239-346</f>
        <v>18958893</v>
      </c>
      <c r="D54" s="160">
        <v>18992001</v>
      </c>
      <c r="E54" s="178">
        <f t="shared" si="1"/>
        <v>2008752</v>
      </c>
      <c r="F54" s="369">
        <f t="shared" si="2"/>
        <v>0.11827842835019377</v>
      </c>
      <c r="G54" s="24"/>
      <c r="H54" s="24"/>
    </row>
    <row r="55" spans="1:8" ht="34.5">
      <c r="A55" s="117" t="s">
        <v>46</v>
      </c>
      <c r="B55" s="118">
        <v>512536</v>
      </c>
      <c r="C55" s="118">
        <v>641036</v>
      </c>
      <c r="D55" s="118">
        <v>714031</v>
      </c>
      <c r="E55" s="178">
        <f t="shared" si="1"/>
        <v>201495</v>
      </c>
      <c r="F55" s="369">
        <f t="shared" si="2"/>
        <v>0.39313336038834346</v>
      </c>
      <c r="G55" s="24"/>
      <c r="H55" s="24"/>
    </row>
    <row r="56" spans="1:8" ht="34.5">
      <c r="A56" s="117" t="s">
        <v>47</v>
      </c>
      <c r="B56" s="93">
        <v>5707954</v>
      </c>
      <c r="C56" s="93">
        <v>5106540</v>
      </c>
      <c r="D56" s="93">
        <v>6129057</v>
      </c>
      <c r="E56" s="178">
        <f t="shared" si="1"/>
        <v>421103</v>
      </c>
      <c r="F56" s="369">
        <f t="shared" si="2"/>
        <v>7.3774771135156306E-2</v>
      </c>
      <c r="G56" s="24"/>
      <c r="H56" s="24"/>
    </row>
    <row r="57" spans="1:8" ht="35.25">
      <c r="A57" s="114" t="s">
        <v>48</v>
      </c>
      <c r="B57" s="116">
        <f>SUM(B49:B56)</f>
        <v>101788073</v>
      </c>
      <c r="C57" s="116">
        <f>SUM(C49:C56)</f>
        <v>102600403</v>
      </c>
      <c r="D57" s="116">
        <f>SUM(D49:D56)</f>
        <v>103879768</v>
      </c>
      <c r="E57" s="465">
        <f t="shared" si="1"/>
        <v>2091695</v>
      </c>
      <c r="F57" s="390">
        <f t="shared" si="2"/>
        <v>2.0549509764272677E-2</v>
      </c>
      <c r="G57" s="24"/>
      <c r="H57" s="24"/>
    </row>
    <row r="58" spans="1:8" ht="34.5">
      <c r="A58" s="117" t="s">
        <v>49</v>
      </c>
      <c r="B58" s="93">
        <f>318667788.77-19496.72-0.01</f>
        <v>318648292.03999996</v>
      </c>
      <c r="C58" s="93">
        <f>321474529-220616</f>
        <v>321253913</v>
      </c>
      <c r="D58" s="93">
        <v>341124966</v>
      </c>
      <c r="E58" s="178">
        <f t="shared" si="1"/>
        <v>22476673.960000038</v>
      </c>
      <c r="F58" s="369">
        <f t="shared" si="2"/>
        <v>7.0537562954137975E-2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2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2"/>
        <v xml:space="preserve">  </v>
      </c>
      <c r="G60" s="24"/>
      <c r="H60" s="24"/>
    </row>
    <row r="61" spans="1:8" ht="35.25">
      <c r="A61" s="150" t="s">
        <v>52</v>
      </c>
      <c r="B61" s="173">
        <v>989553</v>
      </c>
      <c r="C61" s="173">
        <f>779391+220616+346</f>
        <v>1000353</v>
      </c>
      <c r="D61" s="173">
        <v>15000</v>
      </c>
      <c r="E61" s="178">
        <f t="shared" si="1"/>
        <v>-974553</v>
      </c>
      <c r="F61" s="369">
        <f t="shared" si="2"/>
        <v>-0.98484164061955248</v>
      </c>
      <c r="G61" s="24"/>
      <c r="H61" s="24"/>
    </row>
    <row r="62" spans="1:8" ht="35.25">
      <c r="A62" s="119" t="s">
        <v>53</v>
      </c>
      <c r="B62" s="120">
        <f>B61+B60+B59+B58+B57</f>
        <v>421425918.03999996</v>
      </c>
      <c r="C62" s="120">
        <f>C61+C60+C59+C58+C57</f>
        <v>424854669</v>
      </c>
      <c r="D62" s="120">
        <f>D61+D60+D59+D58+D57</f>
        <v>445019734</v>
      </c>
      <c r="E62" s="465">
        <f t="shared" si="1"/>
        <v>23593815.960000038</v>
      </c>
      <c r="F62" s="344">
        <f t="shared" si="2"/>
        <v>5.598567850248027E-2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201594527.27000001</v>
      </c>
      <c r="C65" s="92">
        <v>199534099</v>
      </c>
      <c r="D65" s="92">
        <v>210179222</v>
      </c>
      <c r="E65" s="178">
        <f t="shared" ref="E65:E82" si="3">D65-B65</f>
        <v>8584694.7299999893</v>
      </c>
      <c r="F65" s="397">
        <f t="shared" ref="F65:F82" si="4">IF(ISBLANK(E65),"  ",IF(B65&gt;0,E65/B65,IF(E65&gt;0,1,0)))</f>
        <v>4.2583967165449474E-2</v>
      </c>
      <c r="G65" s="24"/>
      <c r="H65" s="24"/>
    </row>
    <row r="66" spans="1:8" ht="34.5">
      <c r="A66" s="117" t="s">
        <v>56</v>
      </c>
      <c r="B66" s="118">
        <v>22769672.98</v>
      </c>
      <c r="C66" s="118">
        <v>25593965</v>
      </c>
      <c r="D66" s="118">
        <v>28359616</v>
      </c>
      <c r="E66" s="178">
        <f t="shared" si="3"/>
        <v>5589943.0199999996</v>
      </c>
      <c r="F66" s="369">
        <f t="shared" si="4"/>
        <v>0.24549948630838875</v>
      </c>
      <c r="G66" s="24"/>
      <c r="H66" s="24"/>
    </row>
    <row r="67" spans="1:8" ht="34.5">
      <c r="A67" s="117" t="s">
        <v>57</v>
      </c>
      <c r="B67" s="118">
        <v>49660215.409999996</v>
      </c>
      <c r="C67" s="118">
        <v>55551971</v>
      </c>
      <c r="D67" s="118">
        <v>56834140</v>
      </c>
      <c r="E67" s="178">
        <f t="shared" si="3"/>
        <v>7173924.5900000036</v>
      </c>
      <c r="F67" s="369">
        <f t="shared" si="4"/>
        <v>0.14446019878833233</v>
      </c>
      <c r="G67" s="24"/>
      <c r="H67" s="24"/>
    </row>
    <row r="68" spans="1:8" ht="35.25">
      <c r="A68" s="175" t="s">
        <v>58</v>
      </c>
      <c r="B68" s="116">
        <f>SUM(B65:B67)</f>
        <v>274024415.65999997</v>
      </c>
      <c r="C68" s="116">
        <f>SUM(C65:C67)</f>
        <v>280680035</v>
      </c>
      <c r="D68" s="116">
        <f>SUM(D65:D67)</f>
        <v>295372978</v>
      </c>
      <c r="E68" s="465">
        <f t="shared" si="3"/>
        <v>21348562.340000033</v>
      </c>
      <c r="F68" s="390">
        <f t="shared" si="4"/>
        <v>7.7907518892362471E-2</v>
      </c>
      <c r="G68" s="24"/>
      <c r="H68" s="24"/>
    </row>
    <row r="69" spans="1:8" ht="34.5">
      <c r="A69" s="151" t="s">
        <v>59</v>
      </c>
      <c r="B69" s="166">
        <v>838048.68</v>
      </c>
      <c r="C69" s="166">
        <v>686748</v>
      </c>
      <c r="D69" s="166">
        <v>694248</v>
      </c>
      <c r="E69" s="178">
        <f t="shared" si="3"/>
        <v>-143800.68000000005</v>
      </c>
      <c r="F69" s="369">
        <f t="shared" si="4"/>
        <v>-0.1715898890264943</v>
      </c>
      <c r="G69" s="24"/>
      <c r="H69" s="24"/>
    </row>
    <row r="70" spans="1:8" ht="34.5">
      <c r="A70" s="151" t="s">
        <v>60</v>
      </c>
      <c r="B70" s="166">
        <v>45409799.82</v>
      </c>
      <c r="C70" s="166">
        <v>42415452</v>
      </c>
      <c r="D70" s="166">
        <v>43776895</v>
      </c>
      <c r="E70" s="178">
        <f t="shared" si="3"/>
        <v>-1632904.8200000003</v>
      </c>
      <c r="F70" s="369">
        <f t="shared" si="4"/>
        <v>-3.5959304521770083E-2</v>
      </c>
      <c r="G70" s="24"/>
      <c r="H70" s="24"/>
    </row>
    <row r="71" spans="1:8" ht="34.5">
      <c r="A71" s="176" t="s">
        <v>61</v>
      </c>
      <c r="B71" s="177">
        <v>83486283.769999996</v>
      </c>
      <c r="C71" s="177">
        <v>83543206</v>
      </c>
      <c r="D71" s="177">
        <v>86216576</v>
      </c>
      <c r="E71" s="178">
        <f t="shared" si="3"/>
        <v>2730292.2300000042</v>
      </c>
      <c r="F71" s="369">
        <f t="shared" si="4"/>
        <v>3.2703482616639225E-2</v>
      </c>
      <c r="G71" s="24"/>
      <c r="H71" s="24"/>
    </row>
    <row r="72" spans="1:8" ht="35.25">
      <c r="A72" s="114" t="s">
        <v>62</v>
      </c>
      <c r="B72" s="116">
        <f>SUM(B69:B71)</f>
        <v>129734132.27</v>
      </c>
      <c r="C72" s="116">
        <f>SUM(C69:C71)</f>
        <v>126645406</v>
      </c>
      <c r="D72" s="116">
        <f>SUM(D69:D71)</f>
        <v>130687719</v>
      </c>
      <c r="E72" s="465">
        <f t="shared" si="3"/>
        <v>953586.73000000417</v>
      </c>
      <c r="F72" s="390">
        <f t="shared" si="4"/>
        <v>7.3503149349734669E-3</v>
      </c>
      <c r="G72" s="24"/>
      <c r="H72" s="24"/>
    </row>
    <row r="73" spans="1:8" ht="34.5">
      <c r="A73" s="117" t="s">
        <v>63</v>
      </c>
      <c r="B73" s="118">
        <v>1337710.8400000001</v>
      </c>
      <c r="C73" s="118">
        <v>1428683</v>
      </c>
      <c r="D73" s="118">
        <v>1706695</v>
      </c>
      <c r="E73" s="178">
        <f t="shared" si="3"/>
        <v>368984.15999999992</v>
      </c>
      <c r="F73" s="369">
        <f t="shared" si="4"/>
        <v>0.275832525959048</v>
      </c>
      <c r="G73" s="24"/>
      <c r="H73" s="24"/>
    </row>
    <row r="74" spans="1:8" ht="34.5">
      <c r="A74" s="126" t="s">
        <v>64</v>
      </c>
      <c r="B74" s="128">
        <v>971468</v>
      </c>
      <c r="C74" s="128">
        <v>895837</v>
      </c>
      <c r="D74" s="128">
        <v>983832</v>
      </c>
      <c r="E74" s="178">
        <f t="shared" si="3"/>
        <v>12364</v>
      </c>
      <c r="F74" s="369">
        <f t="shared" si="4"/>
        <v>1.2727130487056702E-2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>
        <v>11062898</v>
      </c>
      <c r="C76" s="118">
        <v>11219874</v>
      </c>
      <c r="D76" s="118">
        <v>12537862</v>
      </c>
      <c r="E76" s="178">
        <f t="shared" si="3"/>
        <v>1474964</v>
      </c>
      <c r="F76" s="369">
        <f t="shared" si="4"/>
        <v>0.13332528239887956</v>
      </c>
      <c r="G76" s="24"/>
      <c r="H76" s="24"/>
    </row>
    <row r="77" spans="1:8" ht="35.25">
      <c r="A77" s="114" t="s">
        <v>67</v>
      </c>
      <c r="B77" s="116">
        <f>SUM(B73:B76)</f>
        <v>13372076.84</v>
      </c>
      <c r="C77" s="116">
        <f>SUM(C73:C76)</f>
        <v>13544394</v>
      </c>
      <c r="D77" s="116">
        <f>SUM(D73:D76)</f>
        <v>15228389</v>
      </c>
      <c r="E77" s="465">
        <f t="shared" si="3"/>
        <v>1856312.1600000001</v>
      </c>
      <c r="F77" s="390">
        <f t="shared" si="4"/>
        <v>0.13882003388188727</v>
      </c>
      <c r="G77" s="24"/>
      <c r="H77" s="24"/>
    </row>
    <row r="78" spans="1:8" ht="34.5">
      <c r="A78" s="117" t="s">
        <v>68</v>
      </c>
      <c r="B78" s="118">
        <v>4271094.72</v>
      </c>
      <c r="C78" s="118">
        <v>3957734</v>
      </c>
      <c r="D78" s="118">
        <v>3685648</v>
      </c>
      <c r="E78" s="178">
        <f t="shared" si="3"/>
        <v>-585446.71999999974</v>
      </c>
      <c r="F78" s="369">
        <f t="shared" si="4"/>
        <v>-0.13707181844002742</v>
      </c>
      <c r="G78" s="24"/>
      <c r="H78" s="24"/>
    </row>
    <row r="79" spans="1:8" ht="34.5">
      <c r="A79" s="117" t="s">
        <v>69</v>
      </c>
      <c r="B79" s="118">
        <v>24198.58</v>
      </c>
      <c r="C79" s="118">
        <v>27100</v>
      </c>
      <c r="D79" s="118">
        <v>45000</v>
      </c>
      <c r="E79" s="178">
        <f t="shared" si="3"/>
        <v>20801.419999999998</v>
      </c>
      <c r="F79" s="369">
        <f t="shared" si="4"/>
        <v>0.8596132500336795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49" ht="35.25">
      <c r="A81" s="114" t="s">
        <v>71</v>
      </c>
      <c r="B81" s="116">
        <f>SUM(B78:B80)</f>
        <v>4295293.3</v>
      </c>
      <c r="C81" s="116">
        <f>SUM(C78:C80)</f>
        <v>3984834</v>
      </c>
      <c r="D81" s="116">
        <f>SUM(D78:D80)</f>
        <v>3730648</v>
      </c>
      <c r="E81" s="465">
        <f t="shared" si="3"/>
        <v>-564645.29999999981</v>
      </c>
      <c r="F81" s="390">
        <f t="shared" si="4"/>
        <v>-0.13145675057859257</v>
      </c>
      <c r="G81" s="24"/>
      <c r="H81" s="24"/>
    </row>
    <row r="82" spans="1:49" ht="45" customHeight="1" thickBot="1">
      <c r="A82" s="164" t="s">
        <v>53</v>
      </c>
      <c r="B82" s="165">
        <f>B81+B77+B72+B68</f>
        <v>421425918.06999993</v>
      </c>
      <c r="C82" s="165">
        <f>C81+C77+C72+C68</f>
        <v>424854669</v>
      </c>
      <c r="D82" s="165">
        <f>D81+D77+D72+D68</f>
        <v>445019734</v>
      </c>
      <c r="E82" s="466">
        <f t="shared" si="3"/>
        <v>23593815.930000067</v>
      </c>
      <c r="F82" s="348">
        <f t="shared" si="4"/>
        <v>5.5985678427308005E-2</v>
      </c>
      <c r="G82" s="24"/>
      <c r="H82" s="24"/>
    </row>
    <row r="83" spans="1:49" ht="44.25">
      <c r="A83" s="113"/>
      <c r="B83" s="24"/>
      <c r="C83" s="24"/>
      <c r="D83" s="24"/>
      <c r="E83" s="24"/>
      <c r="F83" s="353" t="s">
        <v>35</v>
      </c>
      <c r="G83" s="24"/>
      <c r="H83" s="24"/>
    </row>
    <row r="84" spans="1:49" ht="44.25">
      <c r="A84" s="36" t="s">
        <v>99</v>
      </c>
    </row>
    <row r="85" spans="1:49" s="163" customFormat="1" ht="44.25">
      <c r="A85" s="163" t="s">
        <v>72</v>
      </c>
      <c r="F85" s="375"/>
    </row>
    <row r="86" spans="1:49" s="163" customFormat="1" ht="44.25">
      <c r="F86" s="375"/>
    </row>
    <row r="87" spans="1:49" s="163" customFormat="1" ht="44.25">
      <c r="A87" s="179" t="s">
        <v>102</v>
      </c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A88" s="179" t="s">
        <v>103</v>
      </c>
      <c r="B88" s="179"/>
      <c r="C88" s="179"/>
      <c r="D88" s="179"/>
      <c r="E88" s="179"/>
      <c r="F88" s="376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</row>
    <row r="89" spans="1:49" s="163" customFormat="1" ht="44.25">
      <c r="A89" s="179" t="s">
        <v>104</v>
      </c>
      <c r="B89" s="179"/>
      <c r="C89" s="179"/>
      <c r="D89" s="179"/>
      <c r="E89" s="179"/>
      <c r="F89" s="376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</row>
    <row r="90" spans="1:49" s="163" customFormat="1" ht="44.25">
      <c r="F90" s="375"/>
    </row>
    <row r="91" spans="1:49" s="163" customFormat="1" ht="44.25">
      <c r="F91" s="375"/>
    </row>
    <row r="92" spans="1:49" s="163" customFormat="1" ht="44.25">
      <c r="F92" s="375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1"/>
  <sheetViews>
    <sheetView showOutlineSymbols="0" zoomScale="30" zoomScaleNormal="100" workbookViewId="0">
      <selection activeCell="E80" sqref="E80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295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12877773</v>
      </c>
      <c r="C8" s="92">
        <v>12877773</v>
      </c>
      <c r="D8" s="92">
        <v>10949056</v>
      </c>
      <c r="E8" s="178">
        <f>D8-B8</f>
        <v>-1928717</v>
      </c>
      <c r="F8" s="397">
        <f>IF(ISBLANK(E8),"  ",IF(B8&gt;0,E8/B8,IF(E8&gt;0,1,0)))</f>
        <v>-0.1497710046605108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759670</v>
      </c>
      <c r="E9" s="178">
        <f>D9-B9</f>
        <v>759670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/>
      <c r="C10" s="93"/>
      <c r="D10" s="93"/>
      <c r="E10" s="160"/>
      <c r="F10" s="369" t="str">
        <f t="shared" si="0"/>
        <v xml:space="preserve">  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178"/>
      <c r="F11" s="369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/>
      <c r="C12" s="93"/>
      <c r="D12" s="93"/>
      <c r="E12" s="178"/>
      <c r="F12" s="369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12877773</v>
      </c>
      <c r="C31" s="122">
        <f>C30+C29+C27+C10+C9+C8</f>
        <v>12877773</v>
      </c>
      <c r="D31" s="122">
        <f>D30+D29+D27+D10+D9+D8</f>
        <v>11708726</v>
      </c>
      <c r="E31" s="465">
        <f>D31-B31</f>
        <v>-1169047</v>
      </c>
      <c r="F31" s="390">
        <f t="shared" si="0"/>
        <v>-9.0780214871002934E-2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f>25422106.54+35956087-1</f>
        <v>61378192.539999999</v>
      </c>
      <c r="C35" s="147">
        <v>67842647</v>
      </c>
      <c r="D35" s="147">
        <v>62177093</v>
      </c>
      <c r="E35" s="465">
        <f>D35-B35</f>
        <v>798900.46000000089</v>
      </c>
      <c r="F35" s="399">
        <f>IF(ISBLANK(E35),"  ",IF(B35&gt;0,E35/B35,IF(E35&gt;0,1,0)))</f>
        <v>1.301603105173486E-2</v>
      </c>
      <c r="G35" s="24"/>
      <c r="H35" s="24"/>
    </row>
    <row r="36" spans="1:8" ht="35.25">
      <c r="A36" s="30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97</v>
      </c>
      <c r="B37" s="147"/>
      <c r="C37" s="147"/>
      <c r="D37" s="147"/>
      <c r="E37" s="465"/>
      <c r="F37" s="345" t="str">
        <f>IF(ISBLANK(E37),"  ",IF(B37&gt;0,E37/B37,IF(E37&gt;0,1,0)))</f>
        <v xml:space="preserve">  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2806641.35</v>
      </c>
      <c r="C39" s="147">
        <v>2416891</v>
      </c>
      <c r="D39" s="147">
        <v>1636520</v>
      </c>
      <c r="E39" s="465">
        <f>D39-B39</f>
        <v>-1170121.3500000001</v>
      </c>
      <c r="F39" s="399">
        <f>IF(ISBLANK(E39),"  ",IF(B39&gt;0,E39/B39,IF(E39&gt;0,1,0)))</f>
        <v>-0.41691160503995284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v>8981802.6799999997</v>
      </c>
      <c r="C41" s="147">
        <v>7893310</v>
      </c>
      <c r="D41" s="147">
        <v>6925284</v>
      </c>
      <c r="E41" s="465">
        <f>D41-B41</f>
        <v>-2056518.6799999997</v>
      </c>
      <c r="F41" s="345">
        <f>IF(ISBLANK(E41),"  ",IF(B41&gt;0,E41/B41,IF(E41&gt;0,1,0)))</f>
        <v>-0.22896502553761289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B41+B39+B37+B35+B31</f>
        <v>86044409.569999993</v>
      </c>
      <c r="C45" s="147">
        <f>C41+C39+C37+C35+C31</f>
        <v>91030621</v>
      </c>
      <c r="D45" s="147">
        <f>D41+D39+D37+D35+D31</f>
        <v>82447623</v>
      </c>
      <c r="E45" s="465">
        <f>D45-B45</f>
        <v>-3596786.5699999928</v>
      </c>
      <c r="F45" s="345">
        <f>IF(ISBLANK(E45),"  ",IF(B45&gt;0,E45/B45,IF(E45&gt;0,1,0)))</f>
        <v>-4.1801513752893933E-2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/>
      <c r="C49" s="154"/>
      <c r="D49" s="154"/>
      <c r="E49" s="178"/>
      <c r="F49" s="397" t="str">
        <f t="shared" ref="F49:F62" si="1">IF(ISBLANK(E49),"  ",IF(B49&gt;0,E49/B49,IF(E49&gt;0,1,0)))</f>
        <v xml:space="preserve">  </v>
      </c>
      <c r="G49" s="24"/>
      <c r="H49" s="24"/>
    </row>
    <row r="50" spans="1:8" ht="34.5">
      <c r="A50" s="156" t="s">
        <v>42</v>
      </c>
      <c r="B50" s="157"/>
      <c r="C50" s="157"/>
      <c r="D50" s="157"/>
      <c r="E50" s="178"/>
      <c r="F50" s="369" t="str">
        <f t="shared" si="1"/>
        <v xml:space="preserve">  </v>
      </c>
      <c r="G50" s="24"/>
      <c r="H50" s="24"/>
    </row>
    <row r="51" spans="1:8" ht="34.5">
      <c r="A51" s="158" t="s">
        <v>43</v>
      </c>
      <c r="B51" s="159"/>
      <c r="C51" s="159"/>
      <c r="D51" s="159"/>
      <c r="E51" s="178"/>
      <c r="F51" s="369" t="str">
        <f t="shared" si="1"/>
        <v xml:space="preserve">  </v>
      </c>
      <c r="G51" s="24"/>
      <c r="H51" s="24"/>
    </row>
    <row r="52" spans="1:8" ht="34.5">
      <c r="A52" s="158" t="s">
        <v>44</v>
      </c>
      <c r="B52" s="159"/>
      <c r="C52" s="159"/>
      <c r="D52" s="159"/>
      <c r="E52" s="178"/>
      <c r="F52" s="369" t="str">
        <f t="shared" si="1"/>
        <v xml:space="preserve">  </v>
      </c>
      <c r="G52" s="24"/>
      <c r="H52" s="24"/>
    </row>
    <row r="53" spans="1:8" ht="34.5">
      <c r="A53" s="156" t="s">
        <v>45</v>
      </c>
      <c r="B53" s="159"/>
      <c r="C53" s="159"/>
      <c r="D53" s="159"/>
      <c r="E53" s="178"/>
      <c r="F53" s="369" t="str">
        <f t="shared" si="1"/>
        <v xml:space="preserve">  </v>
      </c>
      <c r="G53" s="24"/>
      <c r="H53" s="24"/>
    </row>
    <row r="54" spans="1:8" ht="34.5">
      <c r="A54" s="153" t="s">
        <v>74</v>
      </c>
      <c r="B54" s="160"/>
      <c r="C54" s="160"/>
      <c r="D54" s="160"/>
      <c r="E54" s="178"/>
      <c r="F54" s="369" t="str">
        <f t="shared" si="1"/>
        <v xml:space="preserve">  </v>
      </c>
      <c r="G54" s="24"/>
      <c r="H54" s="24"/>
    </row>
    <row r="55" spans="1:8" ht="34.5">
      <c r="A55" s="117" t="s">
        <v>46</v>
      </c>
      <c r="B55" s="118"/>
      <c r="C55" s="118"/>
      <c r="D55" s="118"/>
      <c r="E55" s="178"/>
      <c r="F55" s="369" t="str">
        <f t="shared" si="1"/>
        <v xml:space="preserve">  </v>
      </c>
      <c r="G55" s="24"/>
      <c r="H55" s="24"/>
    </row>
    <row r="56" spans="1:8" ht="34.5">
      <c r="A56" s="117" t="s">
        <v>47</v>
      </c>
      <c r="B56" s="93"/>
      <c r="C56" s="93"/>
      <c r="D56" s="93"/>
      <c r="E56" s="178"/>
      <c r="F56" s="369" t="str">
        <f t="shared" si="1"/>
        <v xml:space="preserve">  </v>
      </c>
      <c r="G56" s="24"/>
      <c r="H56" s="24"/>
    </row>
    <row r="57" spans="1:8" ht="35.25">
      <c r="A57" s="114" t="s">
        <v>48</v>
      </c>
      <c r="B57" s="116"/>
      <c r="C57" s="116"/>
      <c r="D57" s="116"/>
      <c r="E57" s="465"/>
      <c r="F57" s="390" t="str">
        <f t="shared" si="1"/>
        <v xml:space="preserve">  </v>
      </c>
      <c r="G57" s="24"/>
      <c r="H57" s="24"/>
    </row>
    <row r="58" spans="1:8" ht="34.5">
      <c r="A58" s="117" t="s">
        <v>49</v>
      </c>
      <c r="B58" s="93">
        <f>86044409.57-2994</f>
        <v>86041415.569999993</v>
      </c>
      <c r="C58" s="93">
        <f>91030621-2994</f>
        <v>91027627</v>
      </c>
      <c r="D58" s="93">
        <v>82447623</v>
      </c>
      <c r="E58" s="178">
        <f>D58-B58</f>
        <v>-3593792.5699999928</v>
      </c>
      <c r="F58" s="369">
        <f t="shared" si="1"/>
        <v>-4.1768171132380093E-2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1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1"/>
        <v xml:space="preserve">  </v>
      </c>
      <c r="G60" s="24"/>
      <c r="H60" s="24"/>
    </row>
    <row r="61" spans="1:8" ht="34.5">
      <c r="A61" s="150" t="s">
        <v>98</v>
      </c>
      <c r="B61" s="254">
        <v>2994</v>
      </c>
      <c r="C61" s="254">
        <v>2994</v>
      </c>
      <c r="D61" s="254">
        <v>0</v>
      </c>
      <c r="E61" s="178">
        <f>D61-B61</f>
        <v>-2994</v>
      </c>
      <c r="F61" s="369">
        <f t="shared" si="1"/>
        <v>-1</v>
      </c>
      <c r="G61" s="24"/>
      <c r="H61" s="24"/>
    </row>
    <row r="62" spans="1:8" ht="35.25">
      <c r="A62" s="119" t="s">
        <v>53</v>
      </c>
      <c r="B62" s="120">
        <f>B61+B60+B59+B58+B57</f>
        <v>86044409.569999993</v>
      </c>
      <c r="C62" s="120">
        <f>C61+C60+C59+C58+C57</f>
        <v>91030621</v>
      </c>
      <c r="D62" s="120">
        <f>D61+D60+D59+D58+D57</f>
        <v>82447623</v>
      </c>
      <c r="E62" s="465">
        <f>D62-B62</f>
        <v>-3596786.5699999928</v>
      </c>
      <c r="F62" s="344">
        <f t="shared" si="1"/>
        <v>-4.1801513752893933E-2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f>38244526.97-1608601.15</f>
        <v>36635925.82</v>
      </c>
      <c r="C65" s="92">
        <v>37008063</v>
      </c>
      <c r="D65" s="92">
        <v>34064533</v>
      </c>
      <c r="E65" s="178">
        <f t="shared" ref="E65:E82" si="2">D65-B65</f>
        <v>-2571392.8200000003</v>
      </c>
      <c r="F65" s="397">
        <f t="shared" ref="F65:F82" si="3">IF(ISBLANK(E65),"  ",IF(B65&gt;0,E65/B65,IF(E65&gt;0,1,0)))</f>
        <v>-7.0187739560173629E-2</v>
      </c>
      <c r="G65" s="24"/>
      <c r="H65" s="24"/>
    </row>
    <row r="66" spans="1:8" ht="34.5">
      <c r="A66" s="117" t="s">
        <v>56</v>
      </c>
      <c r="B66" s="118">
        <f>1444597.14+7126+156878.01</f>
        <v>1608601.15</v>
      </c>
      <c r="C66" s="118">
        <v>1352035</v>
      </c>
      <c r="D66" s="118">
        <v>1287350</v>
      </c>
      <c r="E66" s="178">
        <f t="shared" si="2"/>
        <v>-321251.14999999991</v>
      </c>
      <c r="F66" s="369">
        <f t="shared" si="3"/>
        <v>-0.19970839259937115</v>
      </c>
      <c r="G66" s="24"/>
      <c r="H66" s="24"/>
    </row>
    <row r="67" spans="1:8" ht="34.5">
      <c r="A67" s="117" t="s">
        <v>57</v>
      </c>
      <c r="B67" s="118">
        <v>10632119.68</v>
      </c>
      <c r="C67" s="118">
        <v>11747679</v>
      </c>
      <c r="D67" s="118">
        <v>10991553</v>
      </c>
      <c r="E67" s="178">
        <f t="shared" si="2"/>
        <v>359433.3200000003</v>
      </c>
      <c r="F67" s="369">
        <f t="shared" si="3"/>
        <v>3.3806365129253349E-2</v>
      </c>
      <c r="G67" s="24"/>
      <c r="H67" s="24"/>
    </row>
    <row r="68" spans="1:8" ht="35.25">
      <c r="A68" s="175" t="s">
        <v>58</v>
      </c>
      <c r="B68" s="116">
        <f>SUM(B65:B67)</f>
        <v>48876646.649999999</v>
      </c>
      <c r="C68" s="116">
        <f>SUM(C65:C67)</f>
        <v>50107777</v>
      </c>
      <c r="D68" s="116">
        <f>SUM(D65:D67)</f>
        <v>46343436</v>
      </c>
      <c r="E68" s="465">
        <f t="shared" si="2"/>
        <v>-2533210.6499999985</v>
      </c>
      <c r="F68" s="390">
        <f t="shared" si="3"/>
        <v>-5.1828650769354667E-2</v>
      </c>
      <c r="G68" s="24"/>
      <c r="H68" s="24"/>
    </row>
    <row r="69" spans="1:8" ht="34.5">
      <c r="A69" s="151" t="s">
        <v>59</v>
      </c>
      <c r="B69" s="166">
        <v>40793.949999999997</v>
      </c>
      <c r="C69" s="166">
        <v>40350</v>
      </c>
      <c r="D69" s="166">
        <v>20000</v>
      </c>
      <c r="E69" s="178">
        <f t="shared" si="2"/>
        <v>-20793.949999999997</v>
      </c>
      <c r="F69" s="369">
        <f t="shared" si="3"/>
        <v>-0.50973122239939983</v>
      </c>
      <c r="G69" s="24"/>
      <c r="H69" s="24"/>
    </row>
    <row r="70" spans="1:8" ht="34.5">
      <c r="A70" s="151" t="s">
        <v>60</v>
      </c>
      <c r="B70" s="166">
        <v>7926689.0899999999</v>
      </c>
      <c r="C70" s="166">
        <v>9855572</v>
      </c>
      <c r="D70" s="166">
        <v>8806651</v>
      </c>
      <c r="E70" s="178">
        <f t="shared" si="2"/>
        <v>879961.91000000015</v>
      </c>
      <c r="F70" s="369">
        <f t="shared" si="3"/>
        <v>0.11101254256460312</v>
      </c>
      <c r="G70" s="24"/>
      <c r="H70" s="24"/>
    </row>
    <row r="71" spans="1:8" ht="34.5">
      <c r="A71" s="176" t="s">
        <v>61</v>
      </c>
      <c r="B71" s="177">
        <f>11508818.26-2700</f>
        <v>11506118.26</v>
      </c>
      <c r="C71" s="177">
        <f>11939321-413161+1048397</f>
        <v>12574557</v>
      </c>
      <c r="D71" s="177">
        <v>9612394</v>
      </c>
      <c r="E71" s="178">
        <f t="shared" si="2"/>
        <v>-1893724.2599999998</v>
      </c>
      <c r="F71" s="369">
        <f t="shared" si="3"/>
        <v>-0.16458411231382561</v>
      </c>
      <c r="G71" s="24"/>
      <c r="H71" s="24"/>
    </row>
    <row r="72" spans="1:8" ht="35.25">
      <c r="A72" s="114" t="s">
        <v>62</v>
      </c>
      <c r="B72" s="116">
        <f>SUM(B69:B71)</f>
        <v>19473601.300000001</v>
      </c>
      <c r="C72" s="116">
        <f>SUM(C69:C71)</f>
        <v>22470479</v>
      </c>
      <c r="D72" s="116">
        <f>SUM(D69:D71)</f>
        <v>18439045</v>
      </c>
      <c r="E72" s="465">
        <f t="shared" si="2"/>
        <v>-1034556.3000000007</v>
      </c>
      <c r="F72" s="390">
        <f t="shared" si="3"/>
        <v>-5.3126090241972894E-2</v>
      </c>
      <c r="G72" s="24"/>
      <c r="H72" s="24"/>
    </row>
    <row r="73" spans="1:8" ht="34.5">
      <c r="A73" s="117" t="s">
        <v>63</v>
      </c>
      <c r="B73" s="118">
        <v>2500128.7599999998</v>
      </c>
      <c r="C73" s="118">
        <v>2923750</v>
      </c>
      <c r="D73" s="118">
        <v>2759825</v>
      </c>
      <c r="E73" s="178">
        <f t="shared" si="2"/>
        <v>259696.24000000022</v>
      </c>
      <c r="F73" s="369">
        <f t="shared" si="3"/>
        <v>0.10387314611748247</v>
      </c>
      <c r="G73" s="24"/>
      <c r="H73" s="24"/>
    </row>
    <row r="74" spans="1:8" ht="34.5">
      <c r="A74" s="126" t="s">
        <v>64</v>
      </c>
      <c r="B74" s="128"/>
      <c r="C74" s="128"/>
      <c r="D74" s="128"/>
      <c r="E74" s="178"/>
      <c r="F74" s="369" t="str">
        <f t="shared" si="3"/>
        <v xml:space="preserve">  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3"/>
        <v xml:space="preserve">  </v>
      </c>
      <c r="G75" s="24"/>
      <c r="H75" s="24"/>
    </row>
    <row r="76" spans="1:8" ht="34.5">
      <c r="A76" s="117" t="s">
        <v>66</v>
      </c>
      <c r="B76" s="118">
        <v>14867553.869999999</v>
      </c>
      <c r="C76" s="118">
        <v>14719236</v>
      </c>
      <c r="D76" s="118">
        <v>14905317</v>
      </c>
      <c r="E76" s="178">
        <f t="shared" si="2"/>
        <v>37763.13000000082</v>
      </c>
      <c r="F76" s="369">
        <f t="shared" si="3"/>
        <v>2.5399692733718555E-3</v>
      </c>
      <c r="G76" s="24"/>
      <c r="H76" s="24"/>
    </row>
    <row r="77" spans="1:8" ht="35.25">
      <c r="A77" s="114" t="s">
        <v>67</v>
      </c>
      <c r="B77" s="116">
        <f>SUM(B73:B76)</f>
        <v>17367682.629999999</v>
      </c>
      <c r="C77" s="116">
        <f>SUM(C73:C76)</f>
        <v>17642986</v>
      </c>
      <c r="D77" s="116">
        <f>SUM(D73:D76)</f>
        <v>17665142</v>
      </c>
      <c r="E77" s="465">
        <f t="shared" si="2"/>
        <v>297459.37000000104</v>
      </c>
      <c r="F77" s="390">
        <f t="shared" si="3"/>
        <v>1.712717674182886E-2</v>
      </c>
      <c r="G77" s="24"/>
      <c r="H77" s="24"/>
    </row>
    <row r="78" spans="1:8" ht="34.5">
      <c r="A78" s="117" t="s">
        <v>68</v>
      </c>
      <c r="B78" s="118">
        <f>323778.99+2700</f>
        <v>326478.99</v>
      </c>
      <c r="C78" s="118">
        <f>109379+700000</f>
        <v>809379</v>
      </c>
      <c r="D78" s="118">
        <v>0</v>
      </c>
      <c r="E78" s="178">
        <f t="shared" si="2"/>
        <v>-326478.99</v>
      </c>
      <c r="F78" s="369">
        <f t="shared" si="3"/>
        <v>-1</v>
      </c>
      <c r="G78" s="24"/>
      <c r="H78" s="24"/>
    </row>
    <row r="79" spans="1:8" ht="34.5">
      <c r="A79" s="117" t="s">
        <v>69</v>
      </c>
      <c r="B79" s="118"/>
      <c r="C79" s="118"/>
      <c r="D79" s="118"/>
      <c r="E79" s="178"/>
      <c r="F79" s="369" t="str">
        <f t="shared" si="3"/>
        <v xml:space="preserve">  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3"/>
        <v xml:space="preserve">  </v>
      </c>
      <c r="G80" s="24"/>
      <c r="H80" s="24"/>
    </row>
    <row r="81" spans="1:49" ht="35.25">
      <c r="A81" s="114" t="s">
        <v>71</v>
      </c>
      <c r="B81" s="116">
        <f>SUM(B78:B80)</f>
        <v>326478.99</v>
      </c>
      <c r="C81" s="116">
        <f>SUM(C78:C80)</f>
        <v>809379</v>
      </c>
      <c r="D81" s="116">
        <f>SUM(D78:D80)</f>
        <v>0</v>
      </c>
      <c r="E81" s="465">
        <f t="shared" si="2"/>
        <v>-326478.99</v>
      </c>
      <c r="F81" s="390">
        <f t="shared" si="3"/>
        <v>-1</v>
      </c>
      <c r="G81" s="24"/>
      <c r="H81" s="24"/>
    </row>
    <row r="82" spans="1:49" ht="36" thickBot="1">
      <c r="A82" s="164" t="s">
        <v>53</v>
      </c>
      <c r="B82" s="165">
        <f>B81+B77+B72+B68</f>
        <v>86044409.569999993</v>
      </c>
      <c r="C82" s="165">
        <f>C81+C77+C72+C68</f>
        <v>91030621</v>
      </c>
      <c r="D82" s="165">
        <f>D81+D77+D72+D68</f>
        <v>82447623</v>
      </c>
      <c r="E82" s="466">
        <f t="shared" si="2"/>
        <v>-3596786.5699999928</v>
      </c>
      <c r="F82" s="348">
        <f t="shared" si="3"/>
        <v>-4.1801513752893933E-2</v>
      </c>
      <c r="G82" s="24"/>
      <c r="H82" s="24"/>
    </row>
    <row r="83" spans="1:49" ht="44.25">
      <c r="A83" s="36"/>
      <c r="F83" s="332" t="s">
        <v>35</v>
      </c>
    </row>
    <row r="84" spans="1:49" s="163" customFormat="1" ht="44.25">
      <c r="A84" s="163" t="s">
        <v>99</v>
      </c>
      <c r="F84" s="375"/>
    </row>
    <row r="85" spans="1:49" s="163" customFormat="1" ht="44.25">
      <c r="A85" s="163" t="s">
        <v>72</v>
      </c>
      <c r="F85" s="375"/>
    </row>
    <row r="86" spans="1:49" s="163" customFormat="1" ht="44.25">
      <c r="A86" s="179" t="s">
        <v>35</v>
      </c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A87" s="179"/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A88" s="179"/>
      <c r="B88" s="179"/>
      <c r="C88" s="179"/>
      <c r="D88" s="179"/>
      <c r="E88" s="179"/>
      <c r="F88" s="376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</row>
    <row r="89" spans="1:49" s="163" customFormat="1" ht="44.25">
      <c r="F89" s="375"/>
    </row>
    <row r="90" spans="1:49" s="163" customFormat="1" ht="44.25">
      <c r="F90" s="375"/>
    </row>
    <row r="91" spans="1:49" s="163" customFormat="1" ht="44.25">
      <c r="F91" s="375"/>
    </row>
  </sheetData>
  <phoneticPr fontId="5" type="noConversion"/>
  <printOptions horizontalCentered="1"/>
  <pageMargins left="0.45" right="0.45" top="0.45" bottom="0.5" header="0.3" footer="0.3"/>
  <pageSetup scale="2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0"/>
  <sheetViews>
    <sheetView showOutlineSymbols="0" zoomScale="30" zoomScaleNormal="100" workbookViewId="0">
      <selection activeCell="C5" sqref="C5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D1" s="17" t="s">
        <v>1</v>
      </c>
      <c r="E1" s="141" t="s">
        <v>296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13909386</v>
      </c>
      <c r="C8" s="92">
        <v>13909386</v>
      </c>
      <c r="D8" s="92">
        <v>11826163</v>
      </c>
      <c r="E8" s="178">
        <f>D8-B8</f>
        <v>-2083223</v>
      </c>
      <c r="F8" s="397">
        <f>IF(ISBLANK(E8),"  ",IF(B8&gt;0,E8/B8,IF(E8&gt;0,1,0)))</f>
        <v>-0.14977102511929713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860775</v>
      </c>
      <c r="E9" s="178">
        <f>D9-B9</f>
        <v>860775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/>
      <c r="C10" s="93"/>
      <c r="D10" s="93"/>
      <c r="E10" s="160"/>
      <c r="F10" s="369" t="str">
        <f t="shared" si="0"/>
        <v xml:space="preserve">  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178"/>
      <c r="F11" s="369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/>
      <c r="C12" s="93"/>
      <c r="D12" s="93"/>
      <c r="E12" s="178"/>
      <c r="F12" s="369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178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SUM(B8:B10,B27:B30)</f>
        <v>13909386</v>
      </c>
      <c r="C31" s="122">
        <f>SUM(C8:C10,C26:C30)</f>
        <v>13909386</v>
      </c>
      <c r="D31" s="122">
        <f>SUM(D8:D10,D26:D30)</f>
        <v>12686938</v>
      </c>
      <c r="E31" s="465">
        <f>D31-B31</f>
        <v>-1222448</v>
      </c>
      <c r="F31" s="390">
        <f t="shared" si="0"/>
        <v>-8.7886553727101968E-2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>
        <v>37963727.329999998</v>
      </c>
      <c r="C35" s="147">
        <v>40336977</v>
      </c>
      <c r="D35" s="147">
        <v>43774298</v>
      </c>
      <c r="E35" s="465">
        <f>D35-B35</f>
        <v>5810570.6700000018</v>
      </c>
      <c r="F35" s="399">
        <f>IF(ISBLANK(E35),"  ",IF(B35&gt;0,E35/B35,IF(E35&gt;0,1,0)))</f>
        <v>0.15305585301178598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/>
      <c r="C37" s="147"/>
      <c r="D37" s="147"/>
      <c r="E37" s="465"/>
      <c r="F37" s="345" t="str">
        <f>IF(ISBLANK(E37),"  ",IF(B37&gt;0,E37/B37,IF(E37&gt;0,1,0)))</f>
        <v xml:space="preserve">  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1753736.02</v>
      </c>
      <c r="C39" s="147">
        <v>1869588</v>
      </c>
      <c r="D39" s="147">
        <v>1330426</v>
      </c>
      <c r="E39" s="465">
        <f>D39-B39</f>
        <v>-423310.02</v>
      </c>
      <c r="F39" s="399">
        <f>IF(ISBLANK(E39),"  ",IF(B39&gt;0,E39/B39,IF(E39&gt;0,1,0)))</f>
        <v>-0.24137613367831723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v>3120102.47</v>
      </c>
      <c r="C41" s="147">
        <v>3343601</v>
      </c>
      <c r="D41" s="147">
        <v>4547674</v>
      </c>
      <c r="E41" s="465">
        <f>D41-B41</f>
        <v>1427571.5299999998</v>
      </c>
      <c r="F41" s="345">
        <f>IF(ISBLANK(E41),"  ",IF(B41&gt;0,E41/B41,IF(E41&gt;0,1,0)))</f>
        <v>0.45753995060296843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56746951.82</v>
      </c>
      <c r="C45" s="147">
        <f>SUM(C43,C41,C39,C35,C33,C31)</f>
        <v>59459552</v>
      </c>
      <c r="D45" s="147">
        <f>SUM(D43,D41,D39,D35,D33,D31)</f>
        <v>62339336</v>
      </c>
      <c r="E45" s="465">
        <f>D45-B45</f>
        <v>5592384.1799999997</v>
      </c>
      <c r="F45" s="345">
        <f>IF(ISBLANK(E45),"  ",IF(B45&gt;0,E45/B45,IF(E45&gt;0,1,0)))</f>
        <v>9.8549507958399438E-2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/>
      <c r="C49" s="154"/>
      <c r="D49" s="154"/>
      <c r="E49" s="178"/>
      <c r="F49" s="397" t="str">
        <f t="shared" ref="F49:F62" si="1">IF(ISBLANK(E49),"  ",IF(B49&gt;0,E49/B49,IF(E49&gt;0,1,0)))</f>
        <v xml:space="preserve">  </v>
      </c>
      <c r="G49" s="24"/>
      <c r="H49" s="24"/>
    </row>
    <row r="50" spans="1:8" ht="34.5">
      <c r="A50" s="156" t="s">
        <v>42</v>
      </c>
      <c r="B50" s="157"/>
      <c r="C50" s="157"/>
      <c r="D50" s="157"/>
      <c r="E50" s="178"/>
      <c r="F50" s="369" t="str">
        <f t="shared" si="1"/>
        <v xml:space="preserve">  </v>
      </c>
      <c r="G50" s="24"/>
      <c r="H50" s="24"/>
    </row>
    <row r="51" spans="1:8" ht="34.5">
      <c r="A51" s="158" t="s">
        <v>43</v>
      </c>
      <c r="B51" s="159"/>
      <c r="C51" s="159"/>
      <c r="D51" s="159"/>
      <c r="E51" s="178"/>
      <c r="F51" s="369" t="str">
        <f t="shared" si="1"/>
        <v xml:space="preserve">  </v>
      </c>
      <c r="G51" s="24"/>
      <c r="H51" s="24"/>
    </row>
    <row r="52" spans="1:8" ht="34.5">
      <c r="A52" s="158" t="s">
        <v>44</v>
      </c>
      <c r="B52" s="159"/>
      <c r="C52" s="159"/>
      <c r="D52" s="159"/>
      <c r="E52" s="178"/>
      <c r="F52" s="369" t="str">
        <f t="shared" si="1"/>
        <v xml:space="preserve">  </v>
      </c>
      <c r="G52" s="24"/>
      <c r="H52" s="24"/>
    </row>
    <row r="53" spans="1:8" ht="34.5">
      <c r="A53" s="156" t="s">
        <v>45</v>
      </c>
      <c r="B53" s="159"/>
      <c r="C53" s="159"/>
      <c r="D53" s="159"/>
      <c r="E53" s="178"/>
      <c r="F53" s="369" t="str">
        <f t="shared" si="1"/>
        <v xml:space="preserve">  </v>
      </c>
      <c r="G53" s="24"/>
      <c r="H53" s="24"/>
    </row>
    <row r="54" spans="1:8" ht="34.5">
      <c r="A54" s="153" t="s">
        <v>74</v>
      </c>
      <c r="B54" s="160"/>
      <c r="C54" s="160"/>
      <c r="D54" s="160"/>
      <c r="E54" s="178"/>
      <c r="F54" s="369" t="str">
        <f t="shared" si="1"/>
        <v xml:space="preserve">  </v>
      </c>
      <c r="G54" s="24"/>
      <c r="H54" s="24"/>
    </row>
    <row r="55" spans="1:8" ht="34.5">
      <c r="A55" s="117" t="s">
        <v>46</v>
      </c>
      <c r="B55" s="118"/>
      <c r="C55" s="118"/>
      <c r="D55" s="118"/>
      <c r="E55" s="178"/>
      <c r="F55" s="369" t="str">
        <f t="shared" si="1"/>
        <v xml:space="preserve">  </v>
      </c>
      <c r="G55" s="24"/>
      <c r="H55" s="24"/>
    </row>
    <row r="56" spans="1:8" ht="34.5">
      <c r="A56" s="117" t="s">
        <v>47</v>
      </c>
      <c r="B56" s="93"/>
      <c r="C56" s="93"/>
      <c r="D56" s="93"/>
      <c r="E56" s="178"/>
      <c r="F56" s="369" t="str">
        <f t="shared" si="1"/>
        <v xml:space="preserve">  </v>
      </c>
      <c r="G56" s="24"/>
      <c r="H56" s="24"/>
    </row>
    <row r="57" spans="1:8" ht="35.25">
      <c r="A57" s="114" t="s">
        <v>48</v>
      </c>
      <c r="B57" s="116"/>
      <c r="C57" s="116"/>
      <c r="D57" s="116"/>
      <c r="E57" s="465"/>
      <c r="F57" s="390" t="str">
        <f t="shared" si="1"/>
        <v xml:space="preserve">  </v>
      </c>
      <c r="G57" s="24"/>
      <c r="H57" s="24"/>
    </row>
    <row r="58" spans="1:8" ht="34.5">
      <c r="A58" s="117" t="s">
        <v>49</v>
      </c>
      <c r="B58" s="93">
        <v>56746951.82</v>
      </c>
      <c r="C58" s="93">
        <v>59459552</v>
      </c>
      <c r="D58" s="93">
        <v>62339336</v>
      </c>
      <c r="E58" s="178">
        <f>D58-B58</f>
        <v>5592384.1799999997</v>
      </c>
      <c r="F58" s="369">
        <f t="shared" si="1"/>
        <v>9.8549507958399438E-2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1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1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1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56746951.82</v>
      </c>
      <c r="C62" s="120">
        <f>SUM(C57:C61)</f>
        <v>59459552</v>
      </c>
      <c r="D62" s="120">
        <f>SUM(D57:D61)</f>
        <v>62339336</v>
      </c>
      <c r="E62" s="465">
        <f>D62-B62</f>
        <v>5592384.1799999997</v>
      </c>
      <c r="F62" s="344">
        <f t="shared" si="1"/>
        <v>9.8549507958399438E-2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21750488.73</v>
      </c>
      <c r="C65" s="92">
        <v>23540731</v>
      </c>
      <c r="D65" s="92">
        <v>25346146</v>
      </c>
      <c r="E65" s="178">
        <f t="shared" ref="E65:E82" si="2">D65-B65</f>
        <v>3595657.2699999996</v>
      </c>
      <c r="F65" s="397">
        <f t="shared" ref="F65:F82" si="3">IF(ISBLANK(E65),"  ",IF(B65&gt;0,E65/B65,IF(E65&gt;0,1,0)))</f>
        <v>0.16531386097272305</v>
      </c>
      <c r="G65" s="24"/>
      <c r="H65" s="24"/>
    </row>
    <row r="66" spans="1:8" ht="34.5">
      <c r="A66" s="117" t="s">
        <v>56</v>
      </c>
      <c r="B66" s="118">
        <v>699643.57</v>
      </c>
      <c r="C66" s="118">
        <v>733000</v>
      </c>
      <c r="D66" s="118">
        <v>695051</v>
      </c>
      <c r="E66" s="178">
        <f t="shared" si="2"/>
        <v>-4592.5699999999488</v>
      </c>
      <c r="F66" s="369">
        <f t="shared" si="3"/>
        <v>-6.5641566605120789E-3</v>
      </c>
      <c r="G66" s="24"/>
      <c r="H66" s="24"/>
    </row>
    <row r="67" spans="1:8" ht="34.5">
      <c r="A67" s="117" t="s">
        <v>57</v>
      </c>
      <c r="B67" s="118">
        <v>6436233.4299999997</v>
      </c>
      <c r="C67" s="118">
        <v>6644106</v>
      </c>
      <c r="D67" s="118">
        <v>6968370</v>
      </c>
      <c r="E67" s="178">
        <f t="shared" si="2"/>
        <v>532136.5700000003</v>
      </c>
      <c r="F67" s="369">
        <f t="shared" si="3"/>
        <v>8.2678258299279911E-2</v>
      </c>
      <c r="G67" s="24"/>
      <c r="H67" s="24"/>
    </row>
    <row r="68" spans="1:8" ht="35.25">
      <c r="A68" s="175" t="s">
        <v>58</v>
      </c>
      <c r="B68" s="116">
        <f>SUM(B65:B67)</f>
        <v>28886365.73</v>
      </c>
      <c r="C68" s="116">
        <f>SUM(C65:C67)</f>
        <v>30917837</v>
      </c>
      <c r="D68" s="116">
        <f>SUM(D65:D67)</f>
        <v>33009567</v>
      </c>
      <c r="E68" s="465">
        <f t="shared" si="2"/>
        <v>4123201.2699999996</v>
      </c>
      <c r="F68" s="390">
        <f t="shared" si="3"/>
        <v>0.14273866461912998</v>
      </c>
      <c r="G68" s="24"/>
      <c r="H68" s="24"/>
    </row>
    <row r="69" spans="1:8" ht="34.5">
      <c r="A69" s="151" t="s">
        <v>59</v>
      </c>
      <c r="B69" s="166">
        <v>18969.150000000001</v>
      </c>
      <c r="C69" s="166">
        <v>29050</v>
      </c>
      <c r="D69" s="166">
        <v>30468</v>
      </c>
      <c r="E69" s="178">
        <f t="shared" si="2"/>
        <v>11498.849999999999</v>
      </c>
      <c r="F69" s="369">
        <f t="shared" si="3"/>
        <v>0.60618688765706408</v>
      </c>
      <c r="G69" s="24"/>
      <c r="H69" s="24"/>
    </row>
    <row r="70" spans="1:8" ht="34.5">
      <c r="A70" s="151" t="s">
        <v>60</v>
      </c>
      <c r="B70" s="166">
        <v>7827477.6500000004</v>
      </c>
      <c r="C70" s="166">
        <v>8412260</v>
      </c>
      <c r="D70" s="166">
        <v>8822814</v>
      </c>
      <c r="E70" s="178">
        <f t="shared" si="2"/>
        <v>995336.34999999963</v>
      </c>
      <c r="F70" s="369">
        <f t="shared" si="3"/>
        <v>0.12715927077734929</v>
      </c>
      <c r="G70" s="24"/>
      <c r="H70" s="24"/>
    </row>
    <row r="71" spans="1:8" ht="34.5">
      <c r="A71" s="176" t="s">
        <v>61</v>
      </c>
      <c r="B71" s="177">
        <v>8303901.3600000003</v>
      </c>
      <c r="C71" s="177">
        <v>7717504</v>
      </c>
      <c r="D71" s="177">
        <v>8094151</v>
      </c>
      <c r="E71" s="178">
        <f t="shared" si="2"/>
        <v>-209750.36000000034</v>
      </c>
      <c r="F71" s="369">
        <f t="shared" si="3"/>
        <v>-2.5259254765521485E-2</v>
      </c>
      <c r="G71" s="24"/>
      <c r="H71" s="24"/>
    </row>
    <row r="72" spans="1:8" ht="35.25">
      <c r="A72" s="114" t="s">
        <v>62</v>
      </c>
      <c r="B72" s="116">
        <f>SUM(B69:B71)</f>
        <v>16150348.16</v>
      </c>
      <c r="C72" s="116">
        <f>SUM(C69:C71)</f>
        <v>16158814</v>
      </c>
      <c r="D72" s="116">
        <f>SUM(D69:D71)</f>
        <v>16947433</v>
      </c>
      <c r="E72" s="465">
        <f t="shared" si="2"/>
        <v>797084.83999999985</v>
      </c>
      <c r="F72" s="390">
        <f t="shared" si="3"/>
        <v>4.9354034482932151E-2</v>
      </c>
      <c r="G72" s="24"/>
      <c r="H72" s="24"/>
    </row>
    <row r="73" spans="1:8" ht="34.5">
      <c r="A73" s="117" t="s">
        <v>63</v>
      </c>
      <c r="B73" s="118">
        <v>9563557.1600000001</v>
      </c>
      <c r="C73" s="118">
        <v>10529425</v>
      </c>
      <c r="D73" s="118">
        <v>11043306</v>
      </c>
      <c r="E73" s="178">
        <f t="shared" si="2"/>
        <v>1479748.8399999999</v>
      </c>
      <c r="F73" s="369">
        <f t="shared" si="3"/>
        <v>0.15472787115124012</v>
      </c>
      <c r="G73" s="24"/>
      <c r="H73" s="24"/>
    </row>
    <row r="74" spans="1:8" ht="34.5">
      <c r="A74" s="126" t="s">
        <v>64</v>
      </c>
      <c r="B74" s="128">
        <v>126338.98</v>
      </c>
      <c r="C74" s="128">
        <v>119232</v>
      </c>
      <c r="D74" s="128">
        <v>332799</v>
      </c>
      <c r="E74" s="178">
        <f t="shared" si="2"/>
        <v>206460.02000000002</v>
      </c>
      <c r="F74" s="369">
        <f t="shared" si="3"/>
        <v>1.6341751373962337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3"/>
        <v xml:space="preserve">  </v>
      </c>
      <c r="G75" s="24"/>
      <c r="H75" s="24"/>
    </row>
    <row r="76" spans="1:8" ht="34.5">
      <c r="A76" s="117" t="s">
        <v>66</v>
      </c>
      <c r="B76" s="118">
        <v>1406719.14</v>
      </c>
      <c r="C76" s="118">
        <v>1281473</v>
      </c>
      <c r="D76" s="118">
        <v>553460</v>
      </c>
      <c r="E76" s="178">
        <f t="shared" si="2"/>
        <v>-853259.1399999999</v>
      </c>
      <c r="F76" s="369">
        <f t="shared" si="3"/>
        <v>-0.60655970032511253</v>
      </c>
      <c r="G76" s="24"/>
      <c r="H76" s="24"/>
    </row>
    <row r="77" spans="1:8" ht="35.25">
      <c r="A77" s="114" t="s">
        <v>67</v>
      </c>
      <c r="B77" s="116">
        <f>SUM(B73:B76)</f>
        <v>11096615.280000001</v>
      </c>
      <c r="C77" s="116">
        <f>SUM(C73:C76)</f>
        <v>11930130</v>
      </c>
      <c r="D77" s="116">
        <f>SUM(D73:D76)</f>
        <v>11929565</v>
      </c>
      <c r="E77" s="465">
        <f t="shared" si="2"/>
        <v>832949.71999999881</v>
      </c>
      <c r="F77" s="390">
        <f t="shared" si="3"/>
        <v>7.5063404378925058E-2</v>
      </c>
      <c r="G77" s="24"/>
      <c r="H77" s="24"/>
    </row>
    <row r="78" spans="1:8" ht="34.5">
      <c r="A78" s="117" t="s">
        <v>68</v>
      </c>
      <c r="B78" s="118">
        <v>613622.65</v>
      </c>
      <c r="C78" s="118">
        <v>452771</v>
      </c>
      <c r="D78" s="118">
        <v>452771</v>
      </c>
      <c r="E78" s="178">
        <f t="shared" si="2"/>
        <v>-160851.65000000002</v>
      </c>
      <c r="F78" s="369">
        <f t="shared" si="3"/>
        <v>-0.26213447303485299</v>
      </c>
      <c r="G78" s="24"/>
      <c r="H78" s="24"/>
    </row>
    <row r="79" spans="1:8" ht="34.5">
      <c r="A79" s="117" t="s">
        <v>69</v>
      </c>
      <c r="B79" s="118"/>
      <c r="C79" s="118"/>
      <c r="D79" s="118"/>
      <c r="E79" s="178"/>
      <c r="F79" s="369" t="str">
        <f t="shared" si="3"/>
        <v xml:space="preserve">  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3"/>
        <v xml:space="preserve">  </v>
      </c>
      <c r="G80" s="24"/>
      <c r="H80" s="24"/>
    </row>
    <row r="81" spans="1:49" ht="35.25">
      <c r="A81" s="114" t="s">
        <v>71</v>
      </c>
      <c r="B81" s="116">
        <f>SUM(B78:B80)</f>
        <v>613622.65</v>
      </c>
      <c r="C81" s="116">
        <f>SUM(C78:C80)</f>
        <v>452771</v>
      </c>
      <c r="D81" s="116">
        <f>SUM(D78:D80)</f>
        <v>452771</v>
      </c>
      <c r="E81" s="465">
        <f t="shared" si="2"/>
        <v>-160851.65000000002</v>
      </c>
      <c r="F81" s="390">
        <f t="shared" si="3"/>
        <v>-0.26213447303485299</v>
      </c>
      <c r="G81" s="24"/>
      <c r="H81" s="24"/>
    </row>
    <row r="82" spans="1:49" ht="36" thickBot="1">
      <c r="A82" s="164" t="s">
        <v>53</v>
      </c>
      <c r="B82" s="165">
        <f>+B81+B77+B72+B68</f>
        <v>56746951.820000008</v>
      </c>
      <c r="C82" s="165">
        <f>+C81+C77+C72+C68</f>
        <v>59459552</v>
      </c>
      <c r="D82" s="165">
        <f>+D81+D77+D72+D68</f>
        <v>62339336</v>
      </c>
      <c r="E82" s="466">
        <f t="shared" si="2"/>
        <v>5592384.1799999923</v>
      </c>
      <c r="F82" s="348">
        <f t="shared" si="3"/>
        <v>9.8549507958399299E-2</v>
      </c>
    </row>
    <row r="83" spans="1:49" s="163" customFormat="1" ht="44.25">
      <c r="F83" s="375"/>
    </row>
    <row r="84" spans="1:49" s="163" customFormat="1" ht="44.25">
      <c r="A84" s="163" t="s">
        <v>99</v>
      </c>
      <c r="F84" s="375"/>
    </row>
    <row r="85" spans="1:49" s="163" customFormat="1" ht="44.25">
      <c r="A85" s="163" t="s">
        <v>72</v>
      </c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A87" s="179"/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F88" s="375"/>
    </row>
    <row r="89" spans="1:49" s="163" customFormat="1" ht="44.25">
      <c r="F89" s="375"/>
    </row>
    <row r="90" spans="1:49" s="163" customFormat="1" ht="44.25">
      <c r="F90" s="375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0"/>
  <sheetViews>
    <sheetView topLeftCell="A58" zoomScale="30" zoomScaleNormal="61" workbookViewId="0">
      <selection activeCell="C6" sqref="C6"/>
    </sheetView>
  </sheetViews>
  <sheetFormatPr defaultRowHeight="15"/>
  <cols>
    <col min="1" max="1" width="135" style="14" customWidth="1"/>
    <col min="2" max="5" width="30.33203125" style="14" customWidth="1"/>
    <col min="6" max="6" width="45.5546875" style="321" customWidth="1"/>
    <col min="7" max="9" width="8.88671875" style="14"/>
    <col min="10" max="10" width="19.109375" style="14" bestFit="1" customWidth="1"/>
    <col min="11" max="12" width="8.88671875" style="14"/>
    <col min="13" max="13" width="21.21875" style="14" bestFit="1" customWidth="1"/>
    <col min="14" max="16384" width="8.88671875" style="14"/>
  </cols>
  <sheetData>
    <row r="1" spans="1:10" ht="45">
      <c r="A1" s="38" t="s">
        <v>0</v>
      </c>
      <c r="B1" s="39"/>
      <c r="C1" s="39"/>
      <c r="D1" s="40" t="s">
        <v>1</v>
      </c>
      <c r="E1" s="303" t="s">
        <v>277</v>
      </c>
      <c r="F1" s="303"/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customHeight="1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 customHeight="1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 customHeight="1">
      <c r="A6" s="55" t="s">
        <v>12</v>
      </c>
      <c r="B6" s="59"/>
      <c r="C6" s="59"/>
      <c r="D6" s="59"/>
      <c r="E6" s="59"/>
      <c r="F6" s="308"/>
    </row>
    <row r="7" spans="1:10" ht="35.25" customHeight="1">
      <c r="A7" s="55" t="s">
        <v>13</v>
      </c>
      <c r="B7" s="59"/>
      <c r="C7" s="59"/>
      <c r="D7" s="59"/>
      <c r="E7" s="59"/>
      <c r="F7" s="309"/>
      <c r="J7" s="39"/>
    </row>
    <row r="8" spans="1:10" ht="34.5" customHeight="1">
      <c r="A8" s="56" t="s">
        <v>14</v>
      </c>
      <c r="B8" s="79">
        <f ca="1">LSUE!B8+SUSBO!B8+'Total LCTCS'!B8-LCTCSBOS!B8</f>
        <v>203620736</v>
      </c>
      <c r="C8" s="79">
        <f ca="1">LSUE!C8+SUSBO!C8+'Total LCTCS'!C8-LCTCSBOS!C8</f>
        <v>203620735.5</v>
      </c>
      <c r="D8" s="79">
        <f ca="1">LSUE!D8+SUSBO!D8+'Total LCTCS'!D8-LCTCSBOS!D8</f>
        <v>145676312</v>
      </c>
      <c r="E8" s="79">
        <f>D8-B8</f>
        <v>-57944424</v>
      </c>
      <c r="F8" s="310">
        <f>IF(ISBLANK(E8),"  ",IF(B8&gt;0,E8/B8,IF(E8&gt;0,1,0)))</f>
        <v>-0.2845703494559611</v>
      </c>
    </row>
    <row r="9" spans="1:10" ht="34.5" customHeight="1">
      <c r="A9" s="56" t="s">
        <v>87</v>
      </c>
      <c r="B9" s="79">
        <f ca="1">LSUE!B9+SUSBO!B9+'Total LCTCS'!B9-LCTCSBOS!B9</f>
        <v>0</v>
      </c>
      <c r="C9" s="79">
        <f ca="1">LSUE!C9+SUSBO!C9+'Total LCTCS'!C9-LCTCSBOS!C9</f>
        <v>0</v>
      </c>
      <c r="D9" s="79">
        <f ca="1">LSUE!D9+SUSBO!D9+'Total LCTCS'!D9-LCTCSBOS!D9</f>
        <v>12935068</v>
      </c>
      <c r="E9" s="79">
        <f>D9-B9</f>
        <v>12935068</v>
      </c>
      <c r="F9" s="310">
        <f>IF(ISBLANK(E9),"  ",IF(B9&gt;0,E9/B9,IF(E9&gt;0,1,0)))</f>
        <v>1</v>
      </c>
    </row>
    <row r="10" spans="1:10" ht="34.5" customHeight="1">
      <c r="A10" s="57" t="s">
        <v>15</v>
      </c>
      <c r="B10" s="80">
        <f ca="1">SUM(B11:B25)</f>
        <v>7369459.8500000015</v>
      </c>
      <c r="C10" s="80">
        <f ca="1">SUM(C11:C25)</f>
        <v>7577575</v>
      </c>
      <c r="D10" s="80">
        <f ca="1">SUM(D11:D25)</f>
        <v>7241307</v>
      </c>
      <c r="E10" s="79">
        <f>B10-C10</f>
        <v>-208115.14999999851</v>
      </c>
      <c r="F10" s="310">
        <f>IF(ISBLANK(E10),"  ",IF(B10&gt;0,E10/B10,IF(E10&gt;0,1,0)))</f>
        <v>-2.8240217632775143E-2</v>
      </c>
    </row>
    <row r="11" spans="1:10" ht="34.5" customHeight="1">
      <c r="A11" s="60" t="s">
        <v>16</v>
      </c>
      <c r="B11" s="81">
        <f ca="1">LSUE!B11+SUSBO!B11+'Total LCTCS'!B11-LCTCSBOS!B11</f>
        <v>0</v>
      </c>
      <c r="C11" s="81">
        <f ca="1">LSUE!C11+SUSBO!C11+'Total LCTCS'!C11-LCTCSBOS!C11</f>
        <v>0</v>
      </c>
      <c r="D11" s="81">
        <f ca="1">LSUE!D11+SUSBO!D11+'Total LCTCS'!D11-LCTCSBOS!D11</f>
        <v>1094248</v>
      </c>
      <c r="E11" s="79">
        <f t="shared" ref="E11:E25" si="0">D11-B11</f>
        <v>1094248</v>
      </c>
      <c r="F11" s="310">
        <f t="shared" ref="F11:F25" si="1">IF(ISBLANK(E11),"  ",IF(B11&gt;0,E11/B11,IF(E11&gt;0,1,0)))</f>
        <v>1</v>
      </c>
    </row>
    <row r="12" spans="1:10" ht="34.5" customHeight="1">
      <c r="A12" s="57" t="s">
        <v>17</v>
      </c>
      <c r="B12" s="81">
        <f ca="1">LSUE!B12+SUSBO!B12+'Total LCTCS'!B12-LCTCSBOS!B12</f>
        <v>6694688.8500000015</v>
      </c>
      <c r="C12" s="444">
        <f ca="1">LSUE!C12+SUSBO!C12+'Total LCTCS'!C12-LCTCSBOS!C12</f>
        <v>6902804</v>
      </c>
      <c r="D12" s="81">
        <f ca="1">LSUE!D12+SUSBO!D12+'Total LCTCS'!D12-LCTCSBOS!D12</f>
        <v>5971858</v>
      </c>
      <c r="E12" s="79">
        <f t="shared" si="0"/>
        <v>-722830.85000000149</v>
      </c>
      <c r="F12" s="310">
        <f t="shared" si="1"/>
        <v>-0.10797079090539081</v>
      </c>
    </row>
    <row r="13" spans="1:10" ht="34.5" customHeight="1">
      <c r="A13" s="57" t="s">
        <v>18</v>
      </c>
      <c r="B13" s="81">
        <f ca="1">LSUE!B13+SUSBO!B13+'Total LCTCS'!B13-LCTCSBOS!B13</f>
        <v>0</v>
      </c>
      <c r="C13" s="81">
        <f ca="1">LSUE!C13+SUSBO!C13+'Total LCTCS'!C13-LCTCSBOS!C13</f>
        <v>0</v>
      </c>
      <c r="D13" s="81">
        <f ca="1">LSUE!D13+SUSBO!D13+'Total LCTCS'!D13-LCTCSBOS!D13</f>
        <v>0</v>
      </c>
      <c r="E13" s="79">
        <f t="shared" si="0"/>
        <v>0</v>
      </c>
      <c r="F13" s="310">
        <f t="shared" si="1"/>
        <v>0</v>
      </c>
    </row>
    <row r="14" spans="1:10" ht="34.5" customHeight="1">
      <c r="A14" s="57" t="s">
        <v>19</v>
      </c>
      <c r="B14" s="81">
        <f ca="1">LSUE!B14+SUSBO!B14+'Total LCTCS'!B14-LCTCSBOS!B14</f>
        <v>176021</v>
      </c>
      <c r="C14" s="81">
        <f ca="1">LSUE!C14+SUSBO!C14+'Total LCTCS'!C14-LCTCSBOS!C14</f>
        <v>176021</v>
      </c>
      <c r="D14" s="81">
        <f ca="1">LSUE!D14+SUSBO!D14+'Total LCTCS'!D14-LCTCSBOS!D14</f>
        <v>175201</v>
      </c>
      <c r="E14" s="79">
        <f t="shared" si="0"/>
        <v>-820</v>
      </c>
      <c r="F14" s="310">
        <f t="shared" si="1"/>
        <v>-4.6585350611574759E-3</v>
      </c>
    </row>
    <row r="15" spans="1:10" ht="34.5" customHeight="1">
      <c r="A15" s="57" t="s">
        <v>20</v>
      </c>
      <c r="B15" s="81">
        <f ca="1">LSUE!B15+SUSBO!B15+'Total LCTCS'!B15-LCTCSBOS!B15</f>
        <v>0</v>
      </c>
      <c r="C15" s="81">
        <f ca="1">LSUE!C15+SUSBO!C15+'Total LCTCS'!C15-LCTCSBOS!C15</f>
        <v>0</v>
      </c>
      <c r="D15" s="81">
        <f ca="1">LSUE!D15+SUSBO!D15+'Total LCTCS'!D15-LCTCSBOS!D15</f>
        <v>0</v>
      </c>
      <c r="E15" s="79">
        <f t="shared" si="0"/>
        <v>0</v>
      </c>
      <c r="F15" s="310">
        <f t="shared" si="1"/>
        <v>0</v>
      </c>
    </row>
    <row r="16" spans="1:10" ht="34.5" customHeight="1">
      <c r="A16" s="57" t="s">
        <v>21</v>
      </c>
      <c r="B16" s="81">
        <f ca="1">LSUE!B16+SUSBO!B16+'Total LCTCS'!B16-LCTCSBOS!B16</f>
        <v>0</v>
      </c>
      <c r="C16" s="81">
        <f ca="1">LSUE!C16+SUSBO!C16+'Total LCTCS'!C16-LCTCSBOS!C16</f>
        <v>0</v>
      </c>
      <c r="D16" s="81">
        <f ca="1">LSUE!D16+SUSBO!D16+'Total LCTCS'!D16-LCTCSBOS!D16</f>
        <v>0</v>
      </c>
      <c r="E16" s="79">
        <f t="shared" si="0"/>
        <v>0</v>
      </c>
      <c r="F16" s="310">
        <f t="shared" si="1"/>
        <v>0</v>
      </c>
    </row>
    <row r="17" spans="1:13" ht="34.5" customHeight="1">
      <c r="A17" s="57" t="s">
        <v>22</v>
      </c>
      <c r="B17" s="81">
        <f ca="1">LSUE!B17+SUSBO!B17+'Total LCTCS'!B17-LCTCSBOS!B17</f>
        <v>0</v>
      </c>
      <c r="C17" s="81">
        <f ca="1">LSUE!C17+SUSBO!C17+'Total LCTCS'!C17-LCTCSBOS!C17</f>
        <v>0</v>
      </c>
      <c r="D17" s="81">
        <f ca="1">LSUE!D17+SUSBO!D17+'Total LCTCS'!D17-LCTCSBOS!D17</f>
        <v>0</v>
      </c>
      <c r="E17" s="79">
        <f t="shared" si="0"/>
        <v>0</v>
      </c>
      <c r="F17" s="310">
        <f t="shared" si="1"/>
        <v>0</v>
      </c>
    </row>
    <row r="18" spans="1:13" ht="34.5" customHeight="1">
      <c r="A18" s="57" t="s">
        <v>23</v>
      </c>
      <c r="B18" s="81">
        <f ca="1">LSUE!B18+SUSBO!B18+'Total LCTCS'!B18-LCTCSBOS!B18</f>
        <v>0</v>
      </c>
      <c r="C18" s="81">
        <f ca="1">LSUE!C18+SUSBO!C18+'Total LCTCS'!C18-LCTCSBOS!C18</f>
        <v>0</v>
      </c>
      <c r="D18" s="81">
        <f ca="1">LSUE!D18+SUSBO!D18+'Total LCTCS'!D18-LCTCSBOS!D18</f>
        <v>0</v>
      </c>
      <c r="E18" s="79">
        <f t="shared" si="0"/>
        <v>0</v>
      </c>
      <c r="F18" s="310">
        <f t="shared" si="1"/>
        <v>0</v>
      </c>
    </row>
    <row r="19" spans="1:13" ht="34.5" customHeight="1">
      <c r="A19" s="57" t="s">
        <v>24</v>
      </c>
      <c r="B19" s="81">
        <f ca="1">LSUE!B19+SUSBO!B19+'Total LCTCS'!B19-LCTCSBOS!B19</f>
        <v>0</v>
      </c>
      <c r="C19" s="81">
        <f ca="1">LSUE!C19+SUSBO!C19+'Total LCTCS'!C19-LCTCSBOS!C19</f>
        <v>0</v>
      </c>
      <c r="D19" s="81">
        <f ca="1">LSUE!D19+SUSBO!D19+'Total LCTCS'!D19-LCTCSBOS!D19</f>
        <v>0</v>
      </c>
      <c r="E19" s="79">
        <f t="shared" si="0"/>
        <v>0</v>
      </c>
      <c r="F19" s="310">
        <f t="shared" si="1"/>
        <v>0</v>
      </c>
    </row>
    <row r="20" spans="1:13" ht="34.5" customHeight="1">
      <c r="A20" s="57" t="s">
        <v>25</v>
      </c>
      <c r="B20" s="81">
        <f ca="1">LSUE!B20+SUSBO!B20+'Total LCTCS'!B20-LCTCSBOS!B20</f>
        <v>0</v>
      </c>
      <c r="C20" s="81">
        <f ca="1">LSUE!C20+SUSBO!C20+'Total LCTCS'!C20-LCTCSBOS!C20</f>
        <v>0</v>
      </c>
      <c r="D20" s="81">
        <f ca="1">LSUE!D20+SUSBO!D20+'Total LCTCS'!D20-LCTCSBOS!D20</f>
        <v>0</v>
      </c>
      <c r="E20" s="79">
        <f t="shared" si="0"/>
        <v>0</v>
      </c>
      <c r="F20" s="310">
        <f t="shared" si="1"/>
        <v>0</v>
      </c>
    </row>
    <row r="21" spans="1:13" ht="34.5" customHeight="1">
      <c r="A21" s="57" t="s">
        <v>26</v>
      </c>
      <c r="B21" s="81">
        <f ca="1">LSUE!B21+SUSBO!B21+'Total LCTCS'!B21-LCTCSBOS!B21</f>
        <v>0</v>
      </c>
      <c r="C21" s="81">
        <f ca="1">LSUE!C21+SUSBO!C21+'Total LCTCS'!C21-LCTCSBOS!C21</f>
        <v>0</v>
      </c>
      <c r="D21" s="81">
        <f ca="1">LSUE!D21+SUSBO!D21+'Total LCTCS'!D21-LCTCSBOS!D21</f>
        <v>0</v>
      </c>
      <c r="E21" s="79">
        <f t="shared" si="0"/>
        <v>0</v>
      </c>
      <c r="F21" s="310">
        <f t="shared" si="1"/>
        <v>0</v>
      </c>
    </row>
    <row r="22" spans="1:13" ht="34.5" customHeight="1">
      <c r="A22" s="57" t="s">
        <v>27</v>
      </c>
      <c r="B22" s="81">
        <f ca="1">LSUE!B22+SUSBO!B22+'Total LCTCS'!B22-LCTCSBOS!B22</f>
        <v>0</v>
      </c>
      <c r="C22" s="81">
        <f ca="1">LSUE!C22+SUSBO!C22+'Total LCTCS'!C22-LCTCSBOS!C22</f>
        <v>0</v>
      </c>
      <c r="D22" s="81">
        <f ca="1">LSUE!D22+SUSBO!D22+'Total LCTCS'!D22-LCTCSBOS!D22</f>
        <v>0</v>
      </c>
      <c r="E22" s="79">
        <f t="shared" si="0"/>
        <v>0</v>
      </c>
      <c r="F22" s="310">
        <f t="shared" si="1"/>
        <v>0</v>
      </c>
    </row>
    <row r="23" spans="1:13" ht="34.5" customHeight="1">
      <c r="A23" s="61" t="s">
        <v>28</v>
      </c>
      <c r="B23" s="81">
        <f ca="1">LSUE!B23+SUSBO!B23+'Total LCTCS'!B23-LCTCSBOS!B23</f>
        <v>0</v>
      </c>
      <c r="C23" s="81">
        <f ca="1">LSUE!C23+SUSBO!C23+'Total LCTCS'!C23-LCTCSBOS!C23</f>
        <v>0</v>
      </c>
      <c r="D23" s="81">
        <f ca="1">LSUE!D23+SUSBO!D23+'Total LCTCS'!D23-LCTCSBOS!D23</f>
        <v>0</v>
      </c>
      <c r="E23" s="79">
        <f t="shared" si="0"/>
        <v>0</v>
      </c>
      <c r="F23" s="310">
        <f t="shared" si="1"/>
        <v>0</v>
      </c>
    </row>
    <row r="24" spans="1:13" ht="34.5" customHeight="1">
      <c r="A24" s="61" t="s">
        <v>91</v>
      </c>
      <c r="B24" s="81">
        <f ca="1">LSUE!B24+SUSBO!B24+'Total LCTCS'!B24-LCTCSBOS!B24</f>
        <v>0</v>
      </c>
      <c r="C24" s="81">
        <f ca="1">LSUE!C24+SUSBO!C24+'Total LCTCS'!C24-LCTCSBOS!C24</f>
        <v>0</v>
      </c>
      <c r="D24" s="81">
        <f ca="1">LSUE!D24+SUSBO!D24+'Total LCTCS'!D24-LCTCSBOS!D24</f>
        <v>0</v>
      </c>
      <c r="E24" s="79">
        <f t="shared" si="0"/>
        <v>0</v>
      </c>
      <c r="F24" s="310">
        <f t="shared" si="1"/>
        <v>0</v>
      </c>
      <c r="M24" s="48"/>
    </row>
    <row r="25" spans="1:13" ht="34.5" customHeight="1">
      <c r="A25" s="61" t="s">
        <v>80</v>
      </c>
      <c r="B25" s="81">
        <f ca="1">LSUE!B25+SUSBO!B25+'Total LCTCS'!B25-LCTCSBOS!B25</f>
        <v>498750</v>
      </c>
      <c r="C25" s="444">
        <f ca="1">LSUE!C25+SUSBO!C25+'Total LCTCS'!C25-LCTCSBOS!C25</f>
        <v>498750</v>
      </c>
      <c r="D25" s="81">
        <f ca="1">LSUE!D25+SUSBO!D25+'Total LCTCS'!D25-LCTCSBOS!D25</f>
        <v>0</v>
      </c>
      <c r="E25" s="79">
        <f t="shared" si="0"/>
        <v>-498750</v>
      </c>
      <c r="F25" s="310">
        <f t="shared" si="1"/>
        <v>-1</v>
      </c>
      <c r="M25" s="443"/>
    </row>
    <row r="26" spans="1:13" ht="35.25" customHeight="1">
      <c r="A26" s="62" t="s">
        <v>29</v>
      </c>
      <c r="B26" s="81"/>
      <c r="C26" s="81"/>
      <c r="D26" s="81"/>
      <c r="E26" s="81"/>
      <c r="F26" s="311" t="str">
        <f>IF(ISBLANK(E26),"  ",IF(C26&gt;0,E26/C26,IF(E26&gt;0,1,0)))</f>
        <v xml:space="preserve">  </v>
      </c>
    </row>
    <row r="27" spans="1:13" ht="34.5" customHeight="1">
      <c r="A27" s="60" t="s">
        <v>30</v>
      </c>
      <c r="B27" s="79">
        <f ca="1">LSUE!B27+SUSBO!B27+'Total LCTCS'!B27-LCTCSBOS!B27</f>
        <v>0</v>
      </c>
      <c r="C27" s="79">
        <f ca="1">LSUE!C27+SUSBO!C27+'Total LCTCS'!C27-LCTCSBOS!C27</f>
        <v>0</v>
      </c>
      <c r="D27" s="79">
        <f ca="1">LSUE!D27+SUSBO!D27+'Total LCTCS'!D27-LCTCSBOS!D27</f>
        <v>0</v>
      </c>
      <c r="E27" s="79">
        <f>D27-B27</f>
        <v>0</v>
      </c>
      <c r="F27" s="310">
        <f>IF(ISBLANK(E27),"  ",IF(B27&gt;0,E27/B27,IF(E27&gt;0,1,0)))</f>
        <v>0</v>
      </c>
    </row>
    <row r="28" spans="1:13" ht="35.25" customHeight="1">
      <c r="A28" s="63" t="s">
        <v>31</v>
      </c>
      <c r="B28" s="81"/>
      <c r="C28" s="81"/>
      <c r="D28" s="81"/>
      <c r="E28" s="81"/>
      <c r="F28" s="311" t="str">
        <f>IF(ISBLANK(E28),"  ",IF(C28&gt;0,E28/C28,IF(E28&gt;0,1,0)))</f>
        <v xml:space="preserve">  </v>
      </c>
    </row>
    <row r="29" spans="1:13" ht="34.5" customHeight="1">
      <c r="A29" s="60" t="s">
        <v>30</v>
      </c>
      <c r="B29" s="82">
        <f ca="1">LSUE!B29+SUSBO!B29+'Total LCTCS'!B29-LCTCSBOS!B29</f>
        <v>0</v>
      </c>
      <c r="C29" s="82">
        <f ca="1">LSUE!C29+SUSBO!C29+'Total LCTCS'!C29-LCTCSBOS!C29</f>
        <v>0</v>
      </c>
      <c r="D29" s="82">
        <f ca="1">LSUE!D29+SUSBO!D29+'Total LCTCS'!D29-LCTCSBOS!D29</f>
        <v>0</v>
      </c>
      <c r="E29" s="79">
        <f>D29-B29</f>
        <v>0</v>
      </c>
      <c r="F29" s="310">
        <f>IF(ISBLANK(E29),"  ",IF(B29&gt;0,E29/B29,IF(E29&gt;0,1,0)))</f>
        <v>0</v>
      </c>
    </row>
    <row r="30" spans="1:13" ht="34.5" customHeight="1">
      <c r="A30" s="57" t="s">
        <v>32</v>
      </c>
      <c r="B30" s="81">
        <f ca="1">LSUE!B30+SUSBO!B30+'Total LCTCS'!B30-LCTCSBOS!B30</f>
        <v>0</v>
      </c>
      <c r="C30" s="81">
        <f ca="1">LSUE!C30+SUSBO!C30+'Total LCTCS'!C30-LCTCSBOS!C30</f>
        <v>0</v>
      </c>
      <c r="D30" s="81">
        <f ca="1">LSUE!D30+SUSBO!D30+'Total LCTCS'!D30-LCTCSBOS!D30</f>
        <v>0</v>
      </c>
      <c r="E30" s="79">
        <f>D30-B30</f>
        <v>0</v>
      </c>
      <c r="F30" s="310">
        <f>IF(ISBLANK(E30),"  ",IF(B30&gt;0,E30/B30,IF(E30&gt;0,1,0)))</f>
        <v>0</v>
      </c>
    </row>
    <row r="31" spans="1:13" ht="35.25" customHeight="1">
      <c r="A31" s="63" t="s">
        <v>33</v>
      </c>
      <c r="B31" s="83">
        <f ca="1">SUM(B8:B10,B27:B30)</f>
        <v>210990195.84999999</v>
      </c>
      <c r="C31" s="83">
        <f ca="1">SUM(C8:C10,C27:C30)</f>
        <v>211198310.5</v>
      </c>
      <c r="D31" s="83">
        <f ca="1">SUM(D8:D10,D27:D30)</f>
        <v>165852687</v>
      </c>
      <c r="E31" s="85">
        <f>D31-B31</f>
        <v>-45137508.849999994</v>
      </c>
      <c r="F31" s="312">
        <f>IF(ISBLANK(E31),"  ",IF(B31&gt;0,E31/B31,IF(E31&gt;0,1,0)))</f>
        <v>-0.21393178326679105</v>
      </c>
    </row>
    <row r="32" spans="1:13" ht="35.25" customHeight="1">
      <c r="A32" s="63"/>
      <c r="B32" s="81"/>
      <c r="C32" s="81"/>
      <c r="D32" s="81"/>
      <c r="E32" s="81"/>
      <c r="F32" s="311" t="str">
        <f>IF(ISBLANK(E32),"  ",IF(C32&gt;0,E32/C32,IF(E32&gt;0,1,0)))</f>
        <v xml:space="preserve">  </v>
      </c>
    </row>
    <row r="33" spans="1:6" ht="35.25" customHeight="1">
      <c r="A33" s="62" t="s">
        <v>34</v>
      </c>
      <c r="B33" s="84">
        <f ca="1">LSUE!B33+SUSBO!B33+'Total LCTCS'!B33-LCTCSBOS!B33</f>
        <v>-144253</v>
      </c>
      <c r="C33" s="84">
        <f ca="1">LSUE!C33+SUSBO!C33+'Total LCTCS'!C33-LCTCSBOS!C33</f>
        <v>0</v>
      </c>
      <c r="D33" s="84">
        <f ca="1">LSUE!D33+SUSBO!D33+'Total LCTCS'!D33-LCTCSBOS!D33</f>
        <v>0</v>
      </c>
      <c r="E33" s="85">
        <f>D33-B33</f>
        <v>144253</v>
      </c>
      <c r="F33" s="312">
        <f>IF(ISBLANK(E33),"  ",IF(B33&gt;0,E33/B33,IF(E33&gt;0,1,0)))</f>
        <v>1</v>
      </c>
    </row>
    <row r="34" spans="1:6" ht="35.25" customHeight="1">
      <c r="A34" s="57" t="s">
        <v>35</v>
      </c>
      <c r="B34" s="83"/>
      <c r="C34" s="83"/>
      <c r="D34" s="83"/>
      <c r="E34" s="83"/>
      <c r="F34" s="313" t="str">
        <f>IF(ISBLANK(E34),"  ",IF(C34&gt;0,E34/C34,IF(E34&gt;0,1,0)))</f>
        <v xml:space="preserve">  </v>
      </c>
    </row>
    <row r="35" spans="1:6" ht="35.25" customHeight="1">
      <c r="A35" s="64" t="s">
        <v>36</v>
      </c>
      <c r="B35" s="85">
        <f ca="1">LSUE!B35+SUSBO!B35+'Total LCTCS'!B35-LCTCSBOS!B35</f>
        <v>0</v>
      </c>
      <c r="C35" s="85">
        <f ca="1">LSUE!C35+SUSBO!C35+'Total LCTCS'!C35-LCTCSBOS!C35</f>
        <v>0</v>
      </c>
      <c r="D35" s="85">
        <f ca="1">LSUE!D35+SUSBO!D35+'Total LCTCS'!D35-LCTCSBOS!D35</f>
        <v>0</v>
      </c>
      <c r="E35" s="85">
        <f>D35-B35</f>
        <v>0</v>
      </c>
      <c r="F35" s="310">
        <f>IF(ISBLANK(E35),"  ",IF(B35&gt;0,E35/B35,IF(E35&gt;0,1,0)))</f>
        <v>0</v>
      </c>
    </row>
    <row r="36" spans="1:6" ht="35.25" customHeight="1">
      <c r="A36" s="57"/>
      <c r="B36" s="83"/>
      <c r="C36" s="83"/>
      <c r="D36" s="83"/>
      <c r="E36" s="83"/>
      <c r="F36" s="313" t="str">
        <f>IF(ISBLANK(E36),"  ",IF(C36&gt;0,E36/C36,IF(E36&gt;0,1,0)))</f>
        <v xml:space="preserve">  </v>
      </c>
    </row>
    <row r="37" spans="1:6" ht="35.25" customHeight="1">
      <c r="A37" s="64" t="s">
        <v>88</v>
      </c>
      <c r="B37" s="85">
        <f ca="1">LSUE!B37+SUSBO!B37+'Total LCTCS'!B37-LCTCSBOS!B37</f>
        <v>0</v>
      </c>
      <c r="C37" s="85">
        <f ca="1">LSUE!C37+SUSBO!C37+'Total LCTCS'!C37-LCTCSBOS!C37</f>
        <v>0</v>
      </c>
      <c r="D37" s="85">
        <f ca="1">LSUE!D37+SUSBO!D37+'Total LCTCS'!D37-LCTCSBOS!D37</f>
        <v>29025200</v>
      </c>
      <c r="E37" s="85">
        <f>D37-B37</f>
        <v>29025200</v>
      </c>
      <c r="F37" s="312">
        <f>IF(ISBLANK(E37),"  ",IF(B37&gt;0,E37/B37,IF(E37&gt;0,1,0)))</f>
        <v>1</v>
      </c>
    </row>
    <row r="38" spans="1:6" ht="35.25" customHeight="1">
      <c r="A38" s="57" t="s">
        <v>35</v>
      </c>
      <c r="B38" s="83"/>
      <c r="C38" s="83"/>
      <c r="D38" s="83"/>
      <c r="E38" s="83"/>
      <c r="F38" s="313" t="str">
        <f>IF(ISBLANK(E38),"  ",IF(C38&gt;0,E38/C38,IF(E38&gt;0,1,0)))</f>
        <v xml:space="preserve">  </v>
      </c>
    </row>
    <row r="39" spans="1:6" ht="35.25" customHeight="1">
      <c r="A39" s="62" t="s">
        <v>37</v>
      </c>
      <c r="B39" s="84">
        <f ca="1">LSUE!B39+SUSBO!B39+'Total LCTCS'!B39-LCTCSBOS!B39</f>
        <v>81097948.790000007</v>
      </c>
      <c r="C39" s="84">
        <f ca="1">LSUE!C39+SUSBO!C39+'Total LCTCS'!C39-LCTCSBOS!C39</f>
        <v>86527028.861195892</v>
      </c>
      <c r="D39" s="84">
        <f ca="1">LSUE!D39+SUSBO!D39+'Total LCTCS'!D39-LCTCSBOS!D39</f>
        <v>90726734</v>
      </c>
      <c r="E39" s="85">
        <f>D39-B39</f>
        <v>9628785.2099999934</v>
      </c>
      <c r="F39" s="312">
        <f>IF(ISBLANK(E39),"  ",IF(B39&gt;0,E39/B39,IF(E39&gt;0,1,0)))</f>
        <v>0.11873031751929213</v>
      </c>
    </row>
    <row r="40" spans="1:6" ht="35.25" customHeight="1">
      <c r="A40" s="57" t="s">
        <v>35</v>
      </c>
      <c r="B40" s="83"/>
      <c r="C40" s="83"/>
      <c r="D40" s="83"/>
      <c r="E40" s="83"/>
      <c r="F40" s="313" t="str">
        <f>IF(ISBLANK(E40),"  ",IF(C40&gt;0,E40/C40,IF(E40&gt;0,1,0)))</f>
        <v xml:space="preserve">  </v>
      </c>
    </row>
    <row r="41" spans="1:6" ht="35.25" customHeight="1">
      <c r="A41" s="62" t="s">
        <v>38</v>
      </c>
      <c r="B41" s="84">
        <f ca="1">LSUE!B41+SUSBO!B41+'Total LCTCS'!B41-LCTCSBOS!B41</f>
        <v>651</v>
      </c>
      <c r="C41" s="84">
        <f ca="1">LSUE!C41+SUSBO!C41+'Total LCTCS'!C41-LCTCSBOS!C41</f>
        <v>0</v>
      </c>
      <c r="D41" s="84">
        <f ca="1">LSUE!D41+SUSBO!D41+'Total LCTCS'!D41-LCTCSBOS!D41</f>
        <v>0</v>
      </c>
      <c r="E41" s="85">
        <f>D41-B41</f>
        <v>-651</v>
      </c>
      <c r="F41" s="312">
        <f>IF(ISBLANK(E41),"  ",IF(B41&gt;0,E41/B41,IF(E41&gt;0,1,0)))</f>
        <v>-1</v>
      </c>
    </row>
    <row r="42" spans="1:6" ht="34.5" customHeight="1">
      <c r="A42" s="57"/>
      <c r="B42" s="81"/>
      <c r="C42" s="81"/>
      <c r="D42" s="81"/>
      <c r="E42" s="81"/>
      <c r="F42" s="439" t="str">
        <f>IF(ISBLANK(E42),"  ",IF(B42&gt;0,E42/B42,IF(E42&gt;0,1,0)))</f>
        <v xml:space="preserve">  </v>
      </c>
    </row>
    <row r="43" spans="1:6" ht="35.25" customHeight="1">
      <c r="A43" s="55" t="s">
        <v>75</v>
      </c>
      <c r="B43" s="86">
        <f ca="1">SUM(BOS!B43,LSU!B43,VET!B43,UNO!B43,LSUA!B43,LSUE!B43,LSUS!B43,AG!B43,HSCNO!B43,HSCS!B43,EACON!B43,HPLMC!B43,LAW!B43,PBRC!B43)</f>
        <v>0</v>
      </c>
      <c r="C43" s="86">
        <f ca="1">SUM(BOS!C43,LSU!C43,VET!C43,UNO!C43,LSUA!C43,LSUE!C43,LSUS!C43,AG!C43,HSCNO!C43,HSCS!C43,EACON!C43,HPLMC!C43,LAW!C43,PBRC!C43)</f>
        <v>0</v>
      </c>
      <c r="D43" s="86">
        <f ca="1">SUM(BOS!D43,LSU!D43,VET!D43,UNO!D43,LSUA!D43,LSUE!D43,LSUS!D43,AG!D43,HSCNO!D43,HSCS!D43,EACON!D43,HPLMC!D43,LAW!D43,PBRC!D43)</f>
        <v>0</v>
      </c>
      <c r="E43" s="85">
        <f>D43-B43</f>
        <v>0</v>
      </c>
      <c r="F43" s="312">
        <f>IF(ISBLANK(E43),"  ",IF(B43&gt;0,E43/B43,IF(E43&gt;0,1,0)))</f>
        <v>0</v>
      </c>
    </row>
    <row r="44" spans="1:6" ht="34.5" customHeight="1">
      <c r="A44" s="65"/>
      <c r="B44" s="87"/>
      <c r="C44" s="87"/>
      <c r="D44" s="87"/>
      <c r="E44" s="87"/>
      <c r="F44" s="314" t="str">
        <f>IF(ISBLANK(E44),"  ",IF(C44&gt;0,E44/C44,IF(E44&gt;0,1,0)))</f>
        <v xml:space="preserve">  </v>
      </c>
    </row>
    <row r="45" spans="1:6" ht="34.5" customHeight="1">
      <c r="A45" s="100" t="s">
        <v>39</v>
      </c>
      <c r="B45" s="109">
        <f>SUM(B43,B41,B39,B35,B33,B31)</f>
        <v>291944542.63999999</v>
      </c>
      <c r="C45" s="109">
        <f>SUM(C43,C41,C39,C35,C33,C31)+1</f>
        <v>297725340.36119592</v>
      </c>
      <c r="D45" s="109">
        <f>SUM(D43,D41,D39,D35,D33,D31,D37)</f>
        <v>285604621</v>
      </c>
      <c r="E45" s="85">
        <f>D45-B45</f>
        <v>-6339921.6399999857</v>
      </c>
      <c r="F45" s="312">
        <f>IF(ISBLANK(E45),"  ",IF(B45&gt;0,E45/B45,IF(E45&gt;0,1,0)))</f>
        <v>-2.171618480232327E-2</v>
      </c>
    </row>
    <row r="46" spans="1:6" ht="35.25" customHeight="1">
      <c r="A46" s="449"/>
      <c r="B46" s="450"/>
      <c r="C46" s="450"/>
      <c r="D46" s="450"/>
      <c r="E46" s="88"/>
      <c r="F46" s="451" t="str">
        <f>IF(ISBLANK(E46),"  ",IF(C46&gt;0,E46/C46,IF(E46&gt;0,1,0)))</f>
        <v xml:space="preserve">  </v>
      </c>
    </row>
    <row r="47" spans="1:6" ht="34.5" customHeight="1">
      <c r="A47" s="60"/>
      <c r="B47" s="82"/>
      <c r="C47" s="82"/>
      <c r="D47" s="82"/>
      <c r="E47" s="82"/>
      <c r="F47" s="452" t="str">
        <f>IF(ISBLANK(E47),"  ",IF(C47&gt;0,E47/C47,IF(E47&gt;0,1,0)))</f>
        <v xml:space="preserve">  </v>
      </c>
    </row>
    <row r="48" spans="1:6" ht="34.5" customHeight="1">
      <c r="A48" s="62" t="s">
        <v>40</v>
      </c>
      <c r="B48" s="82"/>
      <c r="C48" s="82"/>
      <c r="D48" s="82"/>
      <c r="E48" s="79"/>
      <c r="F48" s="310" t="str">
        <f>IF(ISBLANK(E48),"  ",IF(C48&gt;0,E48/C48,IF(E48&gt;0,1,0)))</f>
        <v xml:space="preserve">  </v>
      </c>
    </row>
    <row r="49" spans="1:6" ht="34.5" customHeight="1">
      <c r="A49" s="57" t="s">
        <v>41</v>
      </c>
      <c r="B49" s="81">
        <f ca="1">LSUE!B49+SUSBO!B47+'Total LCTCS'!B49-LCTCSBOS!B47</f>
        <v>143232595.41</v>
      </c>
      <c r="C49" s="81">
        <f ca="1">LSUE!C49+SUSBO!C47+'Total LCTCS'!C49-LCTCSBOS!C47</f>
        <v>144888909.59</v>
      </c>
      <c r="D49" s="81">
        <f ca="1">LSUE!D49+SUSBO!D47+'Total LCTCS'!D49-LCTCSBOS!D47</f>
        <v>140093298.90000001</v>
      </c>
      <c r="E49" s="79">
        <f t="shared" ref="E49:E57" si="2">D49-B49</f>
        <v>-3139296.5099999905</v>
      </c>
      <c r="F49" s="310">
        <f t="shared" ref="F49:F62" si="3">IF(ISBLANK(E49),"  ",IF(B49&gt;0,E49/B49,IF(E49&gt;0,1,0)))</f>
        <v>-2.191747277226826E-2</v>
      </c>
    </row>
    <row r="50" spans="1:6" ht="34.5" customHeight="1">
      <c r="A50" s="57" t="s">
        <v>42</v>
      </c>
      <c r="B50" s="81">
        <f ca="1">LSUE!B50+SUSBO!B48+'Total LCTCS'!B50-LCTCSBOS!B48</f>
        <v>0</v>
      </c>
      <c r="C50" s="81">
        <f ca="1">LSUE!C50+SUSBO!C48+'Total LCTCS'!C50-LCTCSBOS!C48</f>
        <v>0</v>
      </c>
      <c r="D50" s="81">
        <f ca="1">LSUE!D50+SUSBO!D48+'Total LCTCS'!D50-LCTCSBOS!D48</f>
        <v>0</v>
      </c>
      <c r="E50" s="79">
        <f t="shared" si="2"/>
        <v>0</v>
      </c>
      <c r="F50" s="310">
        <f t="shared" si="3"/>
        <v>0</v>
      </c>
    </row>
    <row r="51" spans="1:6" ht="34.5" customHeight="1">
      <c r="A51" s="57" t="s">
        <v>43</v>
      </c>
      <c r="B51" s="81">
        <f ca="1">LSUE!B51+SUSBO!B49+'Total LCTCS'!B51-LCTCSBOS!B49</f>
        <v>413574</v>
      </c>
      <c r="C51" s="81">
        <f ca="1">LSUE!C51+SUSBO!C49+'Total LCTCS'!C51-LCTCSBOS!C49</f>
        <v>378253</v>
      </c>
      <c r="D51" s="80">
        <f ca="1">LSUE!D51+SUSBO!D49+'Total LCTCS'!D51-LCTCSBOS!D49</f>
        <v>492248</v>
      </c>
      <c r="E51" s="79">
        <f t="shared" si="2"/>
        <v>78674</v>
      </c>
      <c r="F51" s="310">
        <f t="shared" si="3"/>
        <v>0.19022955988529261</v>
      </c>
    </row>
    <row r="52" spans="1:6" ht="34.5" customHeight="1">
      <c r="A52" s="57" t="s">
        <v>44</v>
      </c>
      <c r="B52" s="81">
        <f ca="1">LSUE!B52+SUSBO!B50+'Total LCTCS'!B52-LCTCSBOS!B50</f>
        <v>21854038.52</v>
      </c>
      <c r="C52" s="81">
        <f ca="1">LSUE!C52+SUSBO!C50+'Total LCTCS'!C52-LCTCSBOS!C50</f>
        <v>23724546.52</v>
      </c>
      <c r="D52" s="89">
        <f ca="1">LSUE!D52+SUSBO!D50+'Total LCTCS'!D52-LCTCSBOS!D50</f>
        <v>22696484.780000001</v>
      </c>
      <c r="E52" s="79">
        <f t="shared" si="2"/>
        <v>842446.26000000164</v>
      </c>
      <c r="F52" s="310">
        <f t="shared" si="3"/>
        <v>3.8548767964741451E-2</v>
      </c>
    </row>
    <row r="53" spans="1:6" ht="34.5" customHeight="1">
      <c r="A53" s="57" t="s">
        <v>45</v>
      </c>
      <c r="B53" s="81">
        <f ca="1">LSUE!B53+SUSBO!B51+'Total LCTCS'!B53-LCTCSBOS!B51</f>
        <v>20787285.210000001</v>
      </c>
      <c r="C53" s="81">
        <f ca="1">LSUE!C53+SUSBO!C51+'Total LCTCS'!C53-LCTCSBOS!C51</f>
        <v>21775680.950000003</v>
      </c>
      <c r="D53" s="81">
        <f ca="1">LSUE!D53+SUSBO!D51+'Total LCTCS'!D53-LCTCSBOS!D51</f>
        <v>20562296.219999999</v>
      </c>
      <c r="E53" s="79">
        <f t="shared" si="2"/>
        <v>-224988.99000000209</v>
      </c>
      <c r="F53" s="310">
        <f t="shared" si="3"/>
        <v>-1.0823394576400391E-2</v>
      </c>
    </row>
    <row r="54" spans="1:6" ht="34.5" customHeight="1">
      <c r="A54" s="57" t="s">
        <v>74</v>
      </c>
      <c r="B54" s="81">
        <f ca="1">LSUE!B54+SUSBO!B52+'Total LCTCS'!B54-LCTCSBOS!B52</f>
        <v>59289333.719999999</v>
      </c>
      <c r="C54" s="81">
        <f ca="1">LSUE!C54+SUSBO!C52+'Total LCTCS'!C54-LCTCSBOS!C52</f>
        <v>59595725.030000001</v>
      </c>
      <c r="D54" s="81">
        <f ca="1">LSUE!D54+SUSBO!D52+'Total LCTCS'!D54-LCTCSBOS!D52</f>
        <v>56960501.68</v>
      </c>
      <c r="E54" s="79">
        <f t="shared" si="2"/>
        <v>-2328832.0399999991</v>
      </c>
      <c r="F54" s="310">
        <f t="shared" si="3"/>
        <v>-3.9279106272270638E-2</v>
      </c>
    </row>
    <row r="55" spans="1:6" ht="35.25" customHeight="1">
      <c r="A55" s="65" t="s">
        <v>46</v>
      </c>
      <c r="B55" s="81">
        <f ca="1">LSUE!B55+SUSBO!B53+'Total LCTCS'!B55-LCTCSBOS!B53</f>
        <v>2924103</v>
      </c>
      <c r="C55" s="81">
        <f ca="1">LSUE!C55+SUSBO!C53+'Total LCTCS'!C55-LCTCSBOS!C53</f>
        <v>2331894</v>
      </c>
      <c r="D55" s="81">
        <f ca="1">LSUE!D55+SUSBO!D53+'Total LCTCS'!D55-LCTCSBOS!D53</f>
        <v>2654346</v>
      </c>
      <c r="E55" s="79">
        <f t="shared" si="2"/>
        <v>-269757</v>
      </c>
      <c r="F55" s="310">
        <f t="shared" si="3"/>
        <v>-9.225290627587332E-2</v>
      </c>
    </row>
    <row r="56" spans="1:6" ht="34.5" customHeight="1">
      <c r="A56" s="57" t="s">
        <v>47</v>
      </c>
      <c r="B56" s="81">
        <f ca="1">LSUE!B56+SUSBO!B54+'Total LCTCS'!B56-LCTCSBOS!B54</f>
        <v>37662051.644999996</v>
      </c>
      <c r="C56" s="81">
        <f ca="1">LSUE!C56+SUSBO!C54+'Total LCTCS'!C56-LCTCSBOS!C54</f>
        <v>39062690.644999996</v>
      </c>
      <c r="D56" s="81">
        <f ca="1">LSUE!D56+SUSBO!D54+'Total LCTCS'!D56-LCTCSBOS!D54</f>
        <v>35138925.420000002</v>
      </c>
      <c r="E56" s="79">
        <f t="shared" si="2"/>
        <v>-2523126.224999994</v>
      </c>
      <c r="F56" s="310">
        <f t="shared" si="3"/>
        <v>-6.6993860259733445E-2</v>
      </c>
    </row>
    <row r="57" spans="1:6" ht="34.5" customHeight="1">
      <c r="A57" s="63" t="s">
        <v>48</v>
      </c>
      <c r="B57" s="83">
        <f ca="1">SUM(B49:B56)</f>
        <v>286162981.505</v>
      </c>
      <c r="C57" s="83">
        <f ca="1">SUM(C49:C56)</f>
        <v>291757699.73500001</v>
      </c>
      <c r="D57" s="83">
        <f ca="1">SUM(D49:D56)</f>
        <v>278598101</v>
      </c>
      <c r="E57" s="85">
        <f t="shared" si="2"/>
        <v>-7564880.5049999952</v>
      </c>
      <c r="F57" s="312">
        <f t="shared" si="3"/>
        <v>-2.6435566421675046E-2</v>
      </c>
    </row>
    <row r="58" spans="1:6" ht="34.5" customHeight="1">
      <c r="A58" s="57" t="s">
        <v>49</v>
      </c>
      <c r="B58" s="81">
        <f ca="1">LSUE!B58+SUSBO!B56+'Total LCTCS'!B58-LCTCSBOS!B56</f>
        <v>0</v>
      </c>
      <c r="C58" s="81">
        <f ca="1">LSUE!C58+SUSBO!C56+'Total LCTCS'!C58-LCTCSBOS!C56</f>
        <v>0</v>
      </c>
      <c r="D58" s="81">
        <f ca="1">LSUE!D58+SUSBO!D56+'Total LCTCS'!D58-LCTCSBOS!D56</f>
        <v>0</v>
      </c>
      <c r="E58" s="79">
        <f>D58-B58</f>
        <v>0</v>
      </c>
      <c r="F58" s="310">
        <f t="shared" si="3"/>
        <v>0</v>
      </c>
    </row>
    <row r="59" spans="1:6" ht="34.5" customHeight="1">
      <c r="A59" s="57" t="s">
        <v>50</v>
      </c>
      <c r="B59" s="81">
        <f ca="1">LSUE!B59+SUSBO!B57+'Total LCTCS'!B59-LCTCSBOS!B57</f>
        <v>4220819.04</v>
      </c>
      <c r="C59" s="81">
        <f ca="1">LSUE!C59+SUSBO!C57+'Total LCTCS'!C59-LCTCSBOS!C57</f>
        <v>4385153.59</v>
      </c>
      <c r="D59" s="81">
        <f ca="1">LSUE!D59+SUSBO!D57+'Total LCTCS'!D59-LCTCSBOS!D57</f>
        <v>5742522</v>
      </c>
      <c r="E59" s="79">
        <f>D59-B59</f>
        <v>1521702.96</v>
      </c>
      <c r="F59" s="310">
        <f t="shared" si="3"/>
        <v>0.36052314623751319</v>
      </c>
    </row>
    <row r="60" spans="1:6" ht="35.25" customHeight="1">
      <c r="A60" s="103" t="s">
        <v>51</v>
      </c>
      <c r="B60" s="80">
        <f ca="1">LSUE!B60+SUSBO!B58+'Total LCTCS'!B60-LCTCSBOS!B58</f>
        <v>1260739</v>
      </c>
      <c r="C60" s="80">
        <f ca="1">LSUE!C60+SUSBO!C58+'Total LCTCS'!C60-LCTCSBOS!C58</f>
        <v>1282479</v>
      </c>
      <c r="D60" s="80">
        <f ca="1">LSUE!D60+SUSBO!D58+'Total LCTCS'!D60-LCTCSBOS!D58</f>
        <v>983488</v>
      </c>
      <c r="E60" s="79">
        <f>D60-B60</f>
        <v>-277251</v>
      </c>
      <c r="F60" s="310">
        <f t="shared" si="3"/>
        <v>-0.2199114963525361</v>
      </c>
    </row>
    <row r="61" spans="1:6" ht="34.5" customHeight="1">
      <c r="A61" s="437" t="s">
        <v>52</v>
      </c>
      <c r="B61" s="438">
        <f ca="1">LSUE!B61+SUSBO!B59+'Total LCTCS'!B61-LCTCSBOS!B59</f>
        <v>300000</v>
      </c>
      <c r="C61" s="438">
        <f ca="1">LSUE!C61+SUSBO!C59+'Total LCTCS'!C61-LCTCSBOS!C59</f>
        <v>300000</v>
      </c>
      <c r="D61" s="438">
        <f ca="1">LSUE!D61+SUSBO!D59+'Total LCTCS'!D61-LCTCSBOS!D59</f>
        <v>280500</v>
      </c>
      <c r="E61" s="79">
        <f>D61-B61</f>
        <v>-19500</v>
      </c>
      <c r="F61" s="310">
        <f t="shared" si="3"/>
        <v>-6.5000000000000002E-2</v>
      </c>
    </row>
    <row r="62" spans="1:6" ht="35.25" customHeight="1">
      <c r="A62" s="106" t="s">
        <v>53</v>
      </c>
      <c r="B62" s="110">
        <f>SUM(B57:B61)</f>
        <v>291944539.54500002</v>
      </c>
      <c r="C62" s="110">
        <f>SUM(C57:C61)+8</f>
        <v>297725340.32499999</v>
      </c>
      <c r="D62" s="110">
        <f>SUM(D57:D61)+10</f>
        <v>285604621</v>
      </c>
      <c r="E62" s="85">
        <f>D62-B62</f>
        <v>-6339918.5450000167</v>
      </c>
      <c r="F62" s="312">
        <f t="shared" si="3"/>
        <v>-2.1716174431215176E-2</v>
      </c>
    </row>
    <row r="63" spans="1:6" ht="34.5" customHeight="1">
      <c r="A63" s="107"/>
      <c r="B63" s="108"/>
      <c r="C63" s="108"/>
      <c r="D63" s="108"/>
      <c r="E63" s="108"/>
      <c r="F63" s="439" t="str">
        <f>IF(ISBLANK(E63),"  ",IF(C63&gt;0,E63/C63,IF(E63&gt;0,1,0)))</f>
        <v xml:space="preserve">  </v>
      </c>
    </row>
    <row r="64" spans="1:6" ht="34.5" customHeight="1">
      <c r="A64" s="62" t="s">
        <v>54</v>
      </c>
      <c r="B64" s="82"/>
      <c r="C64" s="82"/>
      <c r="D64" s="82"/>
      <c r="E64" s="82"/>
      <c r="F64" s="310" t="str">
        <f>IF(ISBLANK(E64),"  ",IF(C64&gt;0,E64/C64,IF(E64&gt;0,1,0)))</f>
        <v xml:space="preserve">  </v>
      </c>
    </row>
    <row r="65" spans="1:6" ht="34.5" customHeight="1">
      <c r="A65" s="57" t="s">
        <v>55</v>
      </c>
      <c r="B65" s="81">
        <f ca="1">LSUE!B65+SUSBO!B63+'Total LCTCS'!B65-LCTCSBOS!B63</f>
        <v>168895334.74000001</v>
      </c>
      <c r="C65" s="81">
        <f ca="1">LSUE!C65+SUSBO!C63+'Total LCTCS'!C65-LCTCSBOS!C63</f>
        <v>172136872.75999999</v>
      </c>
      <c r="D65" s="81">
        <f ca="1">LSUE!D65+SUSBO!D63+'Total LCTCS'!D65-LCTCSBOS!D63</f>
        <v>168392566.11000001</v>
      </c>
      <c r="E65" s="80">
        <f t="shared" ref="E65:E82" si="4">D65-B65</f>
        <v>-502768.62999999523</v>
      </c>
      <c r="F65" s="310">
        <f t="shared" ref="F65:F82" si="5">IF(ISBLANK(E65),"  ",IF(B65&gt;0,E65/B65,IF(E65&gt;0,1,0)))</f>
        <v>-2.9768059062967294E-3</v>
      </c>
    </row>
    <row r="66" spans="1:6" ht="35.25" customHeight="1">
      <c r="A66" s="65" t="s">
        <v>56</v>
      </c>
      <c r="B66" s="87">
        <f ca="1">LSUE!B66+SUSBO!B64+'Total LCTCS'!B66-LCTCSBOS!B64</f>
        <v>4394494.3899999997</v>
      </c>
      <c r="C66" s="87">
        <f ca="1">LSUE!C66+SUSBO!C64+'Total LCTCS'!C66-LCTCSBOS!C64</f>
        <v>4702971.22</v>
      </c>
      <c r="D66" s="87">
        <f ca="1">LSUE!D66+SUSBO!D64+'Total LCTCS'!D66-LCTCSBOS!D64</f>
        <v>3934695</v>
      </c>
      <c r="E66" s="79">
        <f t="shared" si="4"/>
        <v>-459799.38999999966</v>
      </c>
      <c r="F66" s="310">
        <f t="shared" si="5"/>
        <v>-0.10463078324694361</v>
      </c>
    </row>
    <row r="67" spans="1:6" ht="34.5" customHeight="1">
      <c r="A67" s="57" t="s">
        <v>57</v>
      </c>
      <c r="B67" s="81">
        <f ca="1">LSUE!B67+SUSBO!B65+'Total LCTCS'!B67-LCTCSBOS!B65</f>
        <v>51207247.75</v>
      </c>
      <c r="C67" s="81">
        <f ca="1">LSUE!C67+SUSBO!C65+'Total LCTCS'!C67-LCTCSBOS!C65</f>
        <v>51945285.900000006</v>
      </c>
      <c r="D67" s="81">
        <f ca="1">LSUE!D67+SUSBO!D65+'Total LCTCS'!D67-LCTCSBOS!D65</f>
        <v>51527392.390000001</v>
      </c>
      <c r="E67" s="79">
        <f t="shared" si="4"/>
        <v>320144.6400000006</v>
      </c>
      <c r="F67" s="310">
        <f t="shared" si="5"/>
        <v>6.2519399902721895E-3</v>
      </c>
    </row>
    <row r="68" spans="1:6" ht="34.5" customHeight="1">
      <c r="A68" s="63" t="s">
        <v>58</v>
      </c>
      <c r="B68" s="83">
        <f ca="1">SUM(B65:B67)</f>
        <v>224497076.88</v>
      </c>
      <c r="C68" s="83">
        <f ca="1">SUM(C65:C67)</f>
        <v>228785129.88</v>
      </c>
      <c r="D68" s="83">
        <f ca="1">SUM(D65:D67)</f>
        <v>223854653.5</v>
      </c>
      <c r="E68" s="85">
        <f t="shared" si="4"/>
        <v>-642423.37999999523</v>
      </c>
      <c r="F68" s="312">
        <f t="shared" si="5"/>
        <v>-2.8616113355604562E-3</v>
      </c>
    </row>
    <row r="69" spans="1:6" ht="34.5" customHeight="1">
      <c r="A69" s="57" t="s">
        <v>59</v>
      </c>
      <c r="B69" s="81">
        <f ca="1">LSUE!B69+SUSBO!B67+'Total LCTCS'!B69-LCTCSBOS!B67</f>
        <v>1606440.92</v>
      </c>
      <c r="C69" s="81">
        <f ca="1">LSUE!C69+SUSBO!C67+'Total LCTCS'!C69-LCTCSBOS!C67</f>
        <v>1970087.4000000001</v>
      </c>
      <c r="D69" s="81">
        <f ca="1">LSUE!D69+SUSBO!D67+'Total LCTCS'!D69-LCTCSBOS!D67</f>
        <v>1366469.17</v>
      </c>
      <c r="E69" s="79">
        <f t="shared" si="4"/>
        <v>-239971.75</v>
      </c>
      <c r="F69" s="310">
        <f t="shared" si="5"/>
        <v>-0.14938099933360763</v>
      </c>
    </row>
    <row r="70" spans="1:6" ht="35.25" customHeight="1">
      <c r="A70" s="57" t="s">
        <v>60</v>
      </c>
      <c r="B70" s="81">
        <f ca="1">LSUE!B70+SUSBO!B68+'Total LCTCS'!B70-LCTCSBOS!B68</f>
        <v>35361939.825000003</v>
      </c>
      <c r="C70" s="81">
        <f ca="1">LSUE!C70+SUSBO!C68+'Total LCTCS'!C70-LCTCSBOS!C68</f>
        <v>35016709.234999999</v>
      </c>
      <c r="D70" s="81">
        <f ca="1">LSUE!D70+SUSBO!D68+'Total LCTCS'!D70-LCTCSBOS!D68</f>
        <v>31242199.98</v>
      </c>
      <c r="E70" s="79">
        <f t="shared" si="4"/>
        <v>-4119739.8450000025</v>
      </c>
      <c r="F70" s="310">
        <f t="shared" si="5"/>
        <v>-0.11650208855588431</v>
      </c>
    </row>
    <row r="71" spans="1:6" ht="34.5" customHeight="1">
      <c r="A71" s="57" t="s">
        <v>61</v>
      </c>
      <c r="B71" s="81">
        <f ca="1">LSUE!B71+SUSBO!B69+'Total LCTCS'!B71-LCTCSBOS!B69</f>
        <v>8786894.1699999999</v>
      </c>
      <c r="C71" s="81">
        <f ca="1">LSUE!C71+SUSBO!C69+'Total LCTCS'!C71-LCTCSBOS!C69</f>
        <v>8780375.4399999995</v>
      </c>
      <c r="D71" s="81">
        <f ca="1">LSUE!D71+SUSBO!D69+'Total LCTCS'!D71-LCTCSBOS!D69</f>
        <v>7001665.1699999999</v>
      </c>
      <c r="E71" s="79">
        <f t="shared" si="4"/>
        <v>-1785229</v>
      </c>
      <c r="F71" s="310">
        <f t="shared" si="5"/>
        <v>-0.20316951194144175</v>
      </c>
    </row>
    <row r="72" spans="1:6" ht="34.5" customHeight="1">
      <c r="A72" s="63" t="s">
        <v>62</v>
      </c>
      <c r="B72" s="83">
        <f ca="1">SUM(B69:B71)</f>
        <v>45755274.915000007</v>
      </c>
      <c r="C72" s="83">
        <f ca="1">SUM(C69:C71)</f>
        <v>45767172.074999996</v>
      </c>
      <c r="D72" s="83">
        <f ca="1">SUM(D69:D71)</f>
        <v>39610334.32</v>
      </c>
      <c r="E72" s="85">
        <f t="shared" si="4"/>
        <v>-6144940.5950000063</v>
      </c>
      <c r="F72" s="312">
        <f t="shared" si="5"/>
        <v>-0.13430015678881874</v>
      </c>
    </row>
    <row r="73" spans="1:6" ht="34.5" customHeight="1">
      <c r="A73" s="57" t="s">
        <v>63</v>
      </c>
      <c r="B73" s="81">
        <f ca="1">LSUE!B73+SUSBO!B71+'Total LCTCS'!B73-LCTCSBOS!B71</f>
        <v>3855517.37</v>
      </c>
      <c r="C73" s="81">
        <f ca="1">LSUE!C73+SUSBO!C71+'Total LCTCS'!C73-LCTCSBOS!C71</f>
        <v>3933511.64</v>
      </c>
      <c r="D73" s="81">
        <f ca="1">LSUE!D73+SUSBO!D71+'Total LCTCS'!D73-LCTCSBOS!D71</f>
        <v>3471614</v>
      </c>
      <c r="E73" s="79">
        <f t="shared" si="4"/>
        <v>-383903.37000000011</v>
      </c>
      <c r="F73" s="310">
        <f t="shared" si="5"/>
        <v>-9.9572465419861436E-2</v>
      </c>
    </row>
    <row r="74" spans="1:6" ht="34.5" customHeight="1">
      <c r="A74" s="57" t="s">
        <v>64</v>
      </c>
      <c r="B74" s="81">
        <f ca="1">LSUE!B74+SUSBO!B72+'Total LCTCS'!B74-LCTCSBOS!B72</f>
        <v>6439510.25</v>
      </c>
      <c r="C74" s="81">
        <f ca="1">LSUE!C74+SUSBO!C72+'Total LCTCS'!C74-LCTCSBOS!C72</f>
        <v>7843859.0500000007</v>
      </c>
      <c r="D74" s="81">
        <f ca="1">LSUE!D74+SUSBO!D72+'Total LCTCS'!D74-LCTCSBOS!D72</f>
        <v>8163144.7199999988</v>
      </c>
      <c r="E74" s="79">
        <f t="shared" si="4"/>
        <v>1723634.4699999988</v>
      </c>
      <c r="F74" s="310">
        <f t="shared" si="5"/>
        <v>0.26766545949670612</v>
      </c>
    </row>
    <row r="75" spans="1:6" ht="35.25" customHeight="1">
      <c r="A75" s="57" t="s">
        <v>65</v>
      </c>
      <c r="B75" s="81">
        <f ca="1">LSUE!B75+SUSBO!B73+'Total LCTCS'!B75-LCTCSBOS!B73</f>
        <v>0</v>
      </c>
      <c r="C75" s="81">
        <f ca="1">LSUE!C75+SUSBO!C73+'Total LCTCS'!C75-LCTCSBOS!C73</f>
        <v>75542</v>
      </c>
      <c r="D75" s="81">
        <f ca="1">LSUE!D75+SUSBO!D73+'Total LCTCS'!D75-LCTCSBOS!D73</f>
        <v>75542</v>
      </c>
      <c r="E75" s="79">
        <f t="shared" si="4"/>
        <v>75542</v>
      </c>
      <c r="F75" s="310">
        <f t="shared" si="5"/>
        <v>1</v>
      </c>
    </row>
    <row r="76" spans="1:6" ht="34.5" customHeight="1">
      <c r="A76" s="57" t="s">
        <v>66</v>
      </c>
      <c r="B76" s="81">
        <f ca="1">LSUE!B76+SUSBO!B74+'Total LCTCS'!B76-LCTCSBOS!B74</f>
        <v>4748858.04</v>
      </c>
      <c r="C76" s="81">
        <f ca="1">LSUE!C76+SUSBO!C74+'Total LCTCS'!C76-LCTCSBOS!C74</f>
        <v>4829123.59</v>
      </c>
      <c r="D76" s="81">
        <f ca="1">LSUE!D76+SUSBO!D74+'Total LCTCS'!D76-LCTCSBOS!D74</f>
        <v>6223887</v>
      </c>
      <c r="E76" s="79">
        <f t="shared" si="4"/>
        <v>1475028.96</v>
      </c>
      <c r="F76" s="310">
        <f t="shared" si="5"/>
        <v>0.31060708649863117</v>
      </c>
    </row>
    <row r="77" spans="1:6" ht="34.5" customHeight="1">
      <c r="A77" s="63" t="s">
        <v>67</v>
      </c>
      <c r="B77" s="83">
        <f ca="1">SUM(B73:B76)</f>
        <v>15043885.66</v>
      </c>
      <c r="C77" s="83">
        <f ca="1">SUM(C73:C76)</f>
        <v>16682036.280000001</v>
      </c>
      <c r="D77" s="83">
        <f ca="1">SUM(D73:D76)</f>
        <v>17934187.719999999</v>
      </c>
      <c r="E77" s="85">
        <f t="shared" si="4"/>
        <v>2890302.0599999987</v>
      </c>
      <c r="F77" s="312">
        <f t="shared" si="5"/>
        <v>0.19212470270795709</v>
      </c>
    </row>
    <row r="78" spans="1:6" ht="34.5" customHeight="1">
      <c r="A78" s="69" t="s">
        <v>68</v>
      </c>
      <c r="B78" s="81">
        <f ca="1">LSUE!B78+SUSBO!B76+'Total LCTCS'!B78-LCTCSBOS!B76</f>
        <v>5647042.5899999999</v>
      </c>
      <c r="C78" s="81">
        <f ca="1">LSUE!C78+SUSBO!C76+'Total LCTCS'!C78-LCTCSBOS!C76</f>
        <v>5474919.5899999999</v>
      </c>
      <c r="D78" s="81">
        <f ca="1">LSUE!D78+SUSBO!D76+'Total LCTCS'!D78-LCTCSBOS!D76</f>
        <v>3266993</v>
      </c>
      <c r="E78" s="79">
        <f t="shared" si="4"/>
        <v>-2380049.59</v>
      </c>
      <c r="F78" s="310">
        <f t="shared" si="5"/>
        <v>-0.42146832648556309</v>
      </c>
    </row>
    <row r="79" spans="1:6" ht="35.25" customHeight="1">
      <c r="A79" s="69" t="s">
        <v>69</v>
      </c>
      <c r="B79" s="80">
        <f ca="1">LSUE!B79+SUSBO!B77+'Total LCTCS'!B79-LCTCSBOS!B77</f>
        <v>831324</v>
      </c>
      <c r="C79" s="80">
        <f ca="1">LSUE!C79+SUSBO!C77+'Total LCTCS'!C79-LCTCSBOS!C77</f>
        <v>759645</v>
      </c>
      <c r="D79" s="80">
        <f ca="1">LSUE!D79+SUSBO!D77+'Total LCTCS'!D79-LCTCSBOS!D77</f>
        <v>687264</v>
      </c>
      <c r="E79" s="79">
        <f t="shared" si="4"/>
        <v>-144060</v>
      </c>
      <c r="F79" s="310">
        <f t="shared" si="5"/>
        <v>-0.17328983645365706</v>
      </c>
    </row>
    <row r="80" spans="1:6" ht="35.25" customHeight="1">
      <c r="A80" s="103" t="s">
        <v>70</v>
      </c>
      <c r="B80" s="80">
        <f ca="1">LSUE!B80+SUSBO!B78+'Total LCTCS'!B80-LCTCSBOS!B78</f>
        <v>169935.5</v>
      </c>
      <c r="C80" s="80">
        <f ca="1">LSUE!C80+SUSBO!C78+'Total LCTCS'!C80-LCTCSBOS!C78</f>
        <v>256429.5</v>
      </c>
      <c r="D80" s="80">
        <f ca="1">LSUE!D80+SUSBO!D78+'Total LCTCS'!D80-LCTCSBOS!D78</f>
        <v>251177.46</v>
      </c>
      <c r="E80" s="79">
        <f t="shared" si="4"/>
        <v>81241.959999999992</v>
      </c>
      <c r="F80" s="310">
        <f t="shared" si="5"/>
        <v>0.47807526973469339</v>
      </c>
    </row>
    <row r="81" spans="1:6" ht="38.25" customHeight="1">
      <c r="A81" s="32" t="s">
        <v>71</v>
      </c>
      <c r="B81" s="94">
        <f>SUM(B78:B80)</f>
        <v>6648302.0899999999</v>
      </c>
      <c r="C81" s="94">
        <f>SUM(C78:C80)</f>
        <v>6490994.0899999999</v>
      </c>
      <c r="D81" s="94">
        <f>SUM(D78:D80)</f>
        <v>4205434.46</v>
      </c>
      <c r="E81" s="85">
        <f t="shared" si="4"/>
        <v>-2442867.63</v>
      </c>
      <c r="F81" s="312">
        <f t="shared" si="5"/>
        <v>-0.36744233293406198</v>
      </c>
    </row>
    <row r="82" spans="1:6" s="44" customFormat="1" ht="45" thickBot="1">
      <c r="A82" s="440" t="s">
        <v>53</v>
      </c>
      <c r="B82" s="441">
        <f>+B81+B77+B72+B68</f>
        <v>291944539.54500002</v>
      </c>
      <c r="C82" s="441">
        <f>+C81+C77+C72+C68+8</f>
        <v>297725340.32499999</v>
      </c>
      <c r="D82" s="441">
        <f>+D81+D77+D72+D68+11</f>
        <v>285604621</v>
      </c>
      <c r="E82" s="454">
        <f t="shared" si="4"/>
        <v>-6339918.5450000167</v>
      </c>
      <c r="F82" s="461">
        <f t="shared" si="5"/>
        <v>-2.1716174431215176E-2</v>
      </c>
    </row>
    <row r="83" spans="1:6" ht="44.25">
      <c r="A83" s="73"/>
      <c r="B83" s="43"/>
      <c r="C83" s="43"/>
      <c r="D83" s="43"/>
      <c r="E83" s="43"/>
      <c r="F83" s="319"/>
    </row>
    <row r="84" spans="1:6" s="448" customFormat="1" ht="52.5" customHeight="1">
      <c r="A84" s="445" t="s">
        <v>99</v>
      </c>
      <c r="B84" s="446"/>
      <c r="C84" s="446"/>
      <c r="D84" s="446"/>
      <c r="E84" s="446"/>
      <c r="F84" s="447"/>
    </row>
    <row r="85" spans="1:6" s="448" customFormat="1" ht="52.5" customHeight="1">
      <c r="A85" s="73" t="s">
        <v>72</v>
      </c>
      <c r="B85" s="446"/>
      <c r="C85" s="446"/>
      <c r="D85" s="446"/>
      <c r="E85" s="446"/>
      <c r="F85" s="447"/>
    </row>
    <row r="86" spans="1:6" s="448" customFormat="1" ht="15" customHeight="1">
      <c r="A86" s="446"/>
      <c r="B86" s="446"/>
      <c r="C86" s="446"/>
      <c r="D86" s="446"/>
      <c r="E86" s="446"/>
      <c r="F86" s="447"/>
    </row>
    <row r="87" spans="1:6" ht="15" customHeight="1">
      <c r="A87" s="15"/>
      <c r="B87" s="15"/>
      <c r="C87" s="15"/>
      <c r="D87" s="15"/>
      <c r="E87" s="15"/>
      <c r="F87" s="320"/>
    </row>
    <row r="88" spans="1:6" ht="15" customHeight="1">
      <c r="A88" s="15"/>
      <c r="B88" s="15"/>
      <c r="C88" s="15"/>
      <c r="D88" s="15"/>
      <c r="E88" s="15"/>
      <c r="F88" s="320"/>
    </row>
    <row r="89" spans="1:6" ht="15" customHeight="1">
      <c r="A89" s="15"/>
      <c r="B89" s="15"/>
      <c r="C89" s="15"/>
      <c r="D89" s="15"/>
      <c r="E89" s="15"/>
      <c r="F89" s="320"/>
    </row>
    <row r="90" spans="1:6" ht="15" customHeight="1">
      <c r="A90" s="15"/>
      <c r="B90" s="15"/>
      <c r="C90" s="15"/>
      <c r="D90" s="15"/>
      <c r="E90" s="15"/>
      <c r="F90" s="320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showOutlineSymbols="0" zoomScale="30" zoomScaleNormal="100" zoomScaleSheetLayoutView="85" workbookViewId="0">
      <selection activeCell="C5" sqref="C5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297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10346604</v>
      </c>
      <c r="C8" s="92">
        <v>10346604</v>
      </c>
      <c r="D8" s="92">
        <v>8719841</v>
      </c>
      <c r="E8" s="178">
        <f>D8-B8</f>
        <v>-1626763</v>
      </c>
      <c r="F8" s="397">
        <f>IF(ISBLANK(E8),"  ",IF(B8&gt;0,E8/B8,IF(E8&gt;0,1,0)))</f>
        <v>-0.1572267576878365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695418</v>
      </c>
      <c r="E9" s="178">
        <f>D9-B9</f>
        <v>695418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446500</v>
      </c>
      <c r="C10" s="93">
        <f>SUM(C11:C25)</f>
        <v>446500</v>
      </c>
      <c r="D10" s="93">
        <f>SUM(D11:D25)</f>
        <v>1250000</v>
      </c>
      <c r="E10" s="160">
        <f>D10-C10</f>
        <v>803500</v>
      </c>
      <c r="F10" s="369">
        <f t="shared" si="0"/>
        <v>1.7995520716685329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178"/>
      <c r="F11" s="369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/>
      <c r="C12" s="93"/>
      <c r="D12" s="93"/>
      <c r="E12" s="178"/>
      <c r="F12" s="369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178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178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78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78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178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178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178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178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178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178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178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178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>
        <v>446500</v>
      </c>
      <c r="C25" s="93">
        <v>446500</v>
      </c>
      <c r="D25" s="93">
        <v>1250000</v>
      </c>
      <c r="E25" s="178">
        <f>D25-B25</f>
        <v>803500</v>
      </c>
      <c r="F25" s="369">
        <f t="shared" si="0"/>
        <v>1.7995520716685329</v>
      </c>
      <c r="G25" s="24"/>
      <c r="H25" s="24"/>
    </row>
    <row r="26" spans="1:8" ht="35.25">
      <c r="A26" s="114" t="s">
        <v>29</v>
      </c>
      <c r="B26" s="93"/>
      <c r="C26" s="93"/>
      <c r="D26" s="93"/>
      <c r="E26" s="178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178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178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178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7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SUM(B8:B10,B26:B30)</f>
        <v>10793104</v>
      </c>
      <c r="C31" s="122">
        <f>SUM(C8:C10,C26:C30)</f>
        <v>10793104</v>
      </c>
      <c r="D31" s="122">
        <f>SUM(D8:D10,D26:D30)</f>
        <v>10665259</v>
      </c>
      <c r="E31" s="465">
        <f>D31-B31</f>
        <v>-127845</v>
      </c>
      <c r="F31" s="390">
        <f t="shared" si="0"/>
        <v>-1.1845063292265135E-2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17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465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/>
      <c r="C37" s="147"/>
      <c r="D37" s="147"/>
      <c r="E37" s="465"/>
      <c r="F37" s="345" t="str">
        <f>IF(ISBLANK(E37),"  ",IF(B37&gt;0,E37/B37,IF(E37&gt;0,1,0)))</f>
        <v xml:space="preserve">  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/>
      <c r="C39" s="147"/>
      <c r="D39" s="147"/>
      <c r="E39" s="465"/>
      <c r="F39" s="399" t="str">
        <f>IF(ISBLANK(E39),"  ",IF(B39&gt;0,E39/B39,IF(E39&gt;0,1,0)))</f>
        <v xml:space="preserve">  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465"/>
      <c r="F41" s="34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75</v>
      </c>
      <c r="B43" s="147"/>
      <c r="C43" s="147"/>
      <c r="D43" s="147"/>
      <c r="E43" s="465"/>
      <c r="F43" s="399" t="str">
        <f>IF(ISBLANK(E43),"  ",IF(B43&gt;0,E43/B43,IF(E43&gt;0,1,0)))</f>
        <v xml:space="preserve">  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7" t="s">
        <v>39</v>
      </c>
      <c r="B45" s="147">
        <f>SUM(B43,B41,B39,B35,B33,B31)</f>
        <v>10793104</v>
      </c>
      <c r="C45" s="147">
        <f>SUM(C43,C41,C39,C35,C33,C31)</f>
        <v>10793104</v>
      </c>
      <c r="D45" s="147">
        <f>SUM(D43,D41,D39,D35,D33,D31)</f>
        <v>10665259</v>
      </c>
      <c r="E45" s="465">
        <f>D45-B45</f>
        <v>-127845</v>
      </c>
      <c r="F45" s="345">
        <f>IF(ISBLANK(E45),"  ",IF(B45&gt;0,E45/B45,IF(E45&gt;0,1,0)))</f>
        <v>-1.1845063292265135E-2</v>
      </c>
      <c r="G45" s="24"/>
      <c r="H45" s="24"/>
    </row>
    <row r="46" spans="1:8" ht="35.25">
      <c r="A46" s="139"/>
      <c r="B46" s="133"/>
      <c r="C46" s="133"/>
      <c r="D46" s="133"/>
      <c r="E46" s="133"/>
      <c r="F46" s="356" t="str">
        <f>IF(ISBLANK(E46),"  ",IF(C46&gt;0,E46/C46,IF(E46&gt;0,1,0)))</f>
        <v xml:space="preserve">  </v>
      </c>
      <c r="G46" s="24"/>
      <c r="H46" s="24"/>
    </row>
    <row r="47" spans="1:8" ht="34.5">
      <c r="A47" s="170"/>
      <c r="B47" s="171"/>
      <c r="C47" s="171"/>
      <c r="D47" s="171"/>
      <c r="E47" s="171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72" t="s">
        <v>40</v>
      </c>
      <c r="B48" s="169"/>
      <c r="C48" s="169"/>
      <c r="D48" s="169"/>
      <c r="E48" s="169"/>
      <c r="F48" s="372" t="str">
        <f>IF(ISBLANK(E48),"  ",IF(C48&gt;0,E48/C48,IF(E48&gt;0,1,0)))</f>
        <v xml:space="preserve">  </v>
      </c>
      <c r="G48" s="24"/>
      <c r="H48" s="24"/>
    </row>
    <row r="49" spans="1:8" ht="34.5">
      <c r="A49" s="155" t="s">
        <v>41</v>
      </c>
      <c r="B49" s="154"/>
      <c r="C49" s="154"/>
      <c r="D49" s="154"/>
      <c r="E49" s="178"/>
      <c r="F49" s="397" t="str">
        <f t="shared" ref="F49:F62" si="1">IF(ISBLANK(E49),"  ",IF(B49&gt;0,E49/B49,IF(E49&gt;0,1,0)))</f>
        <v xml:space="preserve">  </v>
      </c>
      <c r="G49" s="24"/>
      <c r="H49" s="24"/>
    </row>
    <row r="50" spans="1:8" ht="34.5">
      <c r="A50" s="156" t="s">
        <v>42</v>
      </c>
      <c r="B50" s="157"/>
      <c r="C50" s="157"/>
      <c r="D50" s="157"/>
      <c r="E50" s="178"/>
      <c r="F50" s="369" t="str">
        <f t="shared" si="1"/>
        <v xml:space="preserve">  </v>
      </c>
      <c r="G50" s="24"/>
      <c r="H50" s="24"/>
    </row>
    <row r="51" spans="1:8" ht="34.5">
      <c r="A51" s="158" t="s">
        <v>43</v>
      </c>
      <c r="B51" s="159"/>
      <c r="C51" s="159"/>
      <c r="D51" s="159"/>
      <c r="E51" s="178"/>
      <c r="F51" s="369" t="str">
        <f t="shared" si="1"/>
        <v xml:space="preserve">  </v>
      </c>
      <c r="G51" s="24"/>
      <c r="H51" s="24"/>
    </row>
    <row r="52" spans="1:8" ht="34.5">
      <c r="A52" s="158" t="s">
        <v>44</v>
      </c>
      <c r="B52" s="159"/>
      <c r="C52" s="159"/>
      <c r="D52" s="159"/>
      <c r="E52" s="178"/>
      <c r="F52" s="369" t="str">
        <f t="shared" si="1"/>
        <v xml:space="preserve">  </v>
      </c>
      <c r="G52" s="24"/>
      <c r="H52" s="24"/>
    </row>
    <row r="53" spans="1:8" ht="34.5">
      <c r="A53" s="156" t="s">
        <v>45</v>
      </c>
      <c r="B53" s="159"/>
      <c r="C53" s="159"/>
      <c r="D53" s="159"/>
      <c r="E53" s="178"/>
      <c r="F53" s="369" t="str">
        <f t="shared" si="1"/>
        <v xml:space="preserve">  </v>
      </c>
      <c r="G53" s="24"/>
      <c r="H53" s="24"/>
    </row>
    <row r="54" spans="1:8" ht="34.5">
      <c r="A54" s="153" t="s">
        <v>74</v>
      </c>
      <c r="B54" s="160">
        <f>B45-B56</f>
        <v>10660638</v>
      </c>
      <c r="C54" s="160">
        <f>C45-C56</f>
        <v>10660638</v>
      </c>
      <c r="D54" s="160">
        <f>D45-D56</f>
        <v>10591606</v>
      </c>
      <c r="E54" s="178">
        <f t="shared" ref="E54:E62" si="2">D54-B54</f>
        <v>-69032</v>
      </c>
      <c r="F54" s="369">
        <f t="shared" si="1"/>
        <v>-6.4754098206880302E-3</v>
      </c>
      <c r="G54" s="24"/>
      <c r="H54" s="24"/>
    </row>
    <row r="55" spans="1:8" ht="34.5">
      <c r="A55" s="117" t="s">
        <v>46</v>
      </c>
      <c r="B55" s="118"/>
      <c r="C55" s="118"/>
      <c r="D55" s="118"/>
      <c r="E55" s="178"/>
      <c r="F55" s="369" t="str">
        <f t="shared" si="1"/>
        <v xml:space="preserve">  </v>
      </c>
      <c r="G55" s="24"/>
      <c r="H55" s="24"/>
    </row>
    <row r="56" spans="1:8" ht="34.5">
      <c r="A56" s="117" t="s">
        <v>47</v>
      </c>
      <c r="B56" s="93">
        <v>132466</v>
      </c>
      <c r="C56" s="93">
        <v>132466</v>
      </c>
      <c r="D56" s="93">
        <v>73653</v>
      </c>
      <c r="E56" s="178">
        <f t="shared" si="2"/>
        <v>-58813</v>
      </c>
      <c r="F56" s="369">
        <f t="shared" si="1"/>
        <v>-0.44398562650038498</v>
      </c>
      <c r="G56" s="24"/>
      <c r="H56" s="24"/>
    </row>
    <row r="57" spans="1:8" ht="35.25">
      <c r="A57" s="114" t="s">
        <v>48</v>
      </c>
      <c r="B57" s="116">
        <f>SUM(B49:B56)</f>
        <v>10793104</v>
      </c>
      <c r="C57" s="116">
        <f>SUM(C49:C56)</f>
        <v>10793104</v>
      </c>
      <c r="D57" s="116">
        <f>SUM(D49:D56)</f>
        <v>10665259</v>
      </c>
      <c r="E57" s="465">
        <f t="shared" si="2"/>
        <v>-127845</v>
      </c>
      <c r="F57" s="390">
        <f t="shared" si="1"/>
        <v>-1.1845063292265135E-2</v>
      </c>
      <c r="G57" s="24"/>
      <c r="H57" s="24"/>
    </row>
    <row r="58" spans="1:8" ht="34.5">
      <c r="A58" s="117" t="s">
        <v>49</v>
      </c>
      <c r="B58" s="93"/>
      <c r="C58" s="93"/>
      <c r="D58" s="93"/>
      <c r="E58" s="178"/>
      <c r="F58" s="369" t="str">
        <f t="shared" si="1"/>
        <v xml:space="preserve">  </v>
      </c>
      <c r="G58" s="24"/>
      <c r="H58" s="24"/>
    </row>
    <row r="59" spans="1:8" ht="34.5">
      <c r="A59" s="117" t="s">
        <v>50</v>
      </c>
      <c r="B59" s="93"/>
      <c r="C59" s="93"/>
      <c r="D59" s="93"/>
      <c r="E59" s="178"/>
      <c r="F59" s="369" t="str">
        <f t="shared" si="1"/>
        <v xml:space="preserve">  </v>
      </c>
      <c r="G59" s="24"/>
      <c r="H59" s="24"/>
    </row>
    <row r="60" spans="1:8" ht="35.25">
      <c r="A60" s="117" t="s">
        <v>51</v>
      </c>
      <c r="B60" s="116"/>
      <c r="C60" s="116"/>
      <c r="D60" s="116"/>
      <c r="E60" s="178"/>
      <c r="F60" s="369" t="str">
        <f t="shared" si="1"/>
        <v xml:space="preserve">  </v>
      </c>
      <c r="G60" s="24"/>
      <c r="H60" s="24"/>
    </row>
    <row r="61" spans="1:8" ht="35.25">
      <c r="A61" s="150" t="s">
        <v>52</v>
      </c>
      <c r="B61" s="173"/>
      <c r="C61" s="173"/>
      <c r="D61" s="173"/>
      <c r="E61" s="178"/>
      <c r="F61" s="369" t="str">
        <f t="shared" si="1"/>
        <v xml:space="preserve">  </v>
      </c>
      <c r="G61" s="24"/>
      <c r="H61" s="24"/>
    </row>
    <row r="62" spans="1:8" ht="35.25">
      <c r="A62" s="119" t="s">
        <v>53</v>
      </c>
      <c r="B62" s="120">
        <f>SUM(B57:B61)</f>
        <v>10793104</v>
      </c>
      <c r="C62" s="120">
        <f>SUM(C57:C61)</f>
        <v>10793104</v>
      </c>
      <c r="D62" s="120">
        <f>SUM(D57:D61)</f>
        <v>10665259</v>
      </c>
      <c r="E62" s="465">
        <f t="shared" si="2"/>
        <v>-127845</v>
      </c>
      <c r="F62" s="344">
        <f t="shared" si="1"/>
        <v>-1.1845063292265135E-2</v>
      </c>
      <c r="G62" s="24"/>
      <c r="H62" s="24"/>
    </row>
    <row r="63" spans="1:8" ht="34.5">
      <c r="A63" s="126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98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30" t="s">
        <v>55</v>
      </c>
      <c r="B65" s="92">
        <v>2280547</v>
      </c>
      <c r="C65" s="92">
        <v>2280547</v>
      </c>
      <c r="D65" s="92">
        <f>2265773-157519-8000</f>
        <v>2100254</v>
      </c>
      <c r="E65" s="178">
        <f t="shared" ref="E65:E82" si="3">D65-B65</f>
        <v>-180293</v>
      </c>
      <c r="F65" s="397">
        <f t="shared" ref="F65:F82" si="4">IF(ISBLANK(E65),"  ",IF(B65&gt;0,E65/B65,IF(E65&gt;0,1,0)))</f>
        <v>-7.9056910469286534E-2</v>
      </c>
      <c r="G65" s="24"/>
      <c r="H65" s="24"/>
    </row>
    <row r="66" spans="1:8" ht="34.5">
      <c r="A66" s="117" t="s">
        <v>56</v>
      </c>
      <c r="B66" s="118">
        <v>323075</v>
      </c>
      <c r="C66" s="118">
        <v>323075</v>
      </c>
      <c r="D66" s="118">
        <f>25110+157519+8000+50000</f>
        <v>240629</v>
      </c>
      <c r="E66" s="178">
        <f t="shared" si="3"/>
        <v>-82446</v>
      </c>
      <c r="F66" s="369">
        <f t="shared" si="4"/>
        <v>-0.25519151899713688</v>
      </c>
      <c r="G66" s="24"/>
      <c r="H66" s="24"/>
    </row>
    <row r="67" spans="1:8" ht="34.5">
      <c r="A67" s="117" t="s">
        <v>57</v>
      </c>
      <c r="B67" s="118">
        <v>508969</v>
      </c>
      <c r="C67" s="118">
        <v>508968</v>
      </c>
      <c r="D67" s="118">
        <v>467081</v>
      </c>
      <c r="E67" s="178">
        <f t="shared" si="3"/>
        <v>-41888</v>
      </c>
      <c r="F67" s="369">
        <f t="shared" si="4"/>
        <v>-8.2299707840752578E-2</v>
      </c>
      <c r="G67" s="24"/>
      <c r="H67" s="24"/>
    </row>
    <row r="68" spans="1:8" ht="35.25">
      <c r="A68" s="175" t="s">
        <v>58</v>
      </c>
      <c r="B68" s="116">
        <f>SUM(B65:B67)</f>
        <v>3112591</v>
      </c>
      <c r="C68" s="116">
        <f>SUM(C65:C67)</f>
        <v>3112590</v>
      </c>
      <c r="D68" s="116">
        <f>SUM(D65:D67)</f>
        <v>2807964</v>
      </c>
      <c r="E68" s="465">
        <f t="shared" si="3"/>
        <v>-304627</v>
      </c>
      <c r="F68" s="390">
        <f t="shared" si="4"/>
        <v>-9.7869267115403211E-2</v>
      </c>
      <c r="G68" s="24"/>
      <c r="H68" s="24"/>
    </row>
    <row r="69" spans="1:8" ht="34.5">
      <c r="A69" s="151" t="s">
        <v>59</v>
      </c>
      <c r="B69" s="166">
        <v>93513</v>
      </c>
      <c r="C69" s="166">
        <v>93513</v>
      </c>
      <c r="D69" s="166">
        <v>73876</v>
      </c>
      <c r="E69" s="178">
        <f t="shared" si="3"/>
        <v>-19637</v>
      </c>
      <c r="F69" s="369">
        <f t="shared" si="4"/>
        <v>-0.20999219359875099</v>
      </c>
      <c r="G69" s="24"/>
      <c r="H69" s="24"/>
    </row>
    <row r="70" spans="1:8" ht="34.5">
      <c r="A70" s="151" t="s">
        <v>60</v>
      </c>
      <c r="B70" s="166">
        <v>341101</v>
      </c>
      <c r="C70" s="166">
        <v>341101</v>
      </c>
      <c r="D70" s="166">
        <v>269013</v>
      </c>
      <c r="E70" s="178">
        <f t="shared" si="3"/>
        <v>-72088</v>
      </c>
      <c r="F70" s="369">
        <f t="shared" si="4"/>
        <v>-0.21133916347357529</v>
      </c>
      <c r="G70" s="24"/>
      <c r="H70" s="24"/>
    </row>
    <row r="71" spans="1:8" ht="34.5">
      <c r="A71" s="176" t="s">
        <v>61</v>
      </c>
      <c r="B71" s="177">
        <v>52380</v>
      </c>
      <c r="C71" s="177">
        <v>52381</v>
      </c>
      <c r="D71" s="177">
        <v>41379</v>
      </c>
      <c r="E71" s="178">
        <f t="shared" si="3"/>
        <v>-11001</v>
      </c>
      <c r="F71" s="369">
        <f t="shared" si="4"/>
        <v>-0.21002290950744559</v>
      </c>
      <c r="G71" s="24"/>
      <c r="H71" s="24"/>
    </row>
    <row r="72" spans="1:8" ht="35.25">
      <c r="A72" s="114" t="s">
        <v>62</v>
      </c>
      <c r="B72" s="116">
        <f>SUM(B69:B71)</f>
        <v>486994</v>
      </c>
      <c r="C72" s="116">
        <f>SUM(C69:C71)</f>
        <v>486995</v>
      </c>
      <c r="D72" s="116">
        <f>SUM(D69:D71)</f>
        <v>384268</v>
      </c>
      <c r="E72" s="465">
        <f t="shared" si="3"/>
        <v>-102726</v>
      </c>
      <c r="F72" s="390">
        <f t="shared" si="4"/>
        <v>-0.21093894380628919</v>
      </c>
      <c r="G72" s="24"/>
      <c r="H72" s="24"/>
    </row>
    <row r="73" spans="1:8" ht="34.5">
      <c r="A73" s="117" t="s">
        <v>63</v>
      </c>
      <c r="B73" s="118">
        <v>1796705</v>
      </c>
      <c r="C73" s="118">
        <v>1796705</v>
      </c>
      <c r="D73" s="118">
        <v>1276428</v>
      </c>
      <c r="E73" s="178">
        <f t="shared" si="3"/>
        <v>-520277</v>
      </c>
      <c r="F73" s="369">
        <f t="shared" si="4"/>
        <v>-0.28957285697986035</v>
      </c>
      <c r="G73" s="24"/>
      <c r="H73" s="24"/>
    </row>
    <row r="74" spans="1:8" ht="34.5">
      <c r="A74" s="126" t="s">
        <v>64</v>
      </c>
      <c r="B74" s="128">
        <f>5380617-B76</f>
        <v>799056</v>
      </c>
      <c r="C74" s="128">
        <f>5380617-C76</f>
        <v>799056</v>
      </c>
      <c r="D74" s="128">
        <v>5570293</v>
      </c>
      <c r="E74" s="178">
        <f t="shared" si="3"/>
        <v>4771237</v>
      </c>
      <c r="F74" s="369">
        <f t="shared" si="4"/>
        <v>5.9710921387236944</v>
      </c>
      <c r="G74" s="24"/>
      <c r="H74" s="24"/>
    </row>
    <row r="75" spans="1:8" ht="34.5">
      <c r="A75" s="117" t="s">
        <v>65</v>
      </c>
      <c r="B75" s="118"/>
      <c r="C75" s="118"/>
      <c r="D75" s="118"/>
      <c r="E75" s="178"/>
      <c r="F75" s="369" t="str">
        <f t="shared" si="4"/>
        <v xml:space="preserve">  </v>
      </c>
      <c r="G75" s="24"/>
      <c r="H75" s="24"/>
    </row>
    <row r="76" spans="1:8" ht="34.5">
      <c r="A76" s="117" t="s">
        <v>66</v>
      </c>
      <c r="B76" s="118">
        <f>3988185+593376</f>
        <v>4581561</v>
      </c>
      <c r="C76" s="118">
        <f>3988185+593376</f>
        <v>4581561</v>
      </c>
      <c r="D76" s="118">
        <v>626306</v>
      </c>
      <c r="E76" s="178">
        <f t="shared" si="3"/>
        <v>-3955255</v>
      </c>
      <c r="F76" s="369">
        <f t="shared" si="4"/>
        <v>-0.86329855697654145</v>
      </c>
      <c r="G76" s="24"/>
      <c r="H76" s="24"/>
    </row>
    <row r="77" spans="1:8" ht="35.25">
      <c r="A77" s="114" t="s">
        <v>67</v>
      </c>
      <c r="B77" s="116">
        <f>SUM(B73:B76)</f>
        <v>7177322</v>
      </c>
      <c r="C77" s="116">
        <f>SUM(C73:C76)</f>
        <v>7177322</v>
      </c>
      <c r="D77" s="116">
        <f>SUM(D73:D76)</f>
        <v>7473027</v>
      </c>
      <c r="E77" s="465">
        <f t="shared" si="3"/>
        <v>295705</v>
      </c>
      <c r="F77" s="390">
        <f t="shared" si="4"/>
        <v>4.1199907151999032E-2</v>
      </c>
      <c r="G77" s="24"/>
      <c r="H77" s="24"/>
    </row>
    <row r="78" spans="1:8" ht="34.5">
      <c r="A78" s="117" t="s">
        <v>68</v>
      </c>
      <c r="B78" s="118">
        <v>16197</v>
      </c>
      <c r="C78" s="118">
        <v>16197</v>
      </c>
      <c r="D78" s="118">
        <v>0</v>
      </c>
      <c r="E78" s="178">
        <f t="shared" si="3"/>
        <v>-16197</v>
      </c>
      <c r="F78" s="369">
        <f t="shared" si="4"/>
        <v>-1</v>
      </c>
      <c r="G78" s="24"/>
      <c r="H78" s="24"/>
    </row>
    <row r="79" spans="1:8" ht="34.5">
      <c r="A79" s="117" t="s">
        <v>69</v>
      </c>
      <c r="B79" s="118"/>
      <c r="C79" s="118"/>
      <c r="D79" s="118"/>
      <c r="E79" s="178"/>
      <c r="F79" s="369" t="str">
        <f t="shared" si="4"/>
        <v xml:space="preserve">  </v>
      </c>
      <c r="G79" s="24"/>
      <c r="H79" s="24"/>
    </row>
    <row r="80" spans="1:8" ht="34.5">
      <c r="A80" s="117" t="s">
        <v>70</v>
      </c>
      <c r="B80" s="118"/>
      <c r="C80" s="118"/>
      <c r="D80" s="118"/>
      <c r="E80" s="178"/>
      <c r="F80" s="369" t="str">
        <f t="shared" si="4"/>
        <v xml:space="preserve">  </v>
      </c>
      <c r="G80" s="24"/>
      <c r="H80" s="24"/>
    </row>
    <row r="81" spans="1:49" ht="35.25">
      <c r="A81" s="114" t="s">
        <v>71</v>
      </c>
      <c r="B81" s="116">
        <f>SUM(B78:B80)</f>
        <v>16197</v>
      </c>
      <c r="C81" s="116">
        <f>SUM(C78:C80)</f>
        <v>16197</v>
      </c>
      <c r="D81" s="116">
        <f>SUM(D78:D80)</f>
        <v>0</v>
      </c>
      <c r="E81" s="465">
        <f t="shared" si="3"/>
        <v>-16197</v>
      </c>
      <c r="F81" s="390">
        <f t="shared" si="4"/>
        <v>-1</v>
      </c>
      <c r="G81" s="24"/>
      <c r="H81" s="24"/>
    </row>
    <row r="82" spans="1:49" s="163" customFormat="1" ht="45" thickBot="1">
      <c r="A82" s="164" t="s">
        <v>53</v>
      </c>
      <c r="B82" s="165">
        <f>+B81+B77+B72+B68</f>
        <v>10793104</v>
      </c>
      <c r="C82" s="165">
        <f>+C81+C77+C72+C68</f>
        <v>10793104</v>
      </c>
      <c r="D82" s="165">
        <f>+D81+D77+D72+D68</f>
        <v>10665259</v>
      </c>
      <c r="E82" s="466">
        <f t="shared" si="3"/>
        <v>-127845</v>
      </c>
      <c r="F82" s="348">
        <f t="shared" si="4"/>
        <v>-1.1845063292265135E-2</v>
      </c>
    </row>
    <row r="83" spans="1:49" s="163" customFormat="1" ht="44.25">
      <c r="F83" s="375"/>
    </row>
    <row r="84" spans="1:49" s="163" customFormat="1" ht="44.25">
      <c r="A84" s="163" t="s">
        <v>99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A85" s="163" t="s">
        <v>72</v>
      </c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5" type="noConversion"/>
  <printOptions horizontalCentered="1"/>
  <pageMargins left="0.45" right="0.45" top="0.5" bottom="0.5" header="0.3" footer="0.3"/>
  <pageSetup scale="2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showOutlineSymbols="0" topLeftCell="A70" zoomScale="30" zoomScaleNormal="100" workbookViewId="0">
      <selection activeCell="Q5" sqref="Q5"/>
    </sheetView>
  </sheetViews>
  <sheetFormatPr defaultColWidth="9.6640625" defaultRowHeight="15.75"/>
  <cols>
    <col min="1" max="1" width="114.88671875" style="2" bestFit="1" customWidth="1"/>
    <col min="2" max="5" width="13.33203125" style="7" hidden="1" customWidth="1"/>
    <col min="6" max="6" width="13.33203125" style="3" hidden="1" customWidth="1"/>
    <col min="7" max="7" width="1.6640625" style="2" hidden="1" customWidth="1"/>
    <col min="8" max="14" width="0" style="2" hidden="1" customWidth="1"/>
    <col min="15" max="15" width="0.5546875" style="2" customWidth="1"/>
    <col min="16" max="16" width="32.33203125" style="12" customWidth="1"/>
    <col min="17" max="17" width="35.6640625" style="12" customWidth="1"/>
    <col min="18" max="18" width="51.6640625" style="12" customWidth="1"/>
    <col min="19" max="19" width="29.33203125" style="12" bestFit="1" customWidth="1"/>
    <col min="20" max="20" width="29.33203125" style="321" customWidth="1"/>
    <col min="21" max="16384" width="9.6640625" style="2"/>
  </cols>
  <sheetData>
    <row r="1" spans="1:20" ht="45">
      <c r="A1" s="38" t="s">
        <v>0</v>
      </c>
      <c r="B1" s="180"/>
      <c r="C1" s="180"/>
      <c r="D1" s="180"/>
      <c r="E1" s="181" t="s">
        <v>1</v>
      </c>
      <c r="F1" s="72" t="s">
        <v>77</v>
      </c>
      <c r="G1" s="73"/>
      <c r="H1" s="73"/>
      <c r="I1" s="73"/>
      <c r="J1" s="73"/>
      <c r="K1" s="73"/>
      <c r="L1" s="73"/>
      <c r="M1" s="44"/>
      <c r="N1" s="44"/>
      <c r="O1" s="44"/>
      <c r="P1" s="180"/>
      <c r="Q1" s="180"/>
      <c r="R1" s="180"/>
      <c r="S1" s="180"/>
      <c r="T1" s="317"/>
    </row>
    <row r="2" spans="1:20" ht="45">
      <c r="A2" s="38" t="s">
        <v>2</v>
      </c>
      <c r="B2" s="180"/>
      <c r="C2" s="180"/>
      <c r="D2" s="180"/>
      <c r="E2" s="180"/>
      <c r="F2" s="45"/>
      <c r="G2" s="44"/>
      <c r="H2" s="44"/>
      <c r="I2" s="44"/>
      <c r="J2" s="44"/>
      <c r="K2" s="44"/>
      <c r="L2" s="44"/>
      <c r="M2" s="44"/>
      <c r="N2" s="44"/>
      <c r="O2" s="44"/>
      <c r="P2" s="180"/>
      <c r="Q2" s="181" t="s">
        <v>1</v>
      </c>
      <c r="R2" s="72" t="s">
        <v>77</v>
      </c>
      <c r="S2" s="250"/>
      <c r="T2" s="303"/>
    </row>
    <row r="3" spans="1:20" ht="45.75" thickBot="1">
      <c r="A3" s="40" t="s">
        <v>3</v>
      </c>
      <c r="B3" s="182"/>
      <c r="C3" s="182"/>
      <c r="D3" s="182"/>
      <c r="E3" s="182"/>
      <c r="F3" s="183"/>
      <c r="G3" s="73"/>
      <c r="H3" s="73"/>
      <c r="I3" s="73"/>
      <c r="J3" s="73"/>
      <c r="K3" s="73"/>
      <c r="L3" s="73"/>
      <c r="M3" s="44"/>
      <c r="N3" s="44"/>
      <c r="O3" s="44"/>
      <c r="P3" s="184"/>
      <c r="Q3" s="184"/>
      <c r="R3" s="184"/>
      <c r="S3" s="184"/>
      <c r="T3" s="379"/>
    </row>
    <row r="4" spans="1:20" ht="36" thickTop="1">
      <c r="A4" s="21" t="s">
        <v>4</v>
      </c>
      <c r="B4" s="231" t="s">
        <v>5</v>
      </c>
      <c r="C4" s="185" t="s">
        <v>6</v>
      </c>
      <c r="D4" s="186" t="s">
        <v>6</v>
      </c>
      <c r="E4" s="187" t="s">
        <v>7</v>
      </c>
      <c r="F4" s="188" t="s">
        <v>8</v>
      </c>
      <c r="G4" s="189"/>
      <c r="H4" s="75"/>
      <c r="I4" s="75"/>
      <c r="J4" s="75"/>
      <c r="K4" s="75"/>
      <c r="L4" s="75"/>
      <c r="M4" s="75"/>
      <c r="N4" s="75"/>
      <c r="O4" s="75"/>
      <c r="P4" s="190" t="s">
        <v>5</v>
      </c>
      <c r="Q4" s="191" t="s">
        <v>6</v>
      </c>
      <c r="R4" s="191" t="s">
        <v>6</v>
      </c>
      <c r="S4" s="22" t="s">
        <v>7</v>
      </c>
      <c r="T4" s="338" t="s">
        <v>8</v>
      </c>
    </row>
    <row r="5" spans="1:20" ht="35.25">
      <c r="A5" s="144"/>
      <c r="B5" s="232" t="s">
        <v>9</v>
      </c>
      <c r="C5" s="193" t="s">
        <v>9</v>
      </c>
      <c r="D5" s="192" t="s">
        <v>10</v>
      </c>
      <c r="E5" s="193" t="s">
        <v>9</v>
      </c>
      <c r="F5" s="194" t="s">
        <v>11</v>
      </c>
      <c r="G5" s="189"/>
      <c r="H5" s="75"/>
      <c r="I5" s="75"/>
      <c r="J5" s="75"/>
      <c r="K5" s="75"/>
      <c r="L5" s="75"/>
      <c r="M5" s="75"/>
      <c r="N5" s="75"/>
      <c r="O5" s="75"/>
      <c r="P5" s="195" t="s">
        <v>79</v>
      </c>
      <c r="Q5" s="145" t="s">
        <v>93</v>
      </c>
      <c r="R5" s="195" t="s">
        <v>89</v>
      </c>
      <c r="S5" s="145" t="s">
        <v>79</v>
      </c>
      <c r="T5" s="365" t="s">
        <v>11</v>
      </c>
    </row>
    <row r="6" spans="1:20" ht="35.25">
      <c r="A6" s="29" t="s">
        <v>12</v>
      </c>
      <c r="B6" s="233"/>
      <c r="C6" s="197"/>
      <c r="D6" s="196"/>
      <c r="E6" s="197"/>
      <c r="F6" s="198"/>
      <c r="G6" s="189"/>
      <c r="H6" s="75"/>
      <c r="I6" s="75"/>
      <c r="J6" s="75"/>
      <c r="K6" s="75"/>
      <c r="L6" s="75"/>
      <c r="M6" s="75"/>
      <c r="N6" s="75"/>
      <c r="O6" s="75"/>
      <c r="P6" s="199"/>
      <c r="Q6" s="199"/>
      <c r="R6" s="199"/>
      <c r="S6" s="25"/>
      <c r="T6" s="341"/>
    </row>
    <row r="7" spans="1:20" ht="35.25">
      <c r="A7" s="119" t="s">
        <v>13</v>
      </c>
      <c r="B7" s="233"/>
      <c r="C7" s="197"/>
      <c r="D7" s="196"/>
      <c r="E7" s="197"/>
      <c r="F7" s="198"/>
      <c r="G7" s="189"/>
      <c r="H7" s="75"/>
      <c r="I7" s="75"/>
      <c r="J7" s="75"/>
      <c r="K7" s="75"/>
      <c r="L7" s="75"/>
      <c r="M7" s="75"/>
      <c r="N7" s="75"/>
      <c r="O7" s="75"/>
      <c r="P7" s="199"/>
      <c r="Q7" s="199"/>
      <c r="R7" s="199"/>
      <c r="S7" s="92"/>
      <c r="T7" s="342"/>
    </row>
    <row r="8" spans="1:20" ht="34.5">
      <c r="A8" s="30" t="s">
        <v>14</v>
      </c>
      <c r="B8" s="234"/>
      <c r="C8" s="201"/>
      <c r="D8" s="200"/>
      <c r="E8" s="201"/>
      <c r="F8" s="202" t="e">
        <f>E8/C8</f>
        <v>#DIV/0!</v>
      </c>
      <c r="G8" s="189"/>
      <c r="H8" s="75"/>
      <c r="I8" s="75"/>
      <c r="J8" s="75"/>
      <c r="K8" s="75"/>
      <c r="L8" s="75"/>
      <c r="M8" s="75"/>
      <c r="N8" s="75"/>
      <c r="O8" s="75"/>
      <c r="P8" s="203">
        <f>21226157+823690+789046+305342</f>
        <v>23144235</v>
      </c>
      <c r="Q8" s="203">
        <f>23502937-358702</f>
        <v>23144235</v>
      </c>
      <c r="R8" s="203">
        <f>17151024-R9</f>
        <v>15800213</v>
      </c>
      <c r="S8" s="178">
        <f>R8-P8</f>
        <v>-7344022</v>
      </c>
      <c r="T8" s="397">
        <f>IF(ISBLANK(S8),"  ",IF(P8&gt;0,S8/P8,IF(S8&gt;0,1,0)))</f>
        <v>-0.3173153919323754</v>
      </c>
    </row>
    <row r="9" spans="1:20" ht="34.5">
      <c r="A9" s="149" t="s">
        <v>87</v>
      </c>
      <c r="B9" s="234"/>
      <c r="C9" s="201"/>
      <c r="D9" s="200"/>
      <c r="E9" s="201"/>
      <c r="F9" s="202"/>
      <c r="G9" s="189"/>
      <c r="H9" s="75"/>
      <c r="I9" s="75"/>
      <c r="J9" s="75"/>
      <c r="K9" s="75"/>
      <c r="L9" s="75"/>
      <c r="M9" s="75"/>
      <c r="N9" s="75"/>
      <c r="O9" s="75"/>
      <c r="P9" s="203">
        <v>0</v>
      </c>
      <c r="Q9" s="203">
        <v>0</v>
      </c>
      <c r="R9" s="203">
        <v>1350811</v>
      </c>
      <c r="S9" s="178">
        <f>R9-P9</f>
        <v>1350811</v>
      </c>
      <c r="T9" s="397">
        <f t="shared" ref="T9:T31" si="0">IF(ISBLANK(S9),"  ",IF(P9&gt;0,S9/P9,IF(S9&gt;0,1,0)))</f>
        <v>1</v>
      </c>
    </row>
    <row r="10" spans="1:20" ht="34.5">
      <c r="A10" s="31" t="s">
        <v>15</v>
      </c>
      <c r="B10" s="234"/>
      <c r="C10" s="201"/>
      <c r="D10" s="200"/>
      <c r="E10" s="201"/>
      <c r="F10" s="202" t="e">
        <f>E10/C10</f>
        <v>#DIV/0!</v>
      </c>
      <c r="G10" s="189"/>
      <c r="H10" s="75"/>
      <c r="I10" s="75"/>
      <c r="J10" s="75"/>
      <c r="K10" s="75"/>
      <c r="L10" s="75"/>
      <c r="M10" s="75"/>
      <c r="N10" s="75"/>
      <c r="O10" s="75"/>
      <c r="P10" s="204">
        <f>SUM(P11:P25)</f>
        <v>1748220</v>
      </c>
      <c r="Q10" s="204">
        <f>SUM(Q11:Q25)</f>
        <v>1779167</v>
      </c>
      <c r="R10" s="204">
        <f>SUM(R11:R25)</f>
        <v>1754641</v>
      </c>
      <c r="S10" s="160">
        <f>R10-Q10</f>
        <v>-24526</v>
      </c>
      <c r="T10" s="369">
        <f t="shared" si="0"/>
        <v>-1.4029126768942125E-2</v>
      </c>
    </row>
    <row r="11" spans="1:20" ht="34.5">
      <c r="A11" s="30" t="s">
        <v>16</v>
      </c>
      <c r="B11" s="234"/>
      <c r="C11" s="201"/>
      <c r="D11" s="200"/>
      <c r="E11" s="201"/>
      <c r="F11" s="202">
        <v>0</v>
      </c>
      <c r="G11" s="189"/>
      <c r="H11" s="75"/>
      <c r="I11" s="75"/>
      <c r="J11" s="75"/>
      <c r="K11" s="75"/>
      <c r="L11" s="75"/>
      <c r="M11" s="75"/>
      <c r="N11" s="75"/>
      <c r="O11" s="75"/>
      <c r="P11" s="205">
        <v>0</v>
      </c>
      <c r="Q11" s="205">
        <v>0</v>
      </c>
      <c r="R11" s="205">
        <v>114272</v>
      </c>
      <c r="S11" s="178">
        <f>R11-P11</f>
        <v>114272</v>
      </c>
      <c r="T11" s="369">
        <f t="shared" si="0"/>
        <v>1</v>
      </c>
    </row>
    <row r="12" spans="1:20" ht="34.5">
      <c r="A12" s="31" t="s">
        <v>17</v>
      </c>
      <c r="B12" s="234"/>
      <c r="C12" s="201"/>
      <c r="D12" s="200"/>
      <c r="E12" s="201"/>
      <c r="F12" s="202" t="e">
        <f>E12/C12</f>
        <v>#DIV/0!</v>
      </c>
      <c r="G12" s="189"/>
      <c r="H12" s="75"/>
      <c r="I12" s="75"/>
      <c r="J12" s="75"/>
      <c r="K12" s="75"/>
      <c r="L12" s="75"/>
      <c r="M12" s="75"/>
      <c r="N12" s="75"/>
      <c r="O12" s="75"/>
      <c r="P12" s="205">
        <v>998220</v>
      </c>
      <c r="Q12" s="205">
        <v>1029167</v>
      </c>
      <c r="R12" s="205">
        <v>890369</v>
      </c>
      <c r="S12" s="178">
        <f>R12-P12</f>
        <v>-107851</v>
      </c>
      <c r="T12" s="369">
        <f t="shared" si="0"/>
        <v>-0.10804331710444591</v>
      </c>
    </row>
    <row r="13" spans="1:20" ht="34.5">
      <c r="A13" s="31" t="s">
        <v>18</v>
      </c>
      <c r="B13" s="234"/>
      <c r="C13" s="201"/>
      <c r="D13" s="200"/>
      <c r="E13" s="201"/>
      <c r="F13" s="202"/>
      <c r="G13" s="189"/>
      <c r="H13" s="75"/>
      <c r="I13" s="75"/>
      <c r="J13" s="75"/>
      <c r="K13" s="75"/>
      <c r="L13" s="75"/>
      <c r="M13" s="75"/>
      <c r="N13" s="75"/>
      <c r="O13" s="75"/>
      <c r="P13" s="205"/>
      <c r="Q13" s="205"/>
      <c r="R13" s="205"/>
      <c r="S13" s="178"/>
      <c r="T13" s="369" t="str">
        <f t="shared" si="0"/>
        <v xml:space="preserve">  </v>
      </c>
    </row>
    <row r="14" spans="1:20" ht="34.5">
      <c r="A14" s="31" t="s">
        <v>19</v>
      </c>
      <c r="B14" s="234"/>
      <c r="C14" s="201"/>
      <c r="D14" s="200"/>
      <c r="E14" s="201"/>
      <c r="F14" s="202">
        <v>0</v>
      </c>
      <c r="G14" s="189"/>
      <c r="H14" s="75"/>
      <c r="I14" s="75"/>
      <c r="J14" s="75"/>
      <c r="K14" s="75"/>
      <c r="L14" s="75"/>
      <c r="M14" s="75"/>
      <c r="N14" s="75"/>
      <c r="O14" s="75"/>
      <c r="P14" s="205"/>
      <c r="Q14" s="205"/>
      <c r="R14" s="205"/>
      <c r="S14" s="178"/>
      <c r="T14" s="369" t="str">
        <f t="shared" si="0"/>
        <v xml:space="preserve">  </v>
      </c>
    </row>
    <row r="15" spans="1:20" ht="34.5">
      <c r="A15" s="31" t="s">
        <v>20</v>
      </c>
      <c r="B15" s="234"/>
      <c r="C15" s="201"/>
      <c r="D15" s="200"/>
      <c r="E15" s="201"/>
      <c r="F15" s="202">
        <v>0</v>
      </c>
      <c r="G15" s="189"/>
      <c r="H15" s="75"/>
      <c r="I15" s="75"/>
      <c r="J15" s="75"/>
      <c r="K15" s="75"/>
      <c r="L15" s="75"/>
      <c r="M15" s="75"/>
      <c r="N15" s="75"/>
      <c r="O15" s="75"/>
      <c r="P15" s="205"/>
      <c r="Q15" s="205"/>
      <c r="R15" s="205"/>
      <c r="S15" s="178"/>
      <c r="T15" s="369" t="str">
        <f t="shared" si="0"/>
        <v xml:space="preserve">  </v>
      </c>
    </row>
    <row r="16" spans="1:20" ht="34.5">
      <c r="A16" s="31" t="s">
        <v>21</v>
      </c>
      <c r="B16" s="234"/>
      <c r="C16" s="201"/>
      <c r="D16" s="200"/>
      <c r="E16" s="201"/>
      <c r="F16" s="202"/>
      <c r="G16" s="189"/>
      <c r="H16" s="75"/>
      <c r="I16" s="75"/>
      <c r="J16" s="75"/>
      <c r="K16" s="75"/>
      <c r="L16" s="75"/>
      <c r="M16" s="75"/>
      <c r="N16" s="75"/>
      <c r="O16" s="75"/>
      <c r="P16" s="205"/>
      <c r="Q16" s="205"/>
      <c r="R16" s="205"/>
      <c r="S16" s="178"/>
      <c r="T16" s="369" t="str">
        <f t="shared" si="0"/>
        <v xml:space="preserve">  </v>
      </c>
    </row>
    <row r="17" spans="1:20" ht="34.5">
      <c r="A17" s="31" t="s">
        <v>22</v>
      </c>
      <c r="B17" s="234"/>
      <c r="C17" s="201"/>
      <c r="D17" s="200"/>
      <c r="E17" s="201"/>
      <c r="F17" s="202">
        <v>0</v>
      </c>
      <c r="G17" s="189"/>
      <c r="H17" s="75"/>
      <c r="I17" s="75"/>
      <c r="J17" s="75"/>
      <c r="K17" s="75"/>
      <c r="L17" s="75"/>
      <c r="M17" s="75"/>
      <c r="N17" s="75"/>
      <c r="O17" s="75"/>
      <c r="P17" s="205"/>
      <c r="Q17" s="205"/>
      <c r="R17" s="205"/>
      <c r="S17" s="178"/>
      <c r="T17" s="369" t="str">
        <f t="shared" si="0"/>
        <v xml:space="preserve">  </v>
      </c>
    </row>
    <row r="18" spans="1:20" ht="34.5">
      <c r="A18" s="31" t="s">
        <v>23</v>
      </c>
      <c r="B18" s="234"/>
      <c r="C18" s="201"/>
      <c r="D18" s="200"/>
      <c r="E18" s="201"/>
      <c r="F18" s="202">
        <v>0</v>
      </c>
      <c r="G18" s="189"/>
      <c r="H18" s="75"/>
      <c r="I18" s="75"/>
      <c r="J18" s="75"/>
      <c r="K18" s="75"/>
      <c r="L18" s="75"/>
      <c r="M18" s="75"/>
      <c r="N18" s="75"/>
      <c r="O18" s="75"/>
      <c r="P18" s="205">
        <v>750000</v>
      </c>
      <c r="Q18" s="205">
        <v>750000</v>
      </c>
      <c r="R18" s="205">
        <v>750000</v>
      </c>
      <c r="S18" s="178">
        <f>R18-P18</f>
        <v>0</v>
      </c>
      <c r="T18" s="369">
        <f t="shared" si="0"/>
        <v>0</v>
      </c>
    </row>
    <row r="19" spans="1:20" ht="34.5">
      <c r="A19" s="31" t="s">
        <v>24</v>
      </c>
      <c r="B19" s="234"/>
      <c r="C19" s="201"/>
      <c r="D19" s="200"/>
      <c r="E19" s="201"/>
      <c r="F19" s="202" t="e">
        <f>E19/C19</f>
        <v>#DIV/0!</v>
      </c>
      <c r="G19" s="189"/>
      <c r="H19" s="75"/>
      <c r="I19" s="75"/>
      <c r="J19" s="75"/>
      <c r="K19" s="75"/>
      <c r="L19" s="75"/>
      <c r="M19" s="75"/>
      <c r="N19" s="75"/>
      <c r="O19" s="75"/>
      <c r="P19" s="205"/>
      <c r="Q19" s="205"/>
      <c r="R19" s="205"/>
      <c r="S19" s="178"/>
      <c r="T19" s="369" t="str">
        <f t="shared" si="0"/>
        <v xml:space="preserve">  </v>
      </c>
    </row>
    <row r="20" spans="1:20" ht="34.5">
      <c r="A20" s="31" t="s">
        <v>25</v>
      </c>
      <c r="B20" s="234"/>
      <c r="C20" s="201"/>
      <c r="D20" s="200"/>
      <c r="E20" s="201"/>
      <c r="F20" s="202">
        <v>0</v>
      </c>
      <c r="G20" s="189"/>
      <c r="H20" s="75"/>
      <c r="I20" s="75"/>
      <c r="J20" s="75"/>
      <c r="K20" s="75"/>
      <c r="L20" s="75"/>
      <c r="M20" s="75"/>
      <c r="N20" s="75"/>
      <c r="O20" s="75"/>
      <c r="P20" s="205"/>
      <c r="Q20" s="205"/>
      <c r="R20" s="205"/>
      <c r="S20" s="178"/>
      <c r="T20" s="369" t="str">
        <f t="shared" si="0"/>
        <v xml:space="preserve">  </v>
      </c>
    </row>
    <row r="21" spans="1:20" ht="34.5">
      <c r="A21" s="31" t="s">
        <v>26</v>
      </c>
      <c r="B21" s="234"/>
      <c r="C21" s="201"/>
      <c r="D21" s="200"/>
      <c r="E21" s="201"/>
      <c r="F21" s="202">
        <v>0</v>
      </c>
      <c r="G21" s="189"/>
      <c r="H21" s="75"/>
      <c r="I21" s="75"/>
      <c r="J21" s="75"/>
      <c r="K21" s="75"/>
      <c r="L21" s="75"/>
      <c r="M21" s="75"/>
      <c r="N21" s="75"/>
      <c r="O21" s="75"/>
      <c r="P21" s="205"/>
      <c r="Q21" s="205"/>
      <c r="R21" s="205"/>
      <c r="S21" s="178"/>
      <c r="T21" s="369" t="str">
        <f t="shared" si="0"/>
        <v xml:space="preserve">  </v>
      </c>
    </row>
    <row r="22" spans="1:20" ht="34.5">
      <c r="A22" s="31" t="s">
        <v>27</v>
      </c>
      <c r="B22" s="234"/>
      <c r="C22" s="201"/>
      <c r="D22" s="200"/>
      <c r="E22" s="201"/>
      <c r="F22" s="202">
        <v>0</v>
      </c>
      <c r="G22" s="189"/>
      <c r="H22" s="75"/>
      <c r="I22" s="75"/>
      <c r="J22" s="75"/>
      <c r="K22" s="75"/>
      <c r="L22" s="75"/>
      <c r="M22" s="75"/>
      <c r="N22" s="75"/>
      <c r="O22" s="75"/>
      <c r="P22" s="205"/>
      <c r="Q22" s="205"/>
      <c r="R22" s="205"/>
      <c r="S22" s="178"/>
      <c r="T22" s="369" t="str">
        <f t="shared" si="0"/>
        <v xml:space="preserve">  </v>
      </c>
    </row>
    <row r="23" spans="1:20" ht="34.5">
      <c r="A23" s="31" t="s">
        <v>28</v>
      </c>
      <c r="B23" s="234"/>
      <c r="C23" s="201"/>
      <c r="D23" s="200"/>
      <c r="E23" s="201"/>
      <c r="F23" s="202">
        <v>0</v>
      </c>
      <c r="G23" s="189"/>
      <c r="H23" s="75"/>
      <c r="I23" s="75"/>
      <c r="J23" s="75"/>
      <c r="K23" s="75"/>
      <c r="L23" s="75"/>
      <c r="M23" s="75"/>
      <c r="N23" s="75"/>
      <c r="O23" s="75"/>
      <c r="P23" s="205"/>
      <c r="Q23" s="205"/>
      <c r="R23" s="205"/>
      <c r="S23" s="178"/>
      <c r="T23" s="369" t="str">
        <f t="shared" si="0"/>
        <v xml:space="preserve">  </v>
      </c>
    </row>
    <row r="24" spans="1:20" ht="34.5">
      <c r="A24" s="31" t="s">
        <v>90</v>
      </c>
      <c r="B24" s="234"/>
      <c r="C24" s="201"/>
      <c r="D24" s="200"/>
      <c r="E24" s="201"/>
      <c r="F24" s="202"/>
      <c r="G24" s="189"/>
      <c r="H24" s="75"/>
      <c r="I24" s="75"/>
      <c r="J24" s="75"/>
      <c r="K24" s="75"/>
      <c r="L24" s="75"/>
      <c r="M24" s="75"/>
      <c r="N24" s="75"/>
      <c r="O24" s="75"/>
      <c r="P24" s="205"/>
      <c r="Q24" s="205"/>
      <c r="R24" s="205"/>
      <c r="S24" s="178"/>
      <c r="T24" s="369" t="str">
        <f t="shared" si="0"/>
        <v xml:space="preserve">  </v>
      </c>
    </row>
    <row r="25" spans="1:20" ht="34.5">
      <c r="A25" s="117" t="s">
        <v>80</v>
      </c>
      <c r="B25" s="234"/>
      <c r="C25" s="201"/>
      <c r="D25" s="200"/>
      <c r="E25" s="201"/>
      <c r="F25" s="202">
        <v>0</v>
      </c>
      <c r="G25" s="189"/>
      <c r="H25" s="75"/>
      <c r="I25" s="75"/>
      <c r="J25" s="75"/>
      <c r="K25" s="75"/>
      <c r="L25" s="75"/>
      <c r="M25" s="75"/>
      <c r="N25" s="75"/>
      <c r="O25" s="75"/>
      <c r="P25" s="205"/>
      <c r="Q25" s="205"/>
      <c r="R25" s="205"/>
      <c r="S25" s="178"/>
      <c r="T25" s="369" t="str">
        <f t="shared" si="0"/>
        <v xml:space="preserve">  </v>
      </c>
    </row>
    <row r="26" spans="1:20" ht="35.25">
      <c r="A26" s="114" t="s">
        <v>29</v>
      </c>
      <c r="B26" s="234"/>
      <c r="C26" s="201"/>
      <c r="D26" s="200"/>
      <c r="E26" s="201"/>
      <c r="F26" s="202"/>
      <c r="G26" s="189"/>
      <c r="H26" s="75"/>
      <c r="I26" s="75"/>
      <c r="J26" s="75"/>
      <c r="K26" s="75"/>
      <c r="L26" s="75"/>
      <c r="M26" s="75"/>
      <c r="N26" s="75"/>
      <c r="O26" s="75"/>
      <c r="P26" s="241"/>
      <c r="Q26" s="241"/>
      <c r="R26" s="241"/>
      <c r="S26" s="178"/>
      <c r="T26" s="369" t="str">
        <f t="shared" si="0"/>
        <v xml:space="preserve">  </v>
      </c>
    </row>
    <row r="27" spans="1:20" ht="34.5">
      <c r="A27" s="117" t="s">
        <v>30</v>
      </c>
      <c r="B27" s="234"/>
      <c r="C27" s="201"/>
      <c r="D27" s="200"/>
      <c r="E27" s="201"/>
      <c r="F27" s="202">
        <v>0</v>
      </c>
      <c r="G27" s="189"/>
      <c r="H27" s="75"/>
      <c r="I27" s="75"/>
      <c r="J27" s="75"/>
      <c r="K27" s="75"/>
      <c r="L27" s="75"/>
      <c r="M27" s="75"/>
      <c r="N27" s="75"/>
      <c r="O27" s="75"/>
      <c r="P27" s="206"/>
      <c r="Q27" s="206"/>
      <c r="R27" s="206"/>
      <c r="S27" s="178"/>
      <c r="T27" s="369" t="str">
        <f t="shared" si="0"/>
        <v xml:space="preserve">  </v>
      </c>
    </row>
    <row r="28" spans="1:20" ht="35.25">
      <c r="A28" s="114" t="s">
        <v>31</v>
      </c>
      <c r="B28" s="234"/>
      <c r="C28" s="201"/>
      <c r="D28" s="200"/>
      <c r="E28" s="201"/>
      <c r="F28" s="202"/>
      <c r="G28" s="189"/>
      <c r="H28" s="75"/>
      <c r="I28" s="75"/>
      <c r="J28" s="75"/>
      <c r="K28" s="75"/>
      <c r="L28" s="75"/>
      <c r="M28" s="75"/>
      <c r="N28" s="75"/>
      <c r="O28" s="75"/>
      <c r="P28" s="241"/>
      <c r="Q28" s="241"/>
      <c r="R28" s="241"/>
      <c r="S28" s="178"/>
      <c r="T28" s="369" t="str">
        <f t="shared" si="0"/>
        <v xml:space="preserve">  </v>
      </c>
    </row>
    <row r="29" spans="1:20" ht="34.5">
      <c r="A29" s="31" t="s">
        <v>30</v>
      </c>
      <c r="B29" s="234"/>
      <c r="C29" s="201"/>
      <c r="D29" s="200"/>
      <c r="E29" s="201"/>
      <c r="F29" s="202">
        <v>0</v>
      </c>
      <c r="G29" s="189"/>
      <c r="H29" s="75"/>
      <c r="I29" s="75"/>
      <c r="J29" s="75"/>
      <c r="K29" s="75"/>
      <c r="L29" s="75"/>
      <c r="M29" s="75"/>
      <c r="N29" s="75"/>
      <c r="O29" s="75"/>
      <c r="P29" s="206"/>
      <c r="Q29" s="206"/>
      <c r="R29" s="206"/>
      <c r="S29" s="178"/>
      <c r="T29" s="369" t="str">
        <f t="shared" si="0"/>
        <v xml:space="preserve">  </v>
      </c>
    </row>
    <row r="30" spans="1:20" ht="34.5">
      <c r="A30" s="117" t="s">
        <v>32</v>
      </c>
      <c r="B30" s="234"/>
      <c r="C30" s="201"/>
      <c r="D30" s="200"/>
      <c r="E30" s="201"/>
      <c r="F30" s="202">
        <v>0</v>
      </c>
      <c r="G30" s="189"/>
      <c r="H30" s="75"/>
      <c r="I30" s="75"/>
      <c r="J30" s="75"/>
      <c r="K30" s="75"/>
      <c r="L30" s="75"/>
      <c r="M30" s="75"/>
      <c r="N30" s="75"/>
      <c r="O30" s="75"/>
      <c r="P30" s="205"/>
      <c r="Q30" s="205"/>
      <c r="R30" s="205"/>
      <c r="S30" s="178"/>
      <c r="T30" s="369" t="str">
        <f t="shared" si="0"/>
        <v xml:space="preserve">  </v>
      </c>
    </row>
    <row r="31" spans="1:20" ht="35.25">
      <c r="A31" s="146" t="s">
        <v>33</v>
      </c>
      <c r="B31" s="234"/>
      <c r="C31" s="201"/>
      <c r="D31" s="200"/>
      <c r="E31" s="201"/>
      <c r="F31" s="202" t="e">
        <f>E31/C31</f>
        <v>#DIV/0!</v>
      </c>
      <c r="G31" s="189"/>
      <c r="H31" s="75"/>
      <c r="I31" s="75"/>
      <c r="J31" s="75"/>
      <c r="K31" s="75"/>
      <c r="L31" s="75"/>
      <c r="M31" s="75"/>
      <c r="N31" s="75"/>
      <c r="O31" s="75"/>
      <c r="P31" s="244">
        <f>P30+P29+P27+P10+P8</f>
        <v>24892455</v>
      </c>
      <c r="Q31" s="244">
        <f>Q30+Q29+Q27+Q10+Q8</f>
        <v>24923402</v>
      </c>
      <c r="R31" s="244">
        <f>R30+R29+R27+R9+R10+R8</f>
        <v>18905665</v>
      </c>
      <c r="S31" s="465">
        <f>R31-P31</f>
        <v>-5986790</v>
      </c>
      <c r="T31" s="390">
        <f t="shared" si="0"/>
        <v>-0.2405062096125111</v>
      </c>
    </row>
    <row r="32" spans="1:20" ht="35.25">
      <c r="A32" s="33"/>
      <c r="B32" s="235"/>
      <c r="C32" s="208"/>
      <c r="D32" s="207"/>
      <c r="E32" s="208"/>
      <c r="F32" s="209"/>
      <c r="G32" s="189"/>
      <c r="H32" s="75"/>
      <c r="I32" s="75"/>
      <c r="J32" s="75"/>
      <c r="K32" s="75"/>
      <c r="L32" s="75"/>
      <c r="M32" s="75"/>
      <c r="N32" s="75"/>
      <c r="O32" s="75"/>
      <c r="P32" s="205"/>
      <c r="Q32" s="205"/>
      <c r="R32" s="205"/>
      <c r="S32" s="148"/>
      <c r="T32" s="342" t="str">
        <f>IF(ISBLANK(S32),"  ",IF(Q32&gt;0,S32/Q32,IF(S32&gt;0,1,0)))</f>
        <v xml:space="preserve">  </v>
      </c>
    </row>
    <row r="33" spans="1:20" ht="35.25">
      <c r="A33" s="130" t="s">
        <v>34</v>
      </c>
      <c r="B33" s="234"/>
      <c r="C33" s="201"/>
      <c r="D33" s="200"/>
      <c r="E33" s="201"/>
      <c r="F33" s="202">
        <v>0</v>
      </c>
      <c r="G33" s="189"/>
      <c r="H33" s="75"/>
      <c r="I33" s="75"/>
      <c r="J33" s="75"/>
      <c r="K33" s="75"/>
      <c r="L33" s="75"/>
      <c r="M33" s="75"/>
      <c r="N33" s="75"/>
      <c r="O33" s="75"/>
      <c r="P33" s="206"/>
      <c r="Q33" s="206"/>
      <c r="R33" s="206"/>
      <c r="S33" s="178"/>
      <c r="T33" s="342" t="str">
        <f>IF(ISBLANK(S33),"  ",IF(P33&gt;0,S33/P33,IF(S33&gt;0,1,0)))</f>
        <v xml:space="preserve">  </v>
      </c>
    </row>
    <row r="34" spans="1:20" ht="35.25">
      <c r="A34" s="132" t="s">
        <v>35</v>
      </c>
      <c r="B34" s="235"/>
      <c r="C34" s="208"/>
      <c r="D34" s="207"/>
      <c r="E34" s="208"/>
      <c r="F34" s="209"/>
      <c r="G34" s="189"/>
      <c r="H34" s="75"/>
      <c r="I34" s="75"/>
      <c r="J34" s="75"/>
      <c r="K34" s="75"/>
      <c r="L34" s="75"/>
      <c r="M34" s="75"/>
      <c r="N34" s="75"/>
      <c r="O34" s="75"/>
      <c r="P34" s="205"/>
      <c r="Q34" s="205"/>
      <c r="R34" s="205"/>
      <c r="S34" s="133"/>
      <c r="T34" s="356" t="str">
        <f>IF(ISBLANK(S34),"  ",IF(Q34&gt;0,S34/Q34,IF(S34&gt;0,1,0)))</f>
        <v xml:space="preserve">  </v>
      </c>
    </row>
    <row r="35" spans="1:20" ht="35.25">
      <c r="A35" s="137" t="s">
        <v>36</v>
      </c>
      <c r="B35" s="234"/>
      <c r="C35" s="201"/>
      <c r="D35" s="200"/>
      <c r="E35" s="201"/>
      <c r="F35" s="202">
        <v>0</v>
      </c>
      <c r="G35" s="189"/>
      <c r="H35" s="75"/>
      <c r="I35" s="75"/>
      <c r="J35" s="75"/>
      <c r="K35" s="75"/>
      <c r="L35" s="75"/>
      <c r="M35" s="75"/>
      <c r="N35" s="75"/>
      <c r="O35" s="75"/>
      <c r="P35" s="206"/>
      <c r="Q35" s="206"/>
      <c r="R35" s="206"/>
      <c r="S35" s="465"/>
      <c r="T35" s="399" t="str">
        <f>IF(ISBLANK(S35),"  ",IF(P35&gt;0,S35/P35,IF(S35&gt;0,1,0)))</f>
        <v xml:space="preserve">  </v>
      </c>
    </row>
    <row r="36" spans="1:20" ht="35.25">
      <c r="A36" s="30" t="s">
        <v>35</v>
      </c>
      <c r="B36" s="235"/>
      <c r="C36" s="208"/>
      <c r="D36" s="207"/>
      <c r="E36" s="208"/>
      <c r="F36" s="209"/>
      <c r="G36" s="189"/>
      <c r="H36" s="75"/>
      <c r="I36" s="75"/>
      <c r="J36" s="75"/>
      <c r="K36" s="75"/>
      <c r="L36" s="75"/>
      <c r="M36" s="75"/>
      <c r="N36" s="75"/>
      <c r="O36" s="75"/>
      <c r="P36" s="205"/>
      <c r="Q36" s="205"/>
      <c r="R36" s="205"/>
      <c r="S36" s="95"/>
      <c r="T36" s="345" t="str">
        <f>IF(ISBLANK(S36),"  ",IF(Q36&gt;0,S36/Q36,IF(S36&gt;0,1,0)))</f>
        <v xml:space="preserve">  </v>
      </c>
    </row>
    <row r="37" spans="1:20" ht="35.25">
      <c r="A37" s="130" t="s">
        <v>88</v>
      </c>
      <c r="B37" s="235"/>
      <c r="C37" s="208"/>
      <c r="D37" s="207"/>
      <c r="E37" s="208"/>
      <c r="F37" s="209"/>
      <c r="G37" s="189"/>
      <c r="H37" s="75"/>
      <c r="I37" s="75"/>
      <c r="J37" s="75"/>
      <c r="K37" s="75"/>
      <c r="L37" s="75"/>
      <c r="M37" s="75"/>
      <c r="N37" s="75"/>
      <c r="O37" s="75"/>
      <c r="P37" s="248">
        <v>0</v>
      </c>
      <c r="Q37" s="248">
        <v>0</v>
      </c>
      <c r="R37" s="248">
        <v>3867053</v>
      </c>
      <c r="S37" s="465">
        <f>R37-P37</f>
        <v>3867053</v>
      </c>
      <c r="T37" s="345">
        <f>IF(ISBLANK(S37),"  ",IF(P37&gt;0,S37/P37,IF(S37&gt;0,1,0)))</f>
        <v>1</v>
      </c>
    </row>
    <row r="38" spans="1:20" ht="35.25">
      <c r="A38" s="132"/>
      <c r="B38" s="235"/>
      <c r="C38" s="208"/>
      <c r="D38" s="207"/>
      <c r="E38" s="208"/>
      <c r="F38" s="209"/>
      <c r="G38" s="189"/>
      <c r="H38" s="75"/>
      <c r="I38" s="75"/>
      <c r="J38" s="75"/>
      <c r="K38" s="75"/>
      <c r="L38" s="75"/>
      <c r="M38" s="75"/>
      <c r="N38" s="75"/>
      <c r="O38" s="75"/>
      <c r="P38" s="249"/>
      <c r="Q38" s="249"/>
      <c r="R38" s="249"/>
      <c r="S38" s="133"/>
      <c r="T38" s="356" t="str">
        <f>IF(ISBLANK(S38),"  ",IF(Q38&gt;0,S38/Q38,IF(S38&gt;0,1,0)))</f>
        <v xml:space="preserve">  </v>
      </c>
    </row>
    <row r="39" spans="1:20" ht="35.25">
      <c r="A39" s="130" t="s">
        <v>37</v>
      </c>
      <c r="B39" s="234"/>
      <c r="C39" s="201"/>
      <c r="D39" s="200"/>
      <c r="E39" s="201"/>
      <c r="F39" s="202" t="e">
        <f>E39/C39</f>
        <v>#DIV/0!</v>
      </c>
      <c r="G39" s="189"/>
      <c r="H39" s="75"/>
      <c r="I39" s="75"/>
      <c r="J39" s="75"/>
      <c r="K39" s="75"/>
      <c r="L39" s="75"/>
      <c r="M39" s="75"/>
      <c r="N39" s="75"/>
      <c r="O39" s="75"/>
      <c r="P39" s="248">
        <v>18127864.989999998</v>
      </c>
      <c r="Q39" s="248">
        <f>7452891+400000+8711903</f>
        <v>16564794</v>
      </c>
      <c r="R39" s="248">
        <f>8388912+500000+9203175</f>
        <v>18092087</v>
      </c>
      <c r="S39" s="465">
        <f>R39-P39</f>
        <v>-35777.989999998361</v>
      </c>
      <c r="T39" s="399">
        <f>IF(ISBLANK(S39),"  ",IF(P39&gt;0,S39/P39,IF(S39&gt;0,1,0)))</f>
        <v>-1.9736460978573497E-3</v>
      </c>
    </row>
    <row r="40" spans="1:20" ht="35.25">
      <c r="A40" s="33" t="s">
        <v>35</v>
      </c>
      <c r="B40" s="235"/>
      <c r="C40" s="208"/>
      <c r="D40" s="207"/>
      <c r="E40" s="208"/>
      <c r="F40" s="209"/>
      <c r="G40" s="189"/>
      <c r="H40" s="75"/>
      <c r="I40" s="75"/>
      <c r="J40" s="75"/>
      <c r="K40" s="75"/>
      <c r="L40" s="75"/>
      <c r="M40" s="75"/>
      <c r="N40" s="75"/>
      <c r="O40" s="75"/>
      <c r="P40" s="205"/>
      <c r="Q40" s="205"/>
      <c r="R40" s="205"/>
      <c r="S40" s="95"/>
      <c r="T40" s="345" t="str">
        <f>IF(ISBLANK(S40),"  ",IF(Q40&gt;0,S40/Q40,IF(S40&gt;0,1,0)))</f>
        <v xml:space="preserve">  </v>
      </c>
    </row>
    <row r="41" spans="1:20" ht="35.25">
      <c r="A41" s="130" t="s">
        <v>38</v>
      </c>
      <c r="B41" s="234"/>
      <c r="C41" s="201"/>
      <c r="D41" s="200"/>
      <c r="E41" s="201"/>
      <c r="F41" s="202">
        <v>0</v>
      </c>
      <c r="G41" s="189"/>
      <c r="H41" s="75"/>
      <c r="I41" s="75"/>
      <c r="J41" s="75"/>
      <c r="K41" s="75"/>
      <c r="L41" s="75"/>
      <c r="M41" s="75"/>
      <c r="N41" s="75"/>
      <c r="O41" s="75"/>
      <c r="P41" s="248"/>
      <c r="Q41" s="248"/>
      <c r="R41" s="248"/>
      <c r="S41" s="465"/>
      <c r="T41" s="345" t="str">
        <f>IF(ISBLANK(S41),"  ",IF(P41&gt;0,S41/P41,IF(S41&gt;0,1,0)))</f>
        <v xml:space="preserve">  </v>
      </c>
    </row>
    <row r="42" spans="1:20" ht="35.25">
      <c r="A42" s="132"/>
      <c r="B42" s="235"/>
      <c r="C42" s="208"/>
      <c r="D42" s="207"/>
      <c r="E42" s="208"/>
      <c r="F42" s="209"/>
      <c r="G42" s="189"/>
      <c r="H42" s="75"/>
      <c r="I42" s="75"/>
      <c r="J42" s="75"/>
      <c r="K42" s="75"/>
      <c r="L42" s="75"/>
      <c r="M42" s="75"/>
      <c r="N42" s="75"/>
      <c r="O42" s="75"/>
      <c r="P42" s="205"/>
      <c r="Q42" s="205"/>
      <c r="R42" s="205"/>
      <c r="S42" s="133"/>
      <c r="T42" s="356" t="str">
        <f>IF(ISBLANK(S42),"  ",IF(Q42&gt;0,S42/Q42,IF(S42&gt;0,1,0)))</f>
        <v xml:space="preserve">  </v>
      </c>
    </row>
    <row r="43" spans="1:20" ht="35.25">
      <c r="A43" s="137" t="s">
        <v>75</v>
      </c>
      <c r="B43" s="234"/>
      <c r="C43" s="201"/>
      <c r="D43" s="200"/>
      <c r="E43" s="201"/>
      <c r="F43" s="202"/>
      <c r="G43" s="189"/>
      <c r="H43" s="75"/>
      <c r="I43" s="75"/>
      <c r="J43" s="75"/>
      <c r="K43" s="75"/>
      <c r="L43" s="75"/>
      <c r="M43" s="75"/>
      <c r="N43" s="75"/>
      <c r="O43" s="75"/>
      <c r="P43" s="206"/>
      <c r="Q43" s="206"/>
      <c r="R43" s="206"/>
      <c r="S43" s="465"/>
      <c r="T43" s="399" t="str">
        <f>IF(ISBLANK(S43),"  ",IF(P43&gt;0,S43/P43,IF(S43&gt;0,1,0)))</f>
        <v xml:space="preserve">  </v>
      </c>
    </row>
    <row r="44" spans="1:20" s="1" customFormat="1" ht="35.25">
      <c r="A44" s="119"/>
      <c r="B44" s="235"/>
      <c r="C44" s="208"/>
      <c r="D44" s="207"/>
      <c r="E44" s="208"/>
      <c r="F44" s="209"/>
      <c r="G44" s="189"/>
      <c r="H44" s="74"/>
      <c r="I44" s="74"/>
      <c r="J44" s="74"/>
      <c r="K44" s="74"/>
      <c r="L44" s="74"/>
      <c r="M44" s="74"/>
      <c r="N44" s="74"/>
      <c r="O44" s="74"/>
      <c r="P44" s="210"/>
      <c r="Q44" s="210"/>
      <c r="R44" s="210"/>
      <c r="S44" s="95"/>
      <c r="T44" s="345" t="str">
        <f>IF(ISBLANK(S44),"  ",IF(Q44&gt;0,S44/Q44,IF(S44&gt;0,1,0)))</f>
        <v xml:space="preserve">  </v>
      </c>
    </row>
    <row r="45" spans="1:20" ht="36" thickBot="1">
      <c r="A45" s="137" t="s">
        <v>39</v>
      </c>
      <c r="B45" s="236">
        <f>SUM(B41,B39,B35,B33,B31)</f>
        <v>0</v>
      </c>
      <c r="C45" s="212">
        <f>SUM(C41,C39,C35,C33,C31)</f>
        <v>0</v>
      </c>
      <c r="D45" s="211">
        <f>SUM(D41,D39,D35,D33,D31)</f>
        <v>0</v>
      </c>
      <c r="E45" s="212">
        <f>SUM(E41,E39,E35,E33,E31)</f>
        <v>0</v>
      </c>
      <c r="F45" s="211" t="e">
        <f>SUM(F41,F39,F35,F33,F31)</f>
        <v>#DIV/0!</v>
      </c>
      <c r="G45" s="189"/>
      <c r="H45" s="75"/>
      <c r="I45" s="75"/>
      <c r="J45" s="75"/>
      <c r="K45" s="75"/>
      <c r="L45" s="75"/>
      <c r="M45" s="75"/>
      <c r="N45" s="75"/>
      <c r="O45" s="75"/>
      <c r="P45" s="247">
        <f>P41+P39+P35+P31</f>
        <v>43020319.989999995</v>
      </c>
      <c r="Q45" s="247">
        <f>Q41+Q39+Q35+Q31</f>
        <v>41488196</v>
      </c>
      <c r="R45" s="247">
        <f>R41+R39+R37+R35+R31</f>
        <v>40864805</v>
      </c>
      <c r="S45" s="465">
        <f>R45-P45</f>
        <v>-2155514.9899999946</v>
      </c>
      <c r="T45" s="345">
        <f>IF(ISBLANK(S45),"  ",IF(P45&gt;0,S45/P45,IF(S45&gt;0,1,0)))</f>
        <v>-5.0104578266759535E-2</v>
      </c>
    </row>
    <row r="46" spans="1:20" s="1" customFormat="1" ht="35.25">
      <c r="A46" s="139"/>
      <c r="B46" s="197"/>
      <c r="C46" s="197"/>
      <c r="D46" s="197"/>
      <c r="E46" s="197"/>
      <c r="F46" s="213" t="s">
        <v>35</v>
      </c>
      <c r="G46" s="189"/>
      <c r="H46" s="74"/>
      <c r="I46" s="74"/>
      <c r="J46" s="74"/>
      <c r="K46" s="74"/>
      <c r="L46" s="74"/>
      <c r="M46" s="74"/>
      <c r="N46" s="74"/>
      <c r="O46" s="74"/>
      <c r="P46" s="214"/>
      <c r="Q46" s="214"/>
      <c r="R46" s="214"/>
      <c r="S46" s="133"/>
      <c r="T46" s="356" t="str">
        <f>IF(ISBLANK(S46),"  ",IF(Q46&gt;0,S46/Q46,IF(S46&gt;0,1,0)))</f>
        <v xml:space="preserve">  </v>
      </c>
    </row>
    <row r="47" spans="1:20" s="1" customFormat="1" ht="34.5">
      <c r="A47" s="30"/>
      <c r="B47" s="197"/>
      <c r="C47" s="197"/>
      <c r="D47" s="197"/>
      <c r="E47" s="197"/>
      <c r="F47" s="213" t="s">
        <v>35</v>
      </c>
      <c r="G47" s="189"/>
      <c r="H47" s="74"/>
      <c r="I47" s="74"/>
      <c r="J47" s="74"/>
      <c r="K47" s="74"/>
      <c r="L47" s="74"/>
      <c r="M47" s="74"/>
      <c r="N47" s="74"/>
      <c r="O47" s="74"/>
      <c r="P47" s="199"/>
      <c r="Q47" s="199"/>
      <c r="R47" s="199"/>
      <c r="S47" s="171"/>
      <c r="T47" s="371" t="str">
        <f>IF(ISBLANK(S47),"  ",IF(Q47&gt;0,S47/Q47,IF(S47&gt;0,1,0)))</f>
        <v xml:space="preserve">  </v>
      </c>
    </row>
    <row r="48" spans="1:20" s="1" customFormat="1" ht="36" thickBot="1">
      <c r="A48" s="240" t="s">
        <v>40</v>
      </c>
      <c r="B48" s="197"/>
      <c r="C48" s="197"/>
      <c r="D48" s="197"/>
      <c r="E48" s="197"/>
      <c r="F48" s="213"/>
      <c r="G48" s="189"/>
      <c r="H48" s="74"/>
      <c r="I48" s="74"/>
      <c r="J48" s="74"/>
      <c r="K48" s="74"/>
      <c r="L48" s="74"/>
      <c r="M48" s="74"/>
      <c r="N48" s="74"/>
      <c r="O48" s="74"/>
      <c r="P48" s="246"/>
      <c r="Q48" s="246"/>
      <c r="R48" s="246"/>
      <c r="S48" s="169"/>
      <c r="T48" s="372" t="str">
        <f>IF(ISBLANK(S48),"  ",IF(Q48&gt;0,S48/Q48,IF(S48&gt;0,1,0)))</f>
        <v xml:space="preserve">  </v>
      </c>
    </row>
    <row r="49" spans="1:20" ht="34.5">
      <c r="A49" s="150" t="s">
        <v>41</v>
      </c>
      <c r="B49" s="237"/>
      <c r="C49" s="215"/>
      <c r="D49" s="216"/>
      <c r="E49" s="215"/>
      <c r="F49" s="217" t="e">
        <f>E49/C49</f>
        <v>#DIV/0!</v>
      </c>
      <c r="G49" s="189"/>
      <c r="H49" s="75"/>
      <c r="I49" s="75"/>
      <c r="J49" s="75"/>
      <c r="K49" s="75"/>
      <c r="L49" s="75"/>
      <c r="M49" s="75"/>
      <c r="N49" s="75"/>
      <c r="O49" s="75"/>
      <c r="P49" s="206">
        <f>22986825-19161</f>
        <v>22967664</v>
      </c>
      <c r="Q49" s="206">
        <f>19839188+2724206-350000</f>
        <v>22213394</v>
      </c>
      <c r="R49" s="206">
        <f>19474223+2700857</f>
        <v>22175080</v>
      </c>
      <c r="S49" s="178">
        <f t="shared" ref="S49:S62" si="1">R49-P49</f>
        <v>-792584</v>
      </c>
      <c r="T49" s="397">
        <f t="shared" ref="T49:T62" si="2">IF(ISBLANK(S49),"  ",IF(P49&gt;0,S49/P49,IF(S49&gt;0,1,0)))</f>
        <v>-3.4508690130611454E-2</v>
      </c>
    </row>
    <row r="50" spans="1:20" ht="34.5">
      <c r="A50" s="151" t="s">
        <v>42</v>
      </c>
      <c r="B50" s="234"/>
      <c r="C50" s="200"/>
      <c r="D50" s="201"/>
      <c r="E50" s="200"/>
      <c r="F50" s="218" t="e">
        <f>E50/C50</f>
        <v>#DIV/0!</v>
      </c>
      <c r="G50" s="189"/>
      <c r="H50" s="75"/>
      <c r="I50" s="75"/>
      <c r="J50" s="75"/>
      <c r="K50" s="75"/>
      <c r="L50" s="75"/>
      <c r="M50" s="75"/>
      <c r="N50" s="75"/>
      <c r="O50" s="75"/>
      <c r="P50" s="205">
        <v>7722198</v>
      </c>
      <c r="Q50" s="205">
        <f>6093067+1029580</f>
        <v>7122647</v>
      </c>
      <c r="R50" s="205">
        <f>6269286+1143728</f>
        <v>7413014</v>
      </c>
      <c r="S50" s="178">
        <f t="shared" si="1"/>
        <v>-309184</v>
      </c>
      <c r="T50" s="369">
        <f t="shared" si="2"/>
        <v>-4.0038341415229189E-2</v>
      </c>
    </row>
    <row r="51" spans="1:20" ht="34.5">
      <c r="A51" s="152" t="s">
        <v>43</v>
      </c>
      <c r="B51" s="234"/>
      <c r="C51" s="200"/>
      <c r="D51" s="201"/>
      <c r="E51" s="200"/>
      <c r="F51" s="218" t="e">
        <f t="shared" ref="F51:F62" si="3">E51/C51</f>
        <v>#DIV/0!</v>
      </c>
      <c r="G51" s="189"/>
      <c r="H51" s="75"/>
      <c r="I51" s="75"/>
      <c r="J51" s="75"/>
      <c r="K51" s="75"/>
      <c r="L51" s="75"/>
      <c r="M51" s="75"/>
      <c r="N51" s="75"/>
      <c r="O51" s="75"/>
      <c r="P51" s="205">
        <v>1718247</v>
      </c>
      <c r="Q51" s="205">
        <v>1899196</v>
      </c>
      <c r="R51" s="205">
        <v>1838532</v>
      </c>
      <c r="S51" s="178">
        <f t="shared" si="1"/>
        <v>120285</v>
      </c>
      <c r="T51" s="369">
        <f t="shared" si="2"/>
        <v>7.0004487131361204E-2</v>
      </c>
    </row>
    <row r="52" spans="1:20" ht="34.5">
      <c r="A52" s="152" t="s">
        <v>44</v>
      </c>
      <c r="B52" s="234"/>
      <c r="C52" s="200"/>
      <c r="D52" s="201"/>
      <c r="E52" s="200"/>
      <c r="F52" s="218" t="e">
        <f t="shared" si="3"/>
        <v>#DIV/0!</v>
      </c>
      <c r="G52" s="189"/>
      <c r="H52" s="75"/>
      <c r="I52" s="75"/>
      <c r="J52" s="75"/>
      <c r="K52" s="75"/>
      <c r="L52" s="75"/>
      <c r="M52" s="75"/>
      <c r="N52" s="75"/>
      <c r="O52" s="75"/>
      <c r="P52" s="205">
        <f>2733648+697219</f>
        <v>3430867</v>
      </c>
      <c r="Q52" s="205">
        <f>2728124+573418-8702</f>
        <v>3292840</v>
      </c>
      <c r="R52" s="205">
        <f>2639515+557492</f>
        <v>3197007</v>
      </c>
      <c r="S52" s="178">
        <f t="shared" si="1"/>
        <v>-233860</v>
      </c>
      <c r="T52" s="369">
        <f t="shared" si="2"/>
        <v>-6.8163528344293151E-2</v>
      </c>
    </row>
    <row r="53" spans="1:20" ht="34.5">
      <c r="A53" s="151" t="s">
        <v>45</v>
      </c>
      <c r="B53" s="234"/>
      <c r="C53" s="200"/>
      <c r="D53" s="201"/>
      <c r="E53" s="200"/>
      <c r="F53" s="218" t="e">
        <f t="shared" si="3"/>
        <v>#DIV/0!</v>
      </c>
      <c r="G53" s="189"/>
      <c r="H53" s="75"/>
      <c r="I53" s="75"/>
      <c r="J53" s="75"/>
      <c r="K53" s="75"/>
      <c r="L53" s="75"/>
      <c r="M53" s="75"/>
      <c r="N53" s="75"/>
      <c r="O53" s="75"/>
      <c r="P53" s="205">
        <v>127834</v>
      </c>
      <c r="Q53" s="205">
        <v>127832</v>
      </c>
      <c r="R53" s="205">
        <v>137709</v>
      </c>
      <c r="S53" s="178">
        <f t="shared" si="1"/>
        <v>9875</v>
      </c>
      <c r="T53" s="369">
        <f t="shared" si="2"/>
        <v>7.724861930315878E-2</v>
      </c>
    </row>
    <row r="54" spans="1:20" ht="34.5">
      <c r="A54" s="149" t="s">
        <v>74</v>
      </c>
      <c r="B54" s="234"/>
      <c r="C54" s="200"/>
      <c r="D54" s="201"/>
      <c r="E54" s="200"/>
      <c r="F54" s="218" t="e">
        <f t="shared" si="3"/>
        <v>#DIV/0!</v>
      </c>
      <c r="G54" s="189"/>
      <c r="H54" s="75"/>
      <c r="I54" s="75"/>
      <c r="J54" s="75"/>
      <c r="K54" s="75"/>
      <c r="L54" s="75"/>
      <c r="M54" s="75"/>
      <c r="N54" s="75"/>
      <c r="O54" s="75"/>
      <c r="P54" s="205">
        <v>1741466</v>
      </c>
      <c r="Q54" s="205">
        <f>6554494-4929814+323248</f>
        <v>1947928</v>
      </c>
      <c r="R54" s="205">
        <f>6788500-4815455+228043-1</f>
        <v>2201087</v>
      </c>
      <c r="S54" s="178">
        <f t="shared" si="1"/>
        <v>459621</v>
      </c>
      <c r="T54" s="369">
        <f t="shared" si="2"/>
        <v>0.26392763338474595</v>
      </c>
    </row>
    <row r="55" spans="1:20" ht="34.5">
      <c r="A55" s="117" t="s">
        <v>46</v>
      </c>
      <c r="B55" s="234"/>
      <c r="C55" s="200"/>
      <c r="D55" s="201"/>
      <c r="E55" s="200"/>
      <c r="F55" s="218" t="e">
        <f t="shared" si="3"/>
        <v>#DIV/0!</v>
      </c>
      <c r="G55" s="189"/>
      <c r="H55" s="75"/>
      <c r="I55" s="75"/>
      <c r="J55" s="75"/>
      <c r="K55" s="75"/>
      <c r="L55" s="75"/>
      <c r="M55" s="75"/>
      <c r="N55" s="75"/>
      <c r="O55" s="75"/>
      <c r="P55" s="205">
        <v>229673.07</v>
      </c>
      <c r="Q55" s="205">
        <v>280000</v>
      </c>
      <c r="R55" s="205">
        <v>260000</v>
      </c>
      <c r="S55" s="178">
        <f t="shared" si="1"/>
        <v>30326.929999999993</v>
      </c>
      <c r="T55" s="369">
        <f t="shared" si="2"/>
        <v>0.13204390919666809</v>
      </c>
    </row>
    <row r="56" spans="1:20" ht="34.5">
      <c r="A56" s="117" t="s">
        <v>47</v>
      </c>
      <c r="B56" s="234"/>
      <c r="C56" s="200"/>
      <c r="D56" s="201"/>
      <c r="E56" s="200"/>
      <c r="F56" s="218" t="e">
        <f t="shared" si="3"/>
        <v>#DIV/0!</v>
      </c>
      <c r="G56" s="189"/>
      <c r="H56" s="75"/>
      <c r="I56" s="75"/>
      <c r="J56" s="75"/>
      <c r="K56" s="75"/>
      <c r="L56" s="75"/>
      <c r="M56" s="75"/>
      <c r="N56" s="75"/>
      <c r="O56" s="75"/>
      <c r="P56" s="205">
        <f>4898012+2</f>
        <v>4898014</v>
      </c>
      <c r="Q56" s="205">
        <f>4324997+279362</f>
        <v>4604359</v>
      </c>
      <c r="R56" s="205">
        <f>3457040+185336</f>
        <v>3642376</v>
      </c>
      <c r="S56" s="178">
        <f t="shared" si="1"/>
        <v>-1255638</v>
      </c>
      <c r="T56" s="369">
        <f t="shared" si="2"/>
        <v>-0.25635655594287809</v>
      </c>
    </row>
    <row r="57" spans="1:20" ht="35.25">
      <c r="A57" s="114" t="s">
        <v>48</v>
      </c>
      <c r="B57" s="234"/>
      <c r="C57" s="200"/>
      <c r="D57" s="201"/>
      <c r="E57" s="200"/>
      <c r="F57" s="218" t="e">
        <f t="shared" si="3"/>
        <v>#DIV/0!</v>
      </c>
      <c r="G57" s="189"/>
      <c r="H57" s="75"/>
      <c r="I57" s="75"/>
      <c r="J57" s="75"/>
      <c r="K57" s="75"/>
      <c r="L57" s="75"/>
      <c r="M57" s="75"/>
      <c r="N57" s="75"/>
      <c r="O57" s="75"/>
      <c r="P57" s="244">
        <f>SUM(P49:P56)</f>
        <v>42835963.07</v>
      </c>
      <c r="Q57" s="244">
        <f>SUM(Q49:Q56)</f>
        <v>41488196</v>
      </c>
      <c r="R57" s="244">
        <f>SUM(R49:R56)</f>
        <v>40864805</v>
      </c>
      <c r="S57" s="465">
        <f t="shared" si="1"/>
        <v>-1971158.0700000003</v>
      </c>
      <c r="T57" s="390">
        <f t="shared" si="2"/>
        <v>-4.6016429390856699E-2</v>
      </c>
    </row>
    <row r="58" spans="1:20" ht="34.5">
      <c r="A58" s="117" t="s">
        <v>49</v>
      </c>
      <c r="B58" s="234"/>
      <c r="C58" s="200"/>
      <c r="D58" s="201"/>
      <c r="E58" s="200"/>
      <c r="F58" s="218">
        <v>0</v>
      </c>
      <c r="G58" s="189"/>
      <c r="H58" s="75"/>
      <c r="I58" s="75"/>
      <c r="J58" s="75"/>
      <c r="K58" s="75"/>
      <c r="L58" s="75"/>
      <c r="M58" s="75"/>
      <c r="N58" s="75"/>
      <c r="O58" s="75"/>
      <c r="P58" s="205"/>
      <c r="Q58" s="205"/>
      <c r="R58" s="205"/>
      <c r="S58" s="178"/>
      <c r="T58" s="369" t="str">
        <f t="shared" si="2"/>
        <v xml:space="preserve">  </v>
      </c>
    </row>
    <row r="59" spans="1:20" ht="34.5">
      <c r="A59" s="117" t="s">
        <v>50</v>
      </c>
      <c r="B59" s="234"/>
      <c r="C59" s="200"/>
      <c r="D59" s="201"/>
      <c r="E59" s="200"/>
      <c r="F59" s="218">
        <v>0</v>
      </c>
      <c r="G59" s="189"/>
      <c r="H59" s="75"/>
      <c r="I59" s="75"/>
      <c r="J59" s="75"/>
      <c r="K59" s="75"/>
      <c r="L59" s="75"/>
      <c r="M59" s="75"/>
      <c r="N59" s="75"/>
      <c r="O59" s="75"/>
      <c r="P59" s="205">
        <v>184357</v>
      </c>
      <c r="Q59" s="205">
        <v>0</v>
      </c>
      <c r="R59" s="205">
        <v>0</v>
      </c>
      <c r="S59" s="178">
        <f t="shared" si="1"/>
        <v>-184357</v>
      </c>
      <c r="T59" s="369">
        <f t="shared" si="2"/>
        <v>-1</v>
      </c>
    </row>
    <row r="60" spans="1:20" ht="34.5">
      <c r="A60" s="117" t="s">
        <v>51</v>
      </c>
      <c r="B60" s="234"/>
      <c r="C60" s="200"/>
      <c r="D60" s="201"/>
      <c r="E60" s="200"/>
      <c r="F60" s="218">
        <v>0</v>
      </c>
      <c r="G60" s="189"/>
      <c r="H60" s="75"/>
      <c r="I60" s="75"/>
      <c r="J60" s="75"/>
      <c r="K60" s="75"/>
      <c r="L60" s="75"/>
      <c r="M60" s="75"/>
      <c r="N60" s="75"/>
      <c r="O60" s="75"/>
      <c r="P60" s="205"/>
      <c r="Q60" s="205"/>
      <c r="R60" s="205"/>
      <c r="S60" s="178"/>
      <c r="T60" s="369" t="str">
        <f t="shared" si="2"/>
        <v xml:space="preserve">  </v>
      </c>
    </row>
    <row r="61" spans="1:20" ht="34.5">
      <c r="A61" s="150" t="s">
        <v>52</v>
      </c>
      <c r="B61" s="234"/>
      <c r="C61" s="200"/>
      <c r="D61" s="201"/>
      <c r="E61" s="200"/>
      <c r="F61" s="218">
        <v>0</v>
      </c>
      <c r="G61" s="189"/>
      <c r="H61" s="75"/>
      <c r="I61" s="75"/>
      <c r="J61" s="75"/>
      <c r="K61" s="75"/>
      <c r="L61" s="75"/>
      <c r="M61" s="75"/>
      <c r="N61" s="75"/>
      <c r="O61" s="75"/>
      <c r="P61" s="205"/>
      <c r="Q61" s="205"/>
      <c r="R61" s="205"/>
      <c r="S61" s="178"/>
      <c r="T61" s="369" t="str">
        <f t="shared" si="2"/>
        <v xml:space="preserve">  </v>
      </c>
    </row>
    <row r="62" spans="1:20" ht="36" thickBot="1">
      <c r="A62" s="119" t="s">
        <v>53</v>
      </c>
      <c r="B62" s="238"/>
      <c r="C62" s="219"/>
      <c r="D62" s="220"/>
      <c r="E62" s="219"/>
      <c r="F62" s="221" t="e">
        <f t="shared" si="3"/>
        <v>#DIV/0!</v>
      </c>
      <c r="G62" s="189"/>
      <c r="H62" s="75"/>
      <c r="I62" s="75"/>
      <c r="J62" s="75"/>
      <c r="K62" s="75"/>
      <c r="L62" s="75"/>
      <c r="M62" s="75"/>
      <c r="N62" s="75"/>
      <c r="O62" s="75"/>
      <c r="P62" s="243">
        <f>P61+P60+P59+P58+P57</f>
        <v>43020320.07</v>
      </c>
      <c r="Q62" s="243">
        <f>Q61+Q60+Q59+Q58+Q57</f>
        <v>41488196</v>
      </c>
      <c r="R62" s="243">
        <f>R61+R60+R59+R58+R57</f>
        <v>40864805</v>
      </c>
      <c r="S62" s="465">
        <f t="shared" si="1"/>
        <v>-2155515.0700000003</v>
      </c>
      <c r="T62" s="344">
        <f t="shared" si="2"/>
        <v>-5.0104580033172225E-2</v>
      </c>
    </row>
    <row r="63" spans="1:20" s="1" customFormat="1" ht="34.5">
      <c r="A63" s="126"/>
      <c r="B63" s="197"/>
      <c r="C63" s="197"/>
      <c r="D63" s="197"/>
      <c r="E63" s="197"/>
      <c r="F63" s="213"/>
      <c r="G63" s="189"/>
      <c r="H63" s="74"/>
      <c r="I63" s="74"/>
      <c r="J63" s="74"/>
      <c r="K63" s="74"/>
      <c r="L63" s="74"/>
      <c r="M63" s="74"/>
      <c r="N63" s="74"/>
      <c r="O63" s="74"/>
      <c r="P63" s="199"/>
      <c r="Q63" s="199"/>
      <c r="R63" s="199"/>
      <c r="S63" s="128"/>
      <c r="T63" s="361" t="str">
        <f>IF(ISBLANK(S63),"  ",IF(Q63&gt;0,S63/Q63,IF(S63&gt;0,1,0)))</f>
        <v xml:space="preserve">  </v>
      </c>
    </row>
    <row r="64" spans="1:20" s="1" customFormat="1" ht="36" thickBot="1">
      <c r="A64" s="119" t="s">
        <v>54</v>
      </c>
      <c r="B64" s="197"/>
      <c r="C64" s="197"/>
      <c r="D64" s="197"/>
      <c r="E64" s="197"/>
      <c r="F64" s="213"/>
      <c r="G64" s="189"/>
      <c r="H64" s="74"/>
      <c r="I64" s="74"/>
      <c r="J64" s="74"/>
      <c r="K64" s="74"/>
      <c r="L64" s="74"/>
      <c r="M64" s="74"/>
      <c r="N64" s="74"/>
      <c r="O64" s="74"/>
      <c r="P64" s="199"/>
      <c r="Q64" s="199"/>
      <c r="R64" s="199"/>
      <c r="S64" s="98"/>
      <c r="T64" s="342" t="str">
        <f>IF(ISBLANK(S64),"  ",IF(Q64&gt;0,S64/Q64,IF(S64&gt;0,1,0)))</f>
        <v xml:space="preserve">  </v>
      </c>
    </row>
    <row r="65" spans="1:20" ht="34.5">
      <c r="A65" s="30" t="s">
        <v>55</v>
      </c>
      <c r="B65" s="237"/>
      <c r="C65" s="216"/>
      <c r="D65" s="215"/>
      <c r="E65" s="216"/>
      <c r="F65" s="222" t="e">
        <f>E65/C65</f>
        <v>#DIV/0!</v>
      </c>
      <c r="G65" s="189"/>
      <c r="H65" s="75"/>
      <c r="I65" s="75"/>
      <c r="J65" s="75"/>
      <c r="K65" s="75"/>
      <c r="L65" s="75"/>
      <c r="M65" s="75"/>
      <c r="N65" s="75"/>
      <c r="O65" s="75"/>
      <c r="P65" s="206">
        <f>223731+31500+60960+17445342+4068601+217607</f>
        <v>22047741</v>
      </c>
      <c r="Q65" s="206">
        <f>189845+106650+18896461+4308671-350000</f>
        <v>23151627</v>
      </c>
      <c r="R65" s="206">
        <f>250538+18891658+4478277+30000</f>
        <v>23650473</v>
      </c>
      <c r="S65" s="178">
        <f t="shared" ref="S65:S82" si="4">R65-P65</f>
        <v>1602732</v>
      </c>
      <c r="T65" s="397">
        <f t="shared" ref="T65:T82" si="5">IF(ISBLANK(S65),"  ",IF(P65&gt;0,S65/P65,IF(S65&gt;0,1,0)))</f>
        <v>7.2693705899393501E-2</v>
      </c>
    </row>
    <row r="66" spans="1:20" ht="34.5">
      <c r="A66" s="117" t="s">
        <v>56</v>
      </c>
      <c r="B66" s="234"/>
      <c r="C66" s="201"/>
      <c r="D66" s="200"/>
      <c r="E66" s="201"/>
      <c r="F66" s="202" t="e">
        <f>E66/C66</f>
        <v>#DIV/0!</v>
      </c>
      <c r="G66" s="189"/>
      <c r="H66" s="75"/>
      <c r="I66" s="75"/>
      <c r="J66" s="75"/>
      <c r="K66" s="75"/>
      <c r="L66" s="75"/>
      <c r="M66" s="75"/>
      <c r="N66" s="75"/>
      <c r="O66" s="75"/>
      <c r="P66" s="205">
        <f>254928+915064+614117+2969-19161</f>
        <v>1767917</v>
      </c>
      <c r="Q66" s="205">
        <f>763307+349475-8702</f>
        <v>1104080</v>
      </c>
      <c r="R66" s="205">
        <f>751307+403475</f>
        <v>1154782</v>
      </c>
      <c r="S66" s="178">
        <f t="shared" si="4"/>
        <v>-613135</v>
      </c>
      <c r="T66" s="369">
        <f t="shared" si="5"/>
        <v>-0.3468120958167154</v>
      </c>
    </row>
    <row r="67" spans="1:20" ht="34.5">
      <c r="A67" s="117" t="s">
        <v>57</v>
      </c>
      <c r="B67" s="234"/>
      <c r="C67" s="201"/>
      <c r="D67" s="200"/>
      <c r="E67" s="201"/>
      <c r="F67" s="202" t="e">
        <f>E67/C67</f>
        <v>#DIV/0!</v>
      </c>
      <c r="G67" s="189"/>
      <c r="H67" s="75"/>
      <c r="I67" s="75"/>
      <c r="J67" s="75"/>
      <c r="K67" s="75"/>
      <c r="L67" s="75"/>
      <c r="M67" s="75"/>
      <c r="N67" s="75"/>
      <c r="O67" s="75"/>
      <c r="P67" s="205">
        <f>86133+15196+9773+4706875+1748043</f>
        <v>6566020</v>
      </c>
      <c r="Q67" s="205">
        <f>5070929+1857034</f>
        <v>6927963</v>
      </c>
      <c r="R67" s="205">
        <f>4980768+1957677</f>
        <v>6938445</v>
      </c>
      <c r="S67" s="178">
        <f t="shared" si="4"/>
        <v>372425</v>
      </c>
      <c r="T67" s="369">
        <f t="shared" si="5"/>
        <v>5.6720052634624936E-2</v>
      </c>
    </row>
    <row r="68" spans="1:20" ht="35.25">
      <c r="A68" s="175" t="s">
        <v>58</v>
      </c>
      <c r="B68" s="239"/>
      <c r="C68" s="224"/>
      <c r="D68" s="223"/>
      <c r="E68" s="224"/>
      <c r="F68" s="225" t="e">
        <f>E68/C68</f>
        <v>#DIV/0!</v>
      </c>
      <c r="G68" s="189"/>
      <c r="H68" s="75"/>
      <c r="I68" s="75"/>
      <c r="J68" s="75"/>
      <c r="K68" s="75"/>
      <c r="L68" s="75"/>
      <c r="M68" s="75"/>
      <c r="N68" s="75"/>
      <c r="O68" s="75"/>
      <c r="P68" s="245">
        <f>SUM(P65:P67)</f>
        <v>30381678</v>
      </c>
      <c r="Q68" s="245">
        <f>SUM(Q65:Q67)</f>
        <v>31183670</v>
      </c>
      <c r="R68" s="245">
        <f>SUM(R65:R67)</f>
        <v>31743700</v>
      </c>
      <c r="S68" s="465">
        <f t="shared" si="4"/>
        <v>1362022</v>
      </c>
      <c r="T68" s="390">
        <f t="shared" si="5"/>
        <v>4.4830374411841241E-2</v>
      </c>
    </row>
    <row r="69" spans="1:20" ht="34.5">
      <c r="A69" s="151" t="s">
        <v>59</v>
      </c>
      <c r="B69" s="234"/>
      <c r="C69" s="201"/>
      <c r="D69" s="200"/>
      <c r="E69" s="201"/>
      <c r="F69" s="202" t="e">
        <f>E69/C69</f>
        <v>#DIV/0!</v>
      </c>
      <c r="G69" s="189"/>
      <c r="H69" s="75"/>
      <c r="I69" s="75"/>
      <c r="J69" s="75"/>
      <c r="K69" s="75"/>
      <c r="L69" s="75"/>
      <c r="M69" s="75"/>
      <c r="N69" s="75"/>
      <c r="O69" s="75"/>
      <c r="P69" s="205">
        <f>252662+37299</f>
        <v>289961</v>
      </c>
      <c r="Q69" s="205">
        <v>134230</v>
      </c>
      <c r="R69" s="205">
        <v>58800</v>
      </c>
      <c r="S69" s="178">
        <f t="shared" si="4"/>
        <v>-231161</v>
      </c>
      <c r="T69" s="369">
        <f t="shared" si="5"/>
        <v>-0.79721410810419335</v>
      </c>
    </row>
    <row r="70" spans="1:20" ht="34.5">
      <c r="A70" s="151" t="s">
        <v>60</v>
      </c>
      <c r="B70" s="234"/>
      <c r="C70" s="201"/>
      <c r="D70" s="200"/>
      <c r="E70" s="201"/>
      <c r="F70" s="202" t="e">
        <f>E70/D70</f>
        <v>#DIV/0!</v>
      </c>
      <c r="G70" s="189"/>
      <c r="H70" s="75"/>
      <c r="I70" s="75"/>
      <c r="J70" s="75"/>
      <c r="K70" s="75"/>
      <c r="L70" s="75"/>
      <c r="M70" s="75"/>
      <c r="N70" s="75"/>
      <c r="O70" s="75"/>
      <c r="P70" s="205">
        <f>4685349+371325+1699173-1801211</f>
        <v>4954636</v>
      </c>
      <c r="Q70" s="205">
        <f>4426221+151500+1930000-1394396</f>
        <v>5113325</v>
      </c>
      <c r="R70" s="205">
        <f>4272432+176500+1400000-1403192</f>
        <v>4445740</v>
      </c>
      <c r="S70" s="178">
        <f t="shared" si="4"/>
        <v>-508896</v>
      </c>
      <c r="T70" s="369">
        <f t="shared" si="5"/>
        <v>-0.10271107705994952</v>
      </c>
    </row>
    <row r="71" spans="1:20" ht="34.5">
      <c r="A71" s="176" t="s">
        <v>61</v>
      </c>
      <c r="B71" s="234"/>
      <c r="C71" s="201"/>
      <c r="D71" s="200"/>
      <c r="E71" s="201"/>
      <c r="F71" s="202" t="e">
        <f>E71/C71</f>
        <v>#DIV/0!</v>
      </c>
      <c r="G71" s="189"/>
      <c r="H71" s="75"/>
      <c r="I71" s="75"/>
      <c r="J71" s="75"/>
      <c r="K71" s="75"/>
      <c r="L71" s="75"/>
      <c r="M71" s="75"/>
      <c r="N71" s="75"/>
      <c r="O71" s="75"/>
      <c r="P71" s="205">
        <v>4407277</v>
      </c>
      <c r="Q71" s="205">
        <v>3748971</v>
      </c>
      <c r="R71" s="205">
        <v>3609841</v>
      </c>
      <c r="S71" s="178">
        <f t="shared" si="4"/>
        <v>-797436</v>
      </c>
      <c r="T71" s="369">
        <f t="shared" si="5"/>
        <v>-0.18093621072603333</v>
      </c>
    </row>
    <row r="72" spans="1:20" ht="35.25">
      <c r="A72" s="114" t="s">
        <v>62</v>
      </c>
      <c r="B72" s="234"/>
      <c r="C72" s="201"/>
      <c r="D72" s="200"/>
      <c r="E72" s="201"/>
      <c r="F72" s="202" t="e">
        <f>E72/C72</f>
        <v>#DIV/0!</v>
      </c>
      <c r="G72" s="189"/>
      <c r="H72" s="75"/>
      <c r="I72" s="75"/>
      <c r="J72" s="75"/>
      <c r="K72" s="75"/>
      <c r="L72" s="75"/>
      <c r="M72" s="75"/>
      <c r="N72" s="75"/>
      <c r="O72" s="75"/>
      <c r="P72" s="244">
        <f>SUM(P69:P71)</f>
        <v>9651874</v>
      </c>
      <c r="Q72" s="244">
        <f>SUM(Q69:Q71)</f>
        <v>8996526</v>
      </c>
      <c r="R72" s="244">
        <f>SUM(R69:R71)</f>
        <v>8114381</v>
      </c>
      <c r="S72" s="465">
        <f t="shared" si="4"/>
        <v>-1537493</v>
      </c>
      <c r="T72" s="390">
        <f t="shared" si="5"/>
        <v>-0.15929476493373204</v>
      </c>
    </row>
    <row r="73" spans="1:20" ht="34.5">
      <c r="A73" s="117" t="s">
        <v>63</v>
      </c>
      <c r="B73" s="234"/>
      <c r="C73" s="201"/>
      <c r="D73" s="200"/>
      <c r="E73" s="201"/>
      <c r="F73" s="226">
        <v>0</v>
      </c>
      <c r="G73" s="189"/>
      <c r="H73" s="75"/>
      <c r="I73" s="75"/>
      <c r="J73" s="75"/>
      <c r="K73" s="75"/>
      <c r="L73" s="75"/>
      <c r="M73" s="75"/>
      <c r="N73" s="75"/>
      <c r="O73" s="75"/>
      <c r="P73" s="205">
        <v>172469</v>
      </c>
      <c r="Q73" s="205">
        <v>20000</v>
      </c>
      <c r="R73" s="205">
        <v>20000</v>
      </c>
      <c r="S73" s="178">
        <f t="shared" si="4"/>
        <v>-152469</v>
      </c>
      <c r="T73" s="369">
        <f t="shared" si="5"/>
        <v>-0.88403713131055439</v>
      </c>
    </row>
    <row r="74" spans="1:20" ht="34.5">
      <c r="A74" s="126" t="s">
        <v>64</v>
      </c>
      <c r="B74" s="234"/>
      <c r="C74" s="201"/>
      <c r="D74" s="200"/>
      <c r="E74" s="201"/>
      <c r="F74" s="202" t="e">
        <f>E74/C74</f>
        <v>#DIV/0!</v>
      </c>
      <c r="G74" s="189"/>
      <c r="H74" s="75"/>
      <c r="I74" s="75"/>
      <c r="J74" s="75"/>
      <c r="K74" s="75"/>
      <c r="L74" s="75"/>
      <c r="M74" s="75"/>
      <c r="N74" s="75"/>
      <c r="O74" s="75"/>
      <c r="P74" s="205">
        <f>40464+229673+184357</f>
        <v>454494</v>
      </c>
      <c r="Q74" s="205">
        <f>18000+280000</f>
        <v>298000</v>
      </c>
      <c r="R74" s="205">
        <f>12000+260000</f>
        <v>272000</v>
      </c>
      <c r="S74" s="178">
        <f t="shared" si="4"/>
        <v>-182494</v>
      </c>
      <c r="T74" s="369">
        <f t="shared" si="5"/>
        <v>-0.40153225345109067</v>
      </c>
    </row>
    <row r="75" spans="1:20" ht="34.5">
      <c r="A75" s="117" t="s">
        <v>65</v>
      </c>
      <c r="B75" s="234"/>
      <c r="C75" s="201"/>
      <c r="D75" s="200"/>
      <c r="E75" s="201"/>
      <c r="F75" s="202">
        <v>0</v>
      </c>
      <c r="G75" s="189"/>
      <c r="H75" s="75"/>
      <c r="I75" s="75"/>
      <c r="J75" s="75"/>
      <c r="K75" s="75"/>
      <c r="L75" s="75"/>
      <c r="M75" s="75"/>
      <c r="N75" s="75"/>
      <c r="O75" s="75"/>
      <c r="P75" s="205"/>
      <c r="Q75" s="205"/>
      <c r="R75" s="205"/>
      <c r="S75" s="178"/>
      <c r="T75" s="369" t="str">
        <f t="shared" si="5"/>
        <v xml:space="preserve">  </v>
      </c>
    </row>
    <row r="76" spans="1:20" ht="34.5">
      <c r="A76" s="117" t="s">
        <v>66</v>
      </c>
      <c r="B76" s="234"/>
      <c r="C76" s="201"/>
      <c r="D76" s="200"/>
      <c r="E76" s="201"/>
      <c r="F76" s="202">
        <v>0</v>
      </c>
      <c r="G76" s="189"/>
      <c r="H76" s="75"/>
      <c r="I76" s="75"/>
      <c r="J76" s="75"/>
      <c r="K76" s="75"/>
      <c r="L76" s="75"/>
      <c r="M76" s="75"/>
      <c r="N76" s="75"/>
      <c r="O76" s="75"/>
      <c r="P76" s="205"/>
      <c r="Q76" s="205"/>
      <c r="R76" s="205"/>
      <c r="S76" s="178"/>
      <c r="T76" s="369" t="str">
        <f t="shared" si="5"/>
        <v xml:space="preserve">  </v>
      </c>
    </row>
    <row r="77" spans="1:20" ht="35.25">
      <c r="A77" s="114" t="s">
        <v>67</v>
      </c>
      <c r="B77" s="234"/>
      <c r="C77" s="201"/>
      <c r="D77" s="200"/>
      <c r="E77" s="201"/>
      <c r="F77" s="202" t="e">
        <f>E77/C77</f>
        <v>#DIV/0!</v>
      </c>
      <c r="G77" s="189"/>
      <c r="H77" s="75"/>
      <c r="I77" s="75"/>
      <c r="J77" s="75"/>
      <c r="K77" s="75"/>
      <c r="L77" s="75"/>
      <c r="M77" s="75"/>
      <c r="N77" s="75"/>
      <c r="O77" s="75"/>
      <c r="P77" s="244">
        <f>SUM(P73:P76)</f>
        <v>626963</v>
      </c>
      <c r="Q77" s="244">
        <f>SUM(Q73:Q76)</f>
        <v>318000</v>
      </c>
      <c r="R77" s="244">
        <f>SUM(R73:R76)</f>
        <v>292000</v>
      </c>
      <c r="S77" s="465">
        <f t="shared" si="4"/>
        <v>-334963</v>
      </c>
      <c r="T77" s="390">
        <f t="shared" si="5"/>
        <v>-0.53426278743721722</v>
      </c>
    </row>
    <row r="78" spans="1:20" ht="34.5">
      <c r="A78" s="117" t="s">
        <v>68</v>
      </c>
      <c r="B78" s="234"/>
      <c r="C78" s="201"/>
      <c r="D78" s="200"/>
      <c r="E78" s="201"/>
      <c r="F78" s="202" t="e">
        <f>E78/C78</f>
        <v>#DIV/0!</v>
      </c>
      <c r="G78" s="189"/>
      <c r="H78" s="75"/>
      <c r="I78" s="75"/>
      <c r="J78" s="75"/>
      <c r="K78" s="75"/>
      <c r="L78" s="75"/>
      <c r="M78" s="75"/>
      <c r="N78" s="75"/>
      <c r="O78" s="75"/>
      <c r="P78" s="205">
        <f>328406+1589626+440423+1350-P79</f>
        <v>1919316.1</v>
      </c>
      <c r="Q78" s="205">
        <f>990000-Q79</f>
        <v>560000</v>
      </c>
      <c r="R78" s="205">
        <f>714724-R79</f>
        <v>301924</v>
      </c>
      <c r="S78" s="178">
        <f t="shared" si="4"/>
        <v>-1617392.1</v>
      </c>
      <c r="T78" s="369">
        <f t="shared" si="5"/>
        <v>-0.84269188384341698</v>
      </c>
    </row>
    <row r="79" spans="1:20" ht="34.5">
      <c r="A79" s="117" t="s">
        <v>69</v>
      </c>
      <c r="B79" s="234"/>
      <c r="C79" s="201"/>
      <c r="D79" s="200"/>
      <c r="E79" s="201"/>
      <c r="F79" s="202" t="e">
        <f>E79/C79</f>
        <v>#DIV/0!</v>
      </c>
      <c r="G79" s="189"/>
      <c r="H79" s="75"/>
      <c r="I79" s="75"/>
      <c r="J79" s="75"/>
      <c r="K79" s="75"/>
      <c r="L79" s="75"/>
      <c r="M79" s="75"/>
      <c r="N79" s="75"/>
      <c r="O79" s="75"/>
      <c r="P79" s="205">
        <v>440488.9</v>
      </c>
      <c r="Q79" s="205">
        <v>430000</v>
      </c>
      <c r="R79" s="205">
        <v>412800</v>
      </c>
      <c r="S79" s="178">
        <f t="shared" si="4"/>
        <v>-27688.900000000023</v>
      </c>
      <c r="T79" s="369">
        <f t="shared" si="5"/>
        <v>-6.2859472735862412E-2</v>
      </c>
    </row>
    <row r="80" spans="1:20" ht="34.5">
      <c r="A80" s="117" t="s">
        <v>70</v>
      </c>
      <c r="B80" s="234"/>
      <c r="C80" s="201"/>
      <c r="D80" s="200"/>
      <c r="E80" s="201"/>
      <c r="F80" s="202">
        <v>0</v>
      </c>
      <c r="G80" s="189"/>
      <c r="H80" s="75"/>
      <c r="I80" s="75"/>
      <c r="J80" s="75"/>
      <c r="K80" s="75"/>
      <c r="L80" s="75"/>
      <c r="M80" s="75"/>
      <c r="N80" s="75"/>
      <c r="O80" s="75"/>
      <c r="P80" s="205"/>
      <c r="Q80" s="205"/>
      <c r="R80" s="205"/>
      <c r="S80" s="178"/>
      <c r="T80" s="369" t="str">
        <f t="shared" si="5"/>
        <v xml:space="preserve">  </v>
      </c>
    </row>
    <row r="81" spans="1:20" ht="35.25">
      <c r="A81" s="114" t="s">
        <v>71</v>
      </c>
      <c r="B81" s="234"/>
      <c r="C81" s="201"/>
      <c r="D81" s="200"/>
      <c r="E81" s="201"/>
      <c r="F81" s="202" t="e">
        <f>E81/C81</f>
        <v>#DIV/0!</v>
      </c>
      <c r="G81" s="189"/>
      <c r="H81" s="75"/>
      <c r="I81" s="75"/>
      <c r="J81" s="75"/>
      <c r="K81" s="75"/>
      <c r="L81" s="75"/>
      <c r="M81" s="75"/>
      <c r="N81" s="75"/>
      <c r="O81" s="75"/>
      <c r="P81" s="243">
        <f>SUM(P78:P80)</f>
        <v>2359805</v>
      </c>
      <c r="Q81" s="243">
        <f>SUM(Q78:Q80)</f>
        <v>990000</v>
      </c>
      <c r="R81" s="243">
        <f>SUM(R78:R80)</f>
        <v>714724</v>
      </c>
      <c r="S81" s="465">
        <f t="shared" si="4"/>
        <v>-1645081</v>
      </c>
      <c r="T81" s="390">
        <f t="shared" si="5"/>
        <v>-0.6971258218369738</v>
      </c>
    </row>
    <row r="82" spans="1:20" ht="36" thickBot="1">
      <c r="A82" s="164" t="s">
        <v>53</v>
      </c>
      <c r="B82" s="238"/>
      <c r="C82" s="227"/>
      <c r="D82" s="228"/>
      <c r="E82" s="229"/>
      <c r="F82" s="230">
        <v>0</v>
      </c>
      <c r="G82" s="189"/>
      <c r="H82" s="75"/>
      <c r="I82" s="75"/>
      <c r="J82" s="75"/>
      <c r="K82" s="75"/>
      <c r="L82" s="75"/>
      <c r="M82" s="75"/>
      <c r="N82" s="75"/>
      <c r="O82" s="75"/>
      <c r="P82" s="243">
        <f>P81+P77+P72+P68</f>
        <v>43020320</v>
      </c>
      <c r="Q82" s="243">
        <f>Q81+Q77+Q72+Q68</f>
        <v>41488196</v>
      </c>
      <c r="R82" s="243">
        <f>R81+R77+R72+R68</f>
        <v>40864805</v>
      </c>
      <c r="S82" s="466">
        <f t="shared" si="4"/>
        <v>-2155515</v>
      </c>
      <c r="T82" s="348">
        <f t="shared" si="5"/>
        <v>-5.0104578487561224E-2</v>
      </c>
    </row>
    <row r="83" spans="1:20" ht="38.25" customHeight="1">
      <c r="A83" s="251"/>
      <c r="B83" s="242"/>
      <c r="C83" s="9"/>
      <c r="D83" s="9"/>
      <c r="E83" s="9"/>
      <c r="F83" s="10" t="e">
        <f>E83/C83</f>
        <v>#DIV/0!</v>
      </c>
      <c r="G83" s="11"/>
      <c r="P83" s="13"/>
      <c r="Q83" s="13"/>
      <c r="R83" s="13"/>
      <c r="S83" s="13"/>
      <c r="T83" s="380" t="s">
        <v>35</v>
      </c>
    </row>
    <row r="84" spans="1:20">
      <c r="A84" s="1"/>
      <c r="B84" s="8"/>
      <c r="C84" s="8"/>
      <c r="D84" s="8"/>
      <c r="E84" s="8"/>
      <c r="F84" s="4" t="s">
        <v>35</v>
      </c>
    </row>
    <row r="85" spans="1:20">
      <c r="A85" s="1"/>
      <c r="B85" s="8"/>
      <c r="C85" s="8"/>
      <c r="D85" s="8"/>
      <c r="E85" s="8"/>
      <c r="F85" s="4"/>
    </row>
    <row r="86" spans="1:20" ht="44.25">
      <c r="A86" s="44" t="s">
        <v>96</v>
      </c>
      <c r="T86" s="320"/>
    </row>
    <row r="87" spans="1:20" ht="44.25">
      <c r="A87" s="44" t="s">
        <v>72</v>
      </c>
      <c r="F87" s="5"/>
      <c r="T87" s="320"/>
    </row>
    <row r="88" spans="1:20">
      <c r="A88" s="2" t="s">
        <v>35</v>
      </c>
      <c r="F88" s="5"/>
      <c r="T88" s="320"/>
    </row>
    <row r="89" spans="1:20">
      <c r="F89" s="5"/>
      <c r="T89" s="320"/>
    </row>
    <row r="90" spans="1:20">
      <c r="F90" s="5"/>
      <c r="T90" s="320"/>
    </row>
    <row r="91" spans="1:20">
      <c r="F91" s="5"/>
      <c r="T91" s="320"/>
    </row>
    <row r="92" spans="1:20">
      <c r="F92" s="5"/>
      <c r="T92" s="320"/>
    </row>
    <row r="93" spans="1:20">
      <c r="F93" s="5"/>
      <c r="T93" s="320"/>
    </row>
    <row r="94" spans="1:20">
      <c r="F94" s="5"/>
      <c r="T94" s="320"/>
    </row>
    <row r="95" spans="1:20">
      <c r="F95" s="5"/>
    </row>
    <row r="97" spans="1:6">
      <c r="A97" s="2" t="str">
        <f>A8</f>
        <v xml:space="preserve">     General Fund Direct</v>
      </c>
      <c r="B97" s="2">
        <f>B8</f>
        <v>0</v>
      </c>
      <c r="C97" s="2">
        <f>C8</f>
        <v>0</v>
      </c>
      <c r="D97" s="2">
        <f>D8</f>
        <v>0</v>
      </c>
      <c r="E97" s="2"/>
      <c r="F97" s="6"/>
    </row>
    <row r="98" spans="1:6">
      <c r="A98" s="2" t="str">
        <f>A10</f>
        <v xml:space="preserve">     Statutory Dedicated: </v>
      </c>
      <c r="B98" s="2">
        <f>B10</f>
        <v>0</v>
      </c>
      <c r="C98" s="2">
        <f>C10</f>
        <v>0</v>
      </c>
      <c r="D98" s="2">
        <f>D10</f>
        <v>0</v>
      </c>
      <c r="E98" s="2"/>
      <c r="F98" s="6"/>
    </row>
    <row r="99" spans="1:6">
      <c r="A99" s="2" t="str">
        <f>A35</f>
        <v>Interagency Transfers</v>
      </c>
      <c r="B99" s="2">
        <f>B35</f>
        <v>0</v>
      </c>
      <c r="C99" s="2">
        <f>C35</f>
        <v>0</v>
      </c>
      <c r="D99" s="2">
        <f>D35</f>
        <v>0</v>
      </c>
      <c r="E99" s="2"/>
      <c r="F99" s="6"/>
    </row>
    <row r="100" spans="1:6">
      <c r="A100" s="2" t="str">
        <f>A39</f>
        <v>Self Generated Funds</v>
      </c>
      <c r="B100" s="2">
        <f>B39</f>
        <v>0</v>
      </c>
      <c r="C100" s="2">
        <f>C39</f>
        <v>0</v>
      </c>
      <c r="D100" s="2">
        <f>D39</f>
        <v>0</v>
      </c>
      <c r="E100" s="2"/>
      <c r="F100" s="6"/>
    </row>
    <row r="101" spans="1:6">
      <c r="A101" s="2" t="str">
        <f>A41</f>
        <v>Federal Funds</v>
      </c>
      <c r="B101" s="2">
        <f>B41</f>
        <v>0</v>
      </c>
      <c r="C101" s="2">
        <f>C41</f>
        <v>0</v>
      </c>
      <c r="D101" s="2">
        <f>D41</f>
        <v>0</v>
      </c>
      <c r="E101" s="2"/>
      <c r="F101" s="6"/>
    </row>
    <row r="102" spans="1:6">
      <c r="A102" s="2" t="str">
        <f>A45</f>
        <v>Total Revenues</v>
      </c>
      <c r="B102" s="2">
        <f>B45</f>
        <v>0</v>
      </c>
      <c r="C102" s="2">
        <f>C45</f>
        <v>0</v>
      </c>
      <c r="D102" s="2">
        <f>D45</f>
        <v>0</v>
      </c>
      <c r="E102" s="2"/>
      <c r="F102" s="6"/>
    </row>
  </sheetData>
  <phoneticPr fontId="5" type="noConversion"/>
  <printOptions horizontalCentered="1"/>
  <pageMargins left="0.45" right="0.45" top="0.5" bottom="0.5" header="0.3" footer="0.3"/>
  <pageSetup scale="23" pageOrder="overThenDown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opLeftCell="A61" zoomScale="30" zoomScaleNormal="70" workbookViewId="0">
      <selection activeCell="C5" sqref="C5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2" width="8.88671875" style="16"/>
    <col min="13" max="13" width="16.44140625" style="16" bestFit="1" customWidth="1"/>
    <col min="14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306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 t="s">
        <v>35</v>
      </c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f ca="1">SUBR!B8+SUNO!B8+SUSBO!B8+SUAG!B8+SULAW!B8+SUBOS!B8</f>
        <v>88160865</v>
      </c>
      <c r="C8" s="92">
        <f ca="1">SUBR!C8+SUNO!C8+SUSBO!C8+SUAG!C8+SULAW!C8+SUBOS!C8</f>
        <v>88160865</v>
      </c>
      <c r="D8" s="92">
        <f ca="1">SUBR!D8+SUNO!D8+SUSBO!D8+SUAG!D8+SULAW!D8+SUBOS!D8</f>
        <v>60269875</v>
      </c>
      <c r="E8" s="178">
        <f>D8-B8</f>
        <v>-27890990</v>
      </c>
      <c r="F8" s="397">
        <f>IF(ISBLANK(E8),"  ",IF(B8&gt;0,E8/B8,IF(E8&gt;0,1,0)))</f>
        <v>-0.3163647498240858</v>
      </c>
      <c r="G8" s="24"/>
      <c r="H8" s="24"/>
      <c r="I8" s="24"/>
      <c r="J8" s="24"/>
    </row>
    <row r="9" spans="1:10" ht="34.5">
      <c r="A9" s="153" t="s">
        <v>87</v>
      </c>
      <c r="B9" s="93">
        <f ca="1">SUBR!B9+SUNO!B9+SUSBO!B9+SUAG!B9+SULAW!B9+SUBOS!B9</f>
        <v>0</v>
      </c>
      <c r="C9" s="93">
        <f ca="1">SUBR!C9+SUNO!C9+SUSBO!C9+SUAG!C9+SULAW!C9+SUBOS!C9</f>
        <v>0</v>
      </c>
      <c r="D9" s="93">
        <f ca="1">SUBR!D9+SUNO!D9+SUSBO!D9+SUAG!D9+SULAW!D9+SUBOS!D9</f>
        <v>5847977</v>
      </c>
      <c r="E9" s="178">
        <f>D9-B9</f>
        <v>5847977</v>
      </c>
      <c r="F9" s="369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 ca="1">SUBR!B10+SUNO!B10+SUSBO!B10+SUAG!B10+SULAW!B10+SUBOS!B10</f>
        <v>5525818.8300000001</v>
      </c>
      <c r="C10" s="93">
        <f ca="1">SUM(C11:C25)</f>
        <v>5631027</v>
      </c>
      <c r="D10" s="93">
        <f ca="1">SUM(D11:D25)</f>
        <v>5302514</v>
      </c>
      <c r="E10" s="93">
        <f>D10-C10</f>
        <v>-328513</v>
      </c>
      <c r="F10" s="369">
        <f t="shared" si="0"/>
        <v>-5.9450555674479107E-2</v>
      </c>
      <c r="G10" s="24"/>
      <c r="H10" s="24"/>
      <c r="I10" s="24"/>
      <c r="J10" s="24"/>
    </row>
    <row r="11" spans="1:10" ht="34.5">
      <c r="A11" s="30" t="s">
        <v>16</v>
      </c>
      <c r="B11" s="93">
        <f ca="1">SUBR!B11+SUNO!B11+SUSBO!B11+SUAG!B11+SULAW!B11+SUBOS!B11</f>
        <v>0</v>
      </c>
      <c r="C11" s="93">
        <f ca="1">SUBR!C11+SUNO!C11+SUSBO!C11+SUAG!C11+SULAW!C11+SUBOS!C11</f>
        <v>0</v>
      </c>
      <c r="D11" s="93">
        <f ca="1">SUBR!D11+SUNO!D11+SUSBO!D11+SUAG!D11+SULAW!D11+SUBOS!D11</f>
        <v>475816</v>
      </c>
      <c r="E11" s="178">
        <f t="shared" ref="E11:E31" si="1">D11-B11</f>
        <v>475816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 ca="1">SUBR!B12+SUNO!B12+SUSBO!B12+SUAG!B12+SULAW!B12+SUBOS!B12</f>
        <v>3393318.83</v>
      </c>
      <c r="C12" s="93">
        <f ca="1">SUBR!C12+SUNO!C12+SUSBO!C12+SUAG!C12+SULAW!C12+SUBOS!C12</f>
        <v>3498527</v>
      </c>
      <c r="D12" s="93">
        <f ca="1">SUBR!D12+SUNO!D12+SUSBO!D12+SUAG!D12+SULAW!D12+SUBOS!D12</f>
        <v>3026698</v>
      </c>
      <c r="E12" s="178">
        <f t="shared" si="1"/>
        <v>-366620.83000000007</v>
      </c>
      <c r="F12" s="369">
        <f t="shared" si="0"/>
        <v>-0.10804196374320654</v>
      </c>
      <c r="G12" s="24"/>
      <c r="H12" s="24"/>
      <c r="I12" s="24"/>
      <c r="J12" s="24"/>
    </row>
    <row r="13" spans="1:10" ht="34.5">
      <c r="A13" s="31" t="s">
        <v>18</v>
      </c>
      <c r="B13" s="93">
        <f ca="1">SUBR!B13+SUNO!B13+SUSBO!B13+SUAG!B13+SULAW!B13+SUBOS!B13</f>
        <v>1000000</v>
      </c>
      <c r="C13" s="93">
        <f ca="1">SUBR!C13+SUNO!C13+SUSBO!C13+SUAG!C13+SULAW!C13+SUBOS!C13</f>
        <v>1000000</v>
      </c>
      <c r="D13" s="93">
        <f ca="1">SUBR!D13+SUNO!D13+SUSBO!D13+SUAG!D13+SULAW!D13+SUBOS!D13</f>
        <v>1000000</v>
      </c>
      <c r="E13" s="178">
        <f t="shared" si="1"/>
        <v>0</v>
      </c>
      <c r="F13" s="369">
        <f t="shared" si="0"/>
        <v>0</v>
      </c>
      <c r="G13" s="24"/>
      <c r="H13" s="24"/>
      <c r="I13" s="24"/>
      <c r="J13" s="24"/>
    </row>
    <row r="14" spans="1:10" ht="34.5">
      <c r="A14" s="31" t="s">
        <v>19</v>
      </c>
      <c r="B14" s="93">
        <f ca="1">SUBR!B14+SUNO!B14+SUSBO!B14+SUAG!B14+SULAW!B14+SUBOS!B14</f>
        <v>0</v>
      </c>
      <c r="C14" s="93">
        <f ca="1">SUBR!C14+SUNO!C14+SUSBO!C14+SUAG!C14+SULAW!C14+SUBOS!C14</f>
        <v>0</v>
      </c>
      <c r="D14" s="93">
        <f ca="1">SUBR!D14+SUNO!D14+SUSBO!D14+SUAG!D14+SULAW!D14+SUBOS!D14</f>
        <v>0</v>
      </c>
      <c r="E14" s="178">
        <f t="shared" si="1"/>
        <v>0</v>
      </c>
      <c r="F14" s="369">
        <f t="shared" si="0"/>
        <v>0</v>
      </c>
      <c r="G14" s="24"/>
      <c r="H14" s="24"/>
      <c r="I14" s="24"/>
      <c r="J14" s="24"/>
    </row>
    <row r="15" spans="1:10" ht="34.5">
      <c r="A15" s="31" t="s">
        <v>20</v>
      </c>
      <c r="B15" s="93">
        <f ca="1">SUBR!B15+SUNO!B15+SUSBO!B15+SUAG!B15+SULAW!B15+SUBOS!B15</f>
        <v>0</v>
      </c>
      <c r="C15" s="93">
        <f ca="1">SUBR!C15+SUNO!C15+SUSBO!C15+SUAG!C15+SULAW!C15+SUBOS!C15</f>
        <v>0</v>
      </c>
      <c r="D15" s="93">
        <f ca="1">SUBR!D15+SUNO!D15+SUSBO!D15+SUAG!D15+SULAW!D15+SUBOS!D15</f>
        <v>0</v>
      </c>
      <c r="E15" s="178">
        <f t="shared" si="1"/>
        <v>0</v>
      </c>
      <c r="F15" s="369">
        <f t="shared" si="0"/>
        <v>0</v>
      </c>
      <c r="G15" s="24"/>
      <c r="H15" s="24"/>
      <c r="I15" s="24"/>
      <c r="J15" s="24"/>
    </row>
    <row r="16" spans="1:10" ht="34.5">
      <c r="A16" s="31" t="s">
        <v>21</v>
      </c>
      <c r="B16" s="93">
        <f ca="1">SUBR!B16+SUNO!B16+SUSBO!B16+SUAG!B16+SULAW!B16+SUBOS!B16</f>
        <v>50000</v>
      </c>
      <c r="C16" s="93">
        <f ca="1">SUBR!C16+SUNO!C16+SUSBO!C16+SUAG!C16+SULAW!C16+SUBOS!C16</f>
        <v>50000</v>
      </c>
      <c r="D16" s="93">
        <f ca="1">SUBR!D16+SUNO!D16+SUSBO!D16+SUAG!D16+SULAW!D16+SUBOS!D16</f>
        <v>50000</v>
      </c>
      <c r="E16" s="178">
        <f t="shared" si="1"/>
        <v>0</v>
      </c>
      <c r="F16" s="369">
        <f t="shared" si="0"/>
        <v>0</v>
      </c>
      <c r="G16" s="24"/>
      <c r="H16" s="24"/>
      <c r="I16" s="24"/>
      <c r="J16" s="24"/>
    </row>
    <row r="17" spans="1:13" ht="34.5">
      <c r="A17" s="31" t="s">
        <v>22</v>
      </c>
      <c r="B17" s="93">
        <f ca="1">SUBR!B17+SUNO!B17+SUSBO!B17+SUAG!B17+SULAW!B17+SUBOS!B17</f>
        <v>750000</v>
      </c>
      <c r="C17" s="93">
        <f ca="1">SUBR!C17+SUNO!C17+SUSBO!C17+SUAG!C17+SULAW!C17+SUBOS!C17</f>
        <v>750000</v>
      </c>
      <c r="D17" s="93">
        <f ca="1">SUBR!D17+SUNO!D17+SUSBO!D17+SUAG!D17+SULAW!D17+SUBOS!D17</f>
        <v>750000</v>
      </c>
      <c r="E17" s="178">
        <f t="shared" si="1"/>
        <v>0</v>
      </c>
      <c r="F17" s="369">
        <f t="shared" si="0"/>
        <v>0</v>
      </c>
      <c r="G17" s="24"/>
      <c r="H17" s="24"/>
    </row>
    <row r="18" spans="1:13" ht="34.5">
      <c r="A18" s="31" t="s">
        <v>23</v>
      </c>
      <c r="B18" s="93">
        <f ca="1">SUBR!B18+SUNO!B18+SUSBO!B18+SUAG!B18+SULAW!B18+SUBOS!B18</f>
        <v>0</v>
      </c>
      <c r="C18" s="93">
        <f ca="1">SUBR!C18+SUNO!C18+SUSBO!C18+SUAG!C18+SULAW!C18+SUBOS!C18</f>
        <v>0</v>
      </c>
      <c r="D18" s="93">
        <f ca="1">SUBR!D18+SUNO!D18+SUSBO!D18+SUAG!D18+SULAW!D18+SUBOS!D18</f>
        <v>0</v>
      </c>
      <c r="E18" s="178">
        <f t="shared" si="1"/>
        <v>0</v>
      </c>
      <c r="F18" s="369">
        <f t="shared" si="0"/>
        <v>0</v>
      </c>
      <c r="G18" s="24"/>
      <c r="H18" s="24"/>
    </row>
    <row r="19" spans="1:13" ht="34.5">
      <c r="A19" s="31" t="s">
        <v>24</v>
      </c>
      <c r="B19" s="93">
        <f ca="1">SUBR!B19+SUNO!B19+SUSBO!B19+SUAG!B19+SULAW!B19+SUBOS!B19</f>
        <v>0</v>
      </c>
      <c r="C19" s="93">
        <f ca="1">SUBR!C19+SUNO!C19+SUSBO!C19+SUAG!C19+SULAW!C19+SUBOS!C19</f>
        <v>0</v>
      </c>
      <c r="D19" s="93">
        <f ca="1">SUBR!D19+SUNO!D19+SUSBO!D19+SUAG!D19+SULAW!D19+SUBOS!D19</f>
        <v>0</v>
      </c>
      <c r="E19" s="178">
        <f t="shared" si="1"/>
        <v>0</v>
      </c>
      <c r="F19" s="369">
        <f t="shared" si="0"/>
        <v>0</v>
      </c>
      <c r="G19" s="24"/>
      <c r="H19" s="24"/>
    </row>
    <row r="20" spans="1:13" ht="34.5">
      <c r="A20" s="31" t="s">
        <v>25</v>
      </c>
      <c r="B20" s="93">
        <f ca="1">SUBR!B20+SUNO!B20+SUSBO!B20+SUAG!B20+SULAW!B20+SUBOS!B20</f>
        <v>0</v>
      </c>
      <c r="C20" s="93">
        <f ca="1">SUBR!C20+SUNO!C20+SUSBO!C20+SUAG!C20+SULAW!C20+SUBOS!C20</f>
        <v>0</v>
      </c>
      <c r="D20" s="93">
        <f ca="1">SUBR!D20+SUNO!D20+SUSBO!D20+SUAG!D20+SULAW!D20+SUBOS!D20</f>
        <v>0</v>
      </c>
      <c r="E20" s="178">
        <f t="shared" si="1"/>
        <v>0</v>
      </c>
      <c r="F20" s="369">
        <f t="shared" si="0"/>
        <v>0</v>
      </c>
      <c r="G20" s="24"/>
      <c r="H20" s="24"/>
    </row>
    <row r="21" spans="1:13" ht="34.5">
      <c r="A21" s="31" t="s">
        <v>26</v>
      </c>
      <c r="B21" s="93">
        <f ca="1">SUBR!B21+SUNO!B21+SUSBO!B21+SUAG!B21+SULAW!B21+SUBOS!B21</f>
        <v>0</v>
      </c>
      <c r="C21" s="93">
        <f ca="1">SUBR!C21+SUNO!C21+SUSBO!C21+SUAG!C21+SULAW!C21+SUBOS!C21</f>
        <v>0</v>
      </c>
      <c r="D21" s="93">
        <f ca="1">SUBR!D21+SUNO!D21+SUSBO!D21+SUAG!D21+SULAW!D21+SUBOS!D21</f>
        <v>0</v>
      </c>
      <c r="E21" s="178">
        <f t="shared" si="1"/>
        <v>0</v>
      </c>
      <c r="F21" s="369">
        <f t="shared" si="0"/>
        <v>0</v>
      </c>
      <c r="G21" s="24"/>
      <c r="H21" s="24"/>
    </row>
    <row r="22" spans="1:13" ht="34.5">
      <c r="A22" s="31" t="s">
        <v>27</v>
      </c>
      <c r="B22" s="93">
        <f ca="1">SUBR!B22+SUNO!B22+SUSBO!B22+SUAG!B22+SULAW!B22+SUBOS!B22</f>
        <v>0</v>
      </c>
      <c r="C22" s="93">
        <f ca="1">SUBR!C22+SUNO!C22+SUSBO!C22+SUAG!C22+SULAW!C22+SUBOS!C22</f>
        <v>0</v>
      </c>
      <c r="D22" s="93">
        <f ca="1">SUBR!D22+SUNO!D22+SUSBO!D22+SUAG!D22+SULAW!D22+SUBOS!D22</f>
        <v>0</v>
      </c>
      <c r="E22" s="178">
        <f t="shared" si="1"/>
        <v>0</v>
      </c>
      <c r="F22" s="369">
        <f t="shared" si="0"/>
        <v>0</v>
      </c>
      <c r="G22" s="24"/>
      <c r="H22" s="24"/>
    </row>
    <row r="23" spans="1:13" ht="34.5">
      <c r="A23" s="31" t="s">
        <v>28</v>
      </c>
      <c r="B23" s="93">
        <f ca="1">SUBR!B23+SUNO!B23+SUSBO!B23+SUAG!B23+SULAW!B23+SUBOS!B23</f>
        <v>0</v>
      </c>
      <c r="C23" s="93">
        <f ca="1">SUBR!C23+SUNO!C23+SUSBO!C23+SUAG!C23+SULAW!C23+SUBOS!C23</f>
        <v>0</v>
      </c>
      <c r="D23" s="93">
        <f ca="1">SUBR!D23+SUNO!D23+SUSBO!D23+SUAG!D23+SULAW!D23+SUBOS!D23</f>
        <v>0</v>
      </c>
      <c r="E23" s="178">
        <f t="shared" si="1"/>
        <v>0</v>
      </c>
      <c r="F23" s="369">
        <f t="shared" si="0"/>
        <v>0</v>
      </c>
      <c r="G23" s="24"/>
      <c r="H23" s="24"/>
    </row>
    <row r="24" spans="1:13" ht="34.5">
      <c r="A24" s="31" t="s">
        <v>91</v>
      </c>
      <c r="B24" s="93">
        <f ca="1">SUBR!B24+SUNO!B24+SUSBO!B24+SUAG!B24+SULAW!B24+SUBOS!B24</f>
        <v>0</v>
      </c>
      <c r="C24" s="93">
        <f ca="1">SUBR!C24+SUNO!C24+SUSBO!C24+SUAG!C24+SULAW!C24+SUBOS!C24</f>
        <v>0</v>
      </c>
      <c r="D24" s="93">
        <f ca="1">SUBR!D24+SUNO!D24+SUSBO!D24+SUAG!D24+SULAW!D24+SUBOS!D24</f>
        <v>0</v>
      </c>
      <c r="E24" s="178">
        <f t="shared" si="1"/>
        <v>0</v>
      </c>
      <c r="F24" s="369">
        <f t="shared" si="0"/>
        <v>0</v>
      </c>
      <c r="G24" s="24"/>
      <c r="H24" s="24"/>
    </row>
    <row r="25" spans="1:13" ht="34.5">
      <c r="A25" s="117" t="s">
        <v>80</v>
      </c>
      <c r="B25" s="118">
        <f ca="1">SUBR!B25+SUNO!B25+SUSBO!B25+SUAG!B25+SULAW!B25+SUBOS!B25</f>
        <v>332500</v>
      </c>
      <c r="C25" s="118">
        <f ca="1">SUBR!C25+SUNO!C25+SUSBO!C25+SUAG!C25+SULAW!C25+SUBOS!C25</f>
        <v>332500</v>
      </c>
      <c r="D25" s="118">
        <f ca="1">SUBR!D25+SUNO!D25+SUSBO!D25+SUAG!D25+SULAW!D25+SUBOS!D25</f>
        <v>0</v>
      </c>
      <c r="E25" s="178">
        <f t="shared" si="1"/>
        <v>-332500</v>
      </c>
      <c r="F25" s="369">
        <f t="shared" si="0"/>
        <v>-1</v>
      </c>
      <c r="G25" s="24"/>
      <c r="H25" s="24"/>
    </row>
    <row r="26" spans="1:13" ht="35.25">
      <c r="A26" s="114" t="s">
        <v>29</v>
      </c>
      <c r="B26" s="93">
        <f ca="1">SUBR!B26+SUNO!B26+SUSBO!B26+SUAG!B26+SULAW!B26+SUBOS!B26</f>
        <v>0</v>
      </c>
      <c r="C26" s="118">
        <f ca="1">SUBR!C26+SUNO!C26+SUSBO!C26+SUAG!C26+SULAW!C26+SUBOS!C26</f>
        <v>0</v>
      </c>
      <c r="D26" s="118">
        <f ca="1">SUBR!D26+SUNO!D26+SUSBO!D26+SUAG!D26+SULAW!D26+SUBOS!D26</f>
        <v>0</v>
      </c>
      <c r="E26" s="178">
        <f t="shared" si="1"/>
        <v>0</v>
      </c>
      <c r="F26" s="369">
        <f t="shared" si="0"/>
        <v>0</v>
      </c>
      <c r="G26" s="24"/>
      <c r="H26" s="24"/>
    </row>
    <row r="27" spans="1:13" ht="34.5">
      <c r="A27" s="117" t="s">
        <v>30</v>
      </c>
      <c r="B27" s="118">
        <f ca="1">SUBR!B27+SUNO!B27+SUSBO!B27+SUAG!B27+SULAW!B27+SUBOS!B27</f>
        <v>0</v>
      </c>
      <c r="C27" s="118">
        <f ca="1">SUBR!C27+SUNO!C27+SUSBO!C27+SUAG!C27+SULAW!C27+SUBOS!C27</f>
        <v>0</v>
      </c>
      <c r="D27" s="118">
        <f ca="1">SUBR!D27+SUNO!D27+SUSBO!D27+SUAG!D27+SULAW!D27+SUBOS!D27</f>
        <v>0</v>
      </c>
      <c r="E27" s="178">
        <f t="shared" si="1"/>
        <v>0</v>
      </c>
      <c r="F27" s="369">
        <f t="shared" si="0"/>
        <v>0</v>
      </c>
      <c r="G27" s="24"/>
      <c r="H27" s="24"/>
    </row>
    <row r="28" spans="1:13" ht="35.25">
      <c r="A28" s="114" t="s">
        <v>31</v>
      </c>
      <c r="B28" s="93">
        <f ca="1">SUBR!B28+SUNO!B28+SUSBO!B28+SUAG!B28+SULAW!B28+SUBOS!B28</f>
        <v>0</v>
      </c>
      <c r="C28" s="118">
        <f ca="1">SUBR!C28+SUNO!C28+SUSBO!C28+SUAG!C28+SULAW!C28+SUBOS!C28</f>
        <v>0</v>
      </c>
      <c r="D28" s="118">
        <f ca="1">SUBR!D28+SUNO!D28+SUSBO!D28+SUAG!D28+SULAW!D28+SUBOS!D28</f>
        <v>0</v>
      </c>
      <c r="E28" s="178">
        <f t="shared" si="1"/>
        <v>0</v>
      </c>
      <c r="F28" s="369">
        <f t="shared" si="0"/>
        <v>0</v>
      </c>
      <c r="G28" s="24"/>
      <c r="H28" s="24"/>
    </row>
    <row r="29" spans="1:13" ht="34.5">
      <c r="A29" s="31" t="s">
        <v>30</v>
      </c>
      <c r="B29" s="93">
        <f ca="1">SUBR!B29+SUNO!B29+SUSBO!B29+SUAG!B29+SULAW!B29+SUBOS!B29</f>
        <v>0</v>
      </c>
      <c r="C29" s="93">
        <f ca="1">SUBR!C29+SUNO!C29+SUSBO!C29+SUAG!C29+SULAW!C29+SUBOS!C28</f>
        <v>0</v>
      </c>
      <c r="D29" s="93">
        <f ca="1">SUBR!D29+SUNO!D29+SUSBO!D29+SUAG!D29+SULAW!D29+SUBOS!D28</f>
        <v>0</v>
      </c>
      <c r="E29" s="178">
        <f t="shared" si="1"/>
        <v>0</v>
      </c>
      <c r="F29" s="369">
        <f t="shared" si="0"/>
        <v>0</v>
      </c>
      <c r="G29" s="24"/>
      <c r="H29" s="24"/>
    </row>
    <row r="30" spans="1:13" ht="42.75" customHeight="1">
      <c r="A30" s="117" t="s">
        <v>32</v>
      </c>
      <c r="B30" s="118">
        <f ca="1">SUBR!B30+SUNO!B30+SUSBO!B30+SUAG!B30+SULAW!B30+SUBOS!B29</f>
        <v>0</v>
      </c>
      <c r="C30" s="118">
        <f ca="1">SUBR!C30+SUNO!C30+SUSBO!C30+SUAG!C30+SULAW!C30+SUBOS!C29</f>
        <v>0</v>
      </c>
      <c r="D30" s="118">
        <f ca="1">SUBR!D30+SUNO!D30+SUSBO!D30+SUAG!D30+SULAW!D30+SUBOS!D29</f>
        <v>0</v>
      </c>
      <c r="E30" s="178">
        <f t="shared" si="1"/>
        <v>0</v>
      </c>
      <c r="F30" s="369">
        <f t="shared" si="0"/>
        <v>0</v>
      </c>
      <c r="G30" s="24"/>
      <c r="H30" s="24"/>
    </row>
    <row r="31" spans="1:13" ht="42.75" customHeight="1">
      <c r="A31" s="121" t="s">
        <v>33</v>
      </c>
      <c r="B31" s="122">
        <f ca="1">SUM(B8:B10,B27:B30)</f>
        <v>93686683.829999998</v>
      </c>
      <c r="C31" s="122">
        <f ca="1">SUM(C8:C10,C27:C30)</f>
        <v>93791892</v>
      </c>
      <c r="D31" s="122">
        <f ca="1">SUM(D8:D10,D27:D30)</f>
        <v>71420366</v>
      </c>
      <c r="E31" s="465">
        <f t="shared" si="1"/>
        <v>-22266317.829999998</v>
      </c>
      <c r="F31" s="345">
        <f t="shared" si="0"/>
        <v>-0.23766790454877817</v>
      </c>
      <c r="G31" s="24"/>
      <c r="H31" s="24"/>
    </row>
    <row r="32" spans="1:13" ht="35.25">
      <c r="A32" s="132"/>
      <c r="B32" s="140"/>
      <c r="C32" s="140"/>
      <c r="D32" s="140"/>
      <c r="E32" s="140"/>
      <c r="F32" s="359" t="str">
        <f>IF(ISBLANK(E32),"  ",IF(C32&gt;0,E32/C32,IF(E32&gt;0,1,0)))</f>
        <v xml:space="preserve">  </v>
      </c>
      <c r="G32" s="24"/>
      <c r="H32" s="24"/>
      <c r="M32" s="302"/>
    </row>
    <row r="33" spans="1:8" ht="35.25">
      <c r="A33" s="294" t="s">
        <v>34</v>
      </c>
      <c r="B33" s="289">
        <f ca="1">SUBR!B33+SUNO!B33+SUSBO!B33+SUAG!B33+SULAW!B33+SUBOS!B33</f>
        <v>-147991</v>
      </c>
      <c r="C33" s="289">
        <f ca="1">SUBR!C33+SUNO!C33+SUSBO!C33+SUAG!C33+SULAW!C33+SUBOS!C32</f>
        <v>0</v>
      </c>
      <c r="D33" s="289">
        <f ca="1">SUBR!D33+SUNO!D33+SUSBO!D33+SUAG!D33+SULAW!D33+SUBOS!D32</f>
        <v>0</v>
      </c>
      <c r="E33" s="465">
        <f>D33-B33</f>
        <v>147991</v>
      </c>
      <c r="F33" s="345">
        <f>IF(ISBLANK(E33),"  ",IF(B33&gt;0,E33/B33,IF(E33&gt;0,1,0)))</f>
        <v>1</v>
      </c>
      <c r="G33" s="24"/>
      <c r="H33" s="24"/>
    </row>
    <row r="34" spans="1:8" ht="35.25">
      <c r="A34" s="32" t="s">
        <v>35</v>
      </c>
      <c r="B34" s="116"/>
      <c r="C34" s="116"/>
      <c r="D34" s="116"/>
      <c r="E34" s="116"/>
      <c r="F34" s="354" t="str">
        <f>IF(ISBLANK(E34),"  ",IF(C34&gt;0,E34/C34,IF(E34&gt;0,1,0)))</f>
        <v xml:space="preserve">  </v>
      </c>
      <c r="G34" s="24"/>
      <c r="H34" s="24"/>
    </row>
    <row r="35" spans="1:8" ht="35.25">
      <c r="A35" s="130" t="s">
        <v>36</v>
      </c>
      <c r="B35" s="138">
        <f ca="1">SUBR!B35+SUNO!B35+SUSBO!B35+SUAG!B35+SULAW!B35+SUBOS!B34</f>
        <v>2050081</v>
      </c>
      <c r="C35" s="138">
        <f ca="1">SUBR!C35+SUNO!C35+SUSBO!C35+SUAG!C35+SULAW!C35+SUBOS!C34</f>
        <v>2181188</v>
      </c>
      <c r="D35" s="138">
        <f ca="1">SUBR!D35+SUNO!D35+SUSBO!D35+SUAG!D35+SULAW!D35+SUBOS!D34</f>
        <v>2181188</v>
      </c>
      <c r="E35" s="465">
        <f>D35-B35</f>
        <v>131107</v>
      </c>
      <c r="F35" s="345">
        <f>IF(ISBLANK(E35),"  ",IF(B35&gt;0,E35/B35,IF(E35&gt;0,1,0)))</f>
        <v>6.3952107258201024E-2</v>
      </c>
      <c r="G35" s="24"/>
      <c r="H35" s="24"/>
    </row>
    <row r="36" spans="1:8" ht="35.25">
      <c r="A36" s="139"/>
      <c r="B36" s="140"/>
      <c r="C36" s="140"/>
      <c r="D36" s="140"/>
      <c r="E36" s="140"/>
      <c r="F36" s="359" t="str">
        <f>IF(ISBLANK(E36),"  ",IF(C36&gt;0,E36/C36,IF(E36&gt;0,1,0)))</f>
        <v xml:space="preserve">  </v>
      </c>
      <c r="G36" s="24"/>
      <c r="H36" s="24"/>
    </row>
    <row r="37" spans="1:8" ht="35.25">
      <c r="A37" s="137" t="s">
        <v>88</v>
      </c>
      <c r="B37" s="138">
        <f ca="1">SUBR!B37+SUNO!B37+SUSBO!B37+SUAG!B37+SULAW!B37+SUBOS!B36</f>
        <v>0</v>
      </c>
      <c r="C37" s="138">
        <f ca="1">SUBR!C37+SUNO!C37+SUSBO!C37+SUAG!C37+SULAW!C37+SUBOS!C36</f>
        <v>0</v>
      </c>
      <c r="D37" s="138">
        <f ca="1">SUBR!D37+SUNO!D37+SUSBO!D37+SUAG!D37+SULAW!D37+SUBOS!D36</f>
        <v>12202908</v>
      </c>
      <c r="E37" s="465">
        <f>D37-B37</f>
        <v>12202908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40"/>
      <c r="C38" s="140"/>
      <c r="D38" s="140"/>
      <c r="E38" s="140"/>
      <c r="F38" s="359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38">
        <f ca="1">SUBR!B39+SUNO!B39+SUSBO!B39+SUAG!B39+SULAW!B39+SUBOS!B38</f>
        <v>50835995.829999998</v>
      </c>
      <c r="C39" s="138">
        <f ca="1">SUBR!C39+SUNO!C39+SUSBO!C39+SUAG!C39+SULAW!C39+SUBOS!C38</f>
        <v>49546858</v>
      </c>
      <c r="D39" s="138">
        <f ca="1">SUBR!D39+SUNO!D39+SUSBO!D39+SUAG!D39+SULAW!D39+SUBOS!D38</f>
        <v>52446205</v>
      </c>
      <c r="E39" s="465">
        <f>D39-B39</f>
        <v>1610209.1700000018</v>
      </c>
      <c r="F39" s="345">
        <f>IF(ISBLANK(E39),"  ",IF(B39&gt;0,E39/B39,IF(E39&gt;0,1,0)))</f>
        <v>3.1674586947891839E-2</v>
      </c>
      <c r="G39" s="24"/>
      <c r="H39" s="24"/>
    </row>
    <row r="40" spans="1:8" ht="35.25">
      <c r="A40" s="132" t="s">
        <v>35</v>
      </c>
      <c r="B40" s="140"/>
      <c r="C40" s="140"/>
      <c r="D40" s="140"/>
      <c r="E40" s="140"/>
      <c r="F40" s="359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38">
        <f ca="1">SUBR!B41+SUNO!B41+SUSBO!B41+SUAG!B41+SULAW!B41+SUBOS!B40</f>
        <v>3036860.37</v>
      </c>
      <c r="C41" s="138">
        <f ca="1">SUBR!C41+SUNO!C41+SUSBO!C41+SUAG!C41+SULAW!C41+SUBOS!C40</f>
        <v>3036211</v>
      </c>
      <c r="D41" s="138">
        <f ca="1">SUBR!D41+SUNO!D41+SUSBO!D41+SUAG!D41+SULAW!D41+SUBOS!D40</f>
        <v>3036211</v>
      </c>
      <c r="E41" s="465">
        <f>D41-B41</f>
        <v>-649.37000000011176</v>
      </c>
      <c r="F41" s="345">
        <f>IF(ISBLANK(E41),"  ",IF(B41&gt;0,E41/B41,IF(E41&gt;0,1,0)))</f>
        <v>-2.1382938985769429E-4</v>
      </c>
      <c r="G41" s="24"/>
      <c r="H41" s="24"/>
    </row>
    <row r="42" spans="1:8" ht="35.25">
      <c r="A42" s="132"/>
      <c r="B42" s="140"/>
      <c r="C42" s="140"/>
      <c r="D42" s="140"/>
      <c r="E42" s="148"/>
      <c r="F42" s="359" t="str">
        <f>IF(ISBLANK(E42),"  ",IF(C42&gt;0,E42/C42,IF(E42&gt;0,1,0)))</f>
        <v xml:space="preserve">  </v>
      </c>
      <c r="G42" s="24"/>
      <c r="H42" s="24"/>
    </row>
    <row r="43" spans="1:8" ht="35.25">
      <c r="A43" s="130" t="s">
        <v>75</v>
      </c>
      <c r="B43" s="138">
        <f ca="1">SUBR!B42+SUNO!B42+SUSBO!B42+SUAG!B42+SULAW!B42+SUBOS!B41</f>
        <v>0</v>
      </c>
      <c r="C43" s="138">
        <f ca="1">SUBR!C42+SUNO!C42+SUSBO!C42+SUAG!C42+SULAW!C42+SUBOS!C41</f>
        <v>0</v>
      </c>
      <c r="D43" s="138">
        <f ca="1">SUBR!D42+SUNO!D42+SUSBO!D42+SUAG!D42+SULAW!D42+SUBOS!D41</f>
        <v>0</v>
      </c>
      <c r="E43" s="465">
        <f>D43-B43</f>
        <v>0</v>
      </c>
      <c r="F43" s="345">
        <f>IF(ISBLANK(E43),"  ",IF(B43&gt;0,E43/B43,IF(E43&gt;0,1,0)))</f>
        <v>0</v>
      </c>
      <c r="G43" s="24"/>
      <c r="H43" s="24"/>
    </row>
    <row r="44" spans="1:8" ht="35.25">
      <c r="A44" s="139"/>
      <c r="B44" s="140"/>
      <c r="C44" s="140"/>
      <c r="D44" s="140"/>
      <c r="E44" s="133"/>
      <c r="F44" s="356" t="str">
        <f>IF(ISBLANK(E44),"  ",IF(C44&gt;0,E44/C44,IF(E44&gt;0,1,0)))</f>
        <v xml:space="preserve">  </v>
      </c>
      <c r="G44" s="24"/>
      <c r="H44" s="24"/>
    </row>
    <row r="45" spans="1:8" ht="35.25">
      <c r="A45" s="172" t="s">
        <v>39</v>
      </c>
      <c r="B45" s="295">
        <f ca="1">SUBR!B43+SUNO!B43+SUSBO!B43+SUAG!B43+SULAW!B43+SUBOS!B42</f>
        <v>149461630.03</v>
      </c>
      <c r="C45" s="295">
        <f ca="1">SUBR!C43+SUNO!C43+SUSBO!C43+SUAG!C43+SULAW!C43+SUBOS!C42-4</f>
        <v>148556149</v>
      </c>
      <c r="D45" s="295">
        <f ca="1">SUBR!D43+SUNO!D43+SUSBO!D43+SUAG!D43+SULAW!D43+SUBOS!D42</f>
        <v>141286878</v>
      </c>
      <c r="E45" s="465">
        <f>D45-B45</f>
        <v>-8174752.0300000012</v>
      </c>
      <c r="F45" s="345">
        <f>IF(ISBLANK(E45),"  ",IF(B45&gt;0,E45/B45,IF(E45&gt;0,1,0)))</f>
        <v>-5.4694653258894353E-2</v>
      </c>
      <c r="G45" s="24"/>
      <c r="H45" s="24"/>
    </row>
    <row r="46" spans="1:8" ht="35.25">
      <c r="A46" s="296"/>
      <c r="B46" s="297"/>
      <c r="C46" s="297"/>
      <c r="D46" s="297"/>
      <c r="E46" s="297"/>
      <c r="F46" s="344" t="str">
        <f>IF(ISBLANK(E46),"  ",IF(C46&gt;0,E46/C46,IF(E46&gt;0,1,0)))</f>
        <v xml:space="preserve">  </v>
      </c>
      <c r="G46" s="24"/>
      <c r="H46" s="24"/>
    </row>
    <row r="47" spans="1:8" ht="35.25">
      <c r="A47" s="298"/>
      <c r="B47" s="299"/>
      <c r="C47" s="299"/>
      <c r="D47" s="299"/>
      <c r="E47" s="299"/>
      <c r="F47" s="345" t="str">
        <f>IF(ISBLANK(E47),"  ",IF(C47&gt;0,E47/C47,IF(E47&gt;0,1,0)))</f>
        <v xml:space="preserve">  </v>
      </c>
      <c r="G47" s="24"/>
      <c r="H47" s="24"/>
    </row>
    <row r="48" spans="1:8" ht="35.25">
      <c r="A48" s="300" t="s">
        <v>40</v>
      </c>
      <c r="B48" s="264"/>
      <c r="C48" s="264"/>
      <c r="D48" s="264"/>
      <c r="E48" s="264"/>
      <c r="F48" s="397" t="str">
        <f t="shared" ref="F48:F62" si="2">IF(ISBLANK(E48),"  ",IF(B48&gt;0,E48/B48,IF(E48&gt;0,1,0)))</f>
        <v xml:space="preserve">  </v>
      </c>
      <c r="G48" s="24"/>
      <c r="H48" s="24"/>
    </row>
    <row r="49" spans="1:8" ht="34.5">
      <c r="A49" s="168" t="s">
        <v>41</v>
      </c>
      <c r="B49" s="169">
        <f ca="1">SUBR!B47+SUNO!B46+SUSBO!B47+SUAG!B47+SULAW!B47+SUBOS!B45</f>
        <v>55962245</v>
      </c>
      <c r="C49" s="169">
        <f ca="1">SUBR!C47+SUNO!C46+SUSBO!C47+SUAG!C47+SULAW!C47+SUBOS!C45</f>
        <v>60956802</v>
      </c>
      <c r="D49" s="169">
        <f ca="1">SUBR!D47+SUNO!D46+SUSBO!D47+SUAG!D47+SULAW!D47+SUBOS!D45</f>
        <v>58244197.950999998</v>
      </c>
      <c r="E49" s="178">
        <f t="shared" ref="E49:E62" si="3">D49-B49</f>
        <v>2281952.9509999976</v>
      </c>
      <c r="F49" s="369">
        <f t="shared" si="2"/>
        <v>4.0776651311969302E-2</v>
      </c>
      <c r="G49" s="24"/>
      <c r="H49" s="24"/>
    </row>
    <row r="50" spans="1:8" ht="34.5">
      <c r="A50" s="155" t="s">
        <v>42</v>
      </c>
      <c r="B50" s="154">
        <f ca="1">SUBR!B48+SUNO!B47+SUSBO!B48+SUAG!B48+SULAW!B48+SUBOS!B46</f>
        <v>3027583</v>
      </c>
      <c r="C50" s="154">
        <f ca="1">SUBR!C48+SUNO!C47+SUSBO!C48+SUAG!C48+SULAW!C48+SUBOS!C46</f>
        <v>3097758</v>
      </c>
      <c r="D50" s="154">
        <f ca="1">SUBR!D48+SUNO!D47+SUSBO!D48+SUAG!D48+SULAW!D48+SUBOS!D46</f>
        <v>2740533</v>
      </c>
      <c r="E50" s="178">
        <f t="shared" si="3"/>
        <v>-287050</v>
      </c>
      <c r="F50" s="369">
        <f t="shared" si="2"/>
        <v>-9.4811603843726167E-2</v>
      </c>
      <c r="G50" s="24"/>
      <c r="H50" s="24"/>
    </row>
    <row r="51" spans="1:8" ht="34.5">
      <c r="A51" s="156" t="s">
        <v>43</v>
      </c>
      <c r="B51" s="157">
        <f ca="1">SUBR!B49+SUNO!B48+SUSBO!B49+SUAG!B49+SULAW!B49+SUBOS!B47</f>
        <v>3447380</v>
      </c>
      <c r="C51" s="157">
        <f ca="1">SUBR!C49+SUNO!C48+SUSBO!C49+SUAG!C49+SULAW!C49+SUBOS!C47</f>
        <v>4049893</v>
      </c>
      <c r="D51" s="157">
        <f ca="1">SUBR!D49+SUNO!D48+SUSBO!D49+SUAG!D49+SULAW!D49+SUBOS!D47</f>
        <v>3843750</v>
      </c>
      <c r="E51" s="178">
        <f t="shared" si="3"/>
        <v>396370</v>
      </c>
      <c r="F51" s="369">
        <f t="shared" si="2"/>
        <v>0.11497717106904373</v>
      </c>
      <c r="G51" s="24"/>
      <c r="H51" s="24" t="s">
        <v>35</v>
      </c>
    </row>
    <row r="52" spans="1:8" ht="34.5">
      <c r="A52" s="158" t="s">
        <v>44</v>
      </c>
      <c r="B52" s="157">
        <f ca="1">SUBR!B50+SUNO!B49+SUSBO!B50+SUAG!B50+SULAW!B50+SUBOS!B48</f>
        <v>15228099</v>
      </c>
      <c r="C52" s="157">
        <f ca="1">SUBR!C50+SUNO!C49+SUSBO!C50+SUAG!C50+SULAW!C50+SUBOS!C48</f>
        <v>15896383</v>
      </c>
      <c r="D52" s="157">
        <f ca="1">SUBR!D50+SUNO!D49+SUSBO!D50+SUAG!D50+SULAW!D50+SUBOS!D48</f>
        <v>15007996.244200001</v>
      </c>
      <c r="E52" s="178">
        <f t="shared" si="3"/>
        <v>-220102.75579999946</v>
      </c>
      <c r="F52" s="369">
        <f t="shared" si="2"/>
        <v>-1.4453725038167893E-2</v>
      </c>
      <c r="G52" s="24"/>
      <c r="H52" s="24"/>
    </row>
    <row r="53" spans="1:8" ht="34.5">
      <c r="A53" s="156" t="s">
        <v>45</v>
      </c>
      <c r="B53" s="157">
        <f ca="1">SUBR!B51+SUNO!B50+SUSBO!B51+SUAG!B51+SULAW!B51+SUBOS!B49</f>
        <v>6619307</v>
      </c>
      <c r="C53" s="157">
        <f ca="1">SUBR!C51+SUNO!C50+SUSBO!C51+SUAG!C51+SULAW!C51+SUBOS!C49</f>
        <v>7331182</v>
      </c>
      <c r="D53" s="157">
        <f ca="1">SUBR!D51+SUNO!D50+SUSBO!D51+SUAG!D51+SULAW!D51+SUBOS!D49</f>
        <v>6765737.6278999997</v>
      </c>
      <c r="E53" s="178">
        <f t="shared" si="3"/>
        <v>146430.62789999973</v>
      </c>
      <c r="F53" s="369">
        <f t="shared" si="2"/>
        <v>2.212174596222833E-2</v>
      </c>
      <c r="G53" s="24"/>
      <c r="H53" s="24"/>
    </row>
    <row r="54" spans="1:8" ht="34.5">
      <c r="A54" s="156" t="s">
        <v>74</v>
      </c>
      <c r="B54" s="157">
        <f ca="1">SUBR!B52+SUNO!B51+SUSBO!B52+SUAG!B52+SULAW!B52+SUBOS!B50</f>
        <v>34406256</v>
      </c>
      <c r="C54" s="157">
        <f ca="1">SUBR!C52+SUNO!C51+SUSBO!C52+SUAG!C52+SULAW!C52+SUBOS!C50</f>
        <v>30738604</v>
      </c>
      <c r="D54" s="157">
        <f ca="1">SUBR!D52+SUNO!D51+SUSBO!D52+SUAG!D52+SULAW!D52+SUBOS!D50</f>
        <v>29150387.626850002</v>
      </c>
      <c r="E54" s="178">
        <f t="shared" si="3"/>
        <v>-5255868.3731499985</v>
      </c>
      <c r="F54" s="369">
        <f t="shared" si="2"/>
        <v>-0.15275909047325575</v>
      </c>
      <c r="G54" s="24"/>
      <c r="H54" s="24"/>
    </row>
    <row r="55" spans="1:8" ht="34.5">
      <c r="A55" s="153" t="s">
        <v>46</v>
      </c>
      <c r="B55" s="154">
        <f ca="1">SUBR!B53+SUNO!B52+SUSBO!B53+SUAG!B53+SULAW!B53+SUBOS!B51</f>
        <v>6911914</v>
      </c>
      <c r="C55" s="154">
        <f ca="1">SUBR!C53+SUNO!C52+SUSBO!C53+SUAG!C53+SULAW!C53+SUBOS!C51</f>
        <v>5162350</v>
      </c>
      <c r="D55" s="154">
        <f ca="1">SUBR!D53+SUNO!D52+SUSBO!D53+SUAG!D53+SULAW!D53+SUBOS!D51</f>
        <v>5082350</v>
      </c>
      <c r="E55" s="178">
        <f t="shared" si="3"/>
        <v>-1829564</v>
      </c>
      <c r="F55" s="369">
        <f t="shared" si="2"/>
        <v>-0.26469715913710734</v>
      </c>
      <c r="G55" s="24"/>
      <c r="H55" s="24"/>
    </row>
    <row r="56" spans="1:8" ht="34.5">
      <c r="A56" s="117" t="s">
        <v>47</v>
      </c>
      <c r="B56" s="118">
        <f ca="1">SUBR!B54+SUNO!B53+SUSBO!B54+SUAG!B54+SULAW!B54+SUBOS!B52</f>
        <v>18796374</v>
      </c>
      <c r="C56" s="118">
        <f ca="1">SUBR!C54+SUNO!C53+SUSBO!C54+SUAG!C54+SULAW!C54+SUBOS!C52</f>
        <v>18154698</v>
      </c>
      <c r="D56" s="118">
        <f ca="1">SUBR!D54+SUNO!D53+SUSBO!D54+SUAG!D54+SULAW!D54+SUBOS!D52</f>
        <v>17623687</v>
      </c>
      <c r="E56" s="178">
        <f t="shared" si="3"/>
        <v>-1172687</v>
      </c>
      <c r="F56" s="369">
        <f t="shared" si="2"/>
        <v>-6.2389001197784212E-2</v>
      </c>
      <c r="G56" s="24"/>
      <c r="H56" s="24"/>
    </row>
    <row r="57" spans="1:8" ht="35.25">
      <c r="A57" s="114" t="s">
        <v>48</v>
      </c>
      <c r="B57" s="116">
        <f ca="1">SUM(B49:B56)</f>
        <v>144399158</v>
      </c>
      <c r="C57" s="116">
        <f ca="1">SUM(C49:C56)</f>
        <v>145387670</v>
      </c>
      <c r="D57" s="116">
        <f ca="1">SUM(D49:D56)</f>
        <v>138458639.44995001</v>
      </c>
      <c r="E57" s="465">
        <f t="shared" si="3"/>
        <v>-5940518.5500499904</v>
      </c>
      <c r="F57" s="390">
        <f t="shared" si="2"/>
        <v>-4.113956502467965E-2</v>
      </c>
      <c r="G57" s="24"/>
      <c r="H57" s="24"/>
    </row>
    <row r="58" spans="1:8" ht="35.25">
      <c r="A58" s="117" t="s">
        <v>49</v>
      </c>
      <c r="B58" s="116">
        <f ca="1">SUBR!B56+SUNO!B55+SUSBO!B56+SUAG!B56+SULAW!B56+SUBOS!B54</f>
        <v>0</v>
      </c>
      <c r="C58" s="116">
        <f ca="1">SUBR!C56+SUNO!C55+SUSBO!C56+SUAG!C56+SULAW!C56+SUBOS!C54</f>
        <v>0</v>
      </c>
      <c r="D58" s="116">
        <f ca="1">SUBR!D56+SUNO!D55+SUSBO!D56+SUAG!D56+SULAW!D56+SUBOS!D54</f>
        <v>0</v>
      </c>
      <c r="E58" s="178">
        <f t="shared" si="3"/>
        <v>0</v>
      </c>
      <c r="F58" s="369">
        <f t="shared" si="2"/>
        <v>0</v>
      </c>
      <c r="G58" s="24"/>
      <c r="H58" s="24"/>
    </row>
    <row r="59" spans="1:8" ht="34.5">
      <c r="A59" s="279" t="s">
        <v>50</v>
      </c>
      <c r="B59" s="301">
        <f ca="1">SUBR!B57+SUNO!B56+SUSBO!B57+SUAG!B57+SULAW!B57+SUBOS!B55</f>
        <v>547063</v>
      </c>
      <c r="C59" s="301">
        <f ca="1">SUBR!C57+SUNO!C56+SUSBO!C57+SUAG!C57+SULAW!C57+SUBOS!C55</f>
        <v>2433349</v>
      </c>
      <c r="D59" s="301">
        <f ca="1">SUBR!D57+SUNO!D56+SUSBO!D57+SUAG!D57+SULAW!D57+SUBOS!D55</f>
        <v>2015897</v>
      </c>
      <c r="E59" s="178">
        <f t="shared" si="3"/>
        <v>1468834</v>
      </c>
      <c r="F59" s="369">
        <f t="shared" si="2"/>
        <v>2.6849448783778103</v>
      </c>
      <c r="G59" s="24"/>
      <c r="H59" s="24"/>
    </row>
    <row r="60" spans="1:8" ht="34.5">
      <c r="A60" s="176" t="s">
        <v>51</v>
      </c>
      <c r="B60" s="92">
        <f ca="1">SUBR!B58+SUNO!B57+SUSBO!B58+SUAG!B58+SULAW!B58+SUBOS!B56</f>
        <v>1913161</v>
      </c>
      <c r="C60" s="92">
        <f ca="1">SUBR!C58+SUNO!C57+SUSBO!C58+SUAG!C58+SULAW!C58+SUBOS!C56</f>
        <v>735130</v>
      </c>
      <c r="D60" s="92">
        <f ca="1">SUBR!D58+SUNO!D57+SUSBO!D58+SUAG!D58+SULAW!D58+SUBOS!D56</f>
        <v>812340</v>
      </c>
      <c r="E60" s="178">
        <f t="shared" si="3"/>
        <v>-1100821</v>
      </c>
      <c r="F60" s="369">
        <f t="shared" si="2"/>
        <v>-0.57539381160289171</v>
      </c>
      <c r="G60" s="24"/>
      <c r="H60" s="24"/>
    </row>
    <row r="61" spans="1:8" ht="34.5">
      <c r="A61" s="117" t="s">
        <v>52</v>
      </c>
      <c r="B61" s="118">
        <f ca="1">SUBR!B59+SUNO!B58+SUSBO!B59+SUAG!B59+SULAW!B59+SUBOS!B57</f>
        <v>2602248</v>
      </c>
      <c r="C61" s="118">
        <f ca="1">SUBR!C59+SUNO!C58+SUSBO!C59+SUAG!C59+SULAW!C59+SUBOS!C57</f>
        <v>0</v>
      </c>
      <c r="D61" s="118">
        <f ca="1">SUBR!D59+SUNO!D58+SUSBO!D59+SUAG!D59+SULAW!D59+SUBOS!D57</f>
        <v>0</v>
      </c>
      <c r="E61" s="178">
        <f t="shared" si="3"/>
        <v>-2602248</v>
      </c>
      <c r="F61" s="369">
        <f t="shared" si="2"/>
        <v>-1</v>
      </c>
      <c r="G61" s="24"/>
      <c r="H61" s="24"/>
    </row>
    <row r="62" spans="1:8" ht="35.25">
      <c r="A62" s="121" t="s">
        <v>53</v>
      </c>
      <c r="B62" s="122">
        <f>SUM(B57:B61)</f>
        <v>149461630</v>
      </c>
      <c r="C62" s="122">
        <f>SUM(C57:C61)</f>
        <v>148556149</v>
      </c>
      <c r="D62" s="122">
        <f>SUM(D57:D61)+2</f>
        <v>141286878.44995001</v>
      </c>
      <c r="E62" s="465">
        <f t="shared" si="3"/>
        <v>-8174751.5500499904</v>
      </c>
      <c r="F62" s="390">
        <f t="shared" si="2"/>
        <v>-5.4694650058680551E-2</v>
      </c>
      <c r="G62" s="24"/>
      <c r="H62" s="24"/>
    </row>
    <row r="63" spans="1:8" ht="34.5">
      <c r="A63" s="291"/>
      <c r="B63" s="292"/>
      <c r="C63" s="292"/>
      <c r="D63" s="292"/>
      <c r="E63" s="293"/>
      <c r="F63" s="371" t="str">
        <f>IF(ISBLANK(E63),"  ",IF(C63&gt;0,E63/C63,IF(E63&gt;0,1,0)))</f>
        <v xml:space="preserve">  </v>
      </c>
      <c r="G63" s="24"/>
      <c r="H63" s="24"/>
    </row>
    <row r="64" spans="1:8" ht="35.25">
      <c r="A64" s="288" t="s">
        <v>54</v>
      </c>
      <c r="B64" s="289"/>
      <c r="C64" s="289"/>
      <c r="D64" s="289"/>
      <c r="E64" s="290"/>
      <c r="F64" s="381" t="str">
        <f>IF(ISBLANK(E64),"  ",IF(C64&gt;0,E64/C64,IF(E64&gt;0,1,0)))</f>
        <v xml:space="preserve">  </v>
      </c>
      <c r="G64" s="24"/>
      <c r="H64" s="24"/>
    </row>
    <row r="65" spans="1:8" ht="34.5">
      <c r="A65" s="150" t="s">
        <v>55</v>
      </c>
      <c r="B65" s="256">
        <f ca="1">SUBR!B63+SUNO!B62+SUSBO!B63+SUAG!B63+SULAW!B63+SUBOS!B61</f>
        <v>85060482</v>
      </c>
      <c r="C65" s="256">
        <f ca="1">SUBR!C63+SUNO!C62+SUSBO!C63+SUAG!C63+SULAW!C63+SUBOS!C61</f>
        <v>86387766</v>
      </c>
      <c r="D65" s="256">
        <f ca="1">SUBR!D63+SUNO!D62+SUSBO!D63+SUAG!D63+SULAW!D63+SUBOS!D61</f>
        <v>82299187.329999998</v>
      </c>
      <c r="E65" s="178">
        <f t="shared" ref="E65:E82" si="4">D65-B65</f>
        <v>-2761294.6700000018</v>
      </c>
      <c r="F65" s="397">
        <f t="shared" ref="F65:F82" si="5">IF(ISBLANK(E65),"  ",IF(B65&gt;0,E65/B65,IF(E65&gt;0,1,0)))</f>
        <v>-3.2462720702664274E-2</v>
      </c>
      <c r="G65" s="24"/>
      <c r="H65" s="24"/>
    </row>
    <row r="66" spans="1:8" ht="34.5">
      <c r="A66" s="30" t="s">
        <v>56</v>
      </c>
      <c r="B66" s="92">
        <f ca="1">SUBR!B64+SUNO!B63+SUSBO!B64+SUAG!B64+SULAW!B64+SUBOS!B62</f>
        <v>501383</v>
      </c>
      <c r="C66" s="92">
        <f ca="1">SUBR!C64+SUNO!C63+SUSBO!C64+SUAG!C64+SULAW!C64+SUBOS!C62</f>
        <v>436877</v>
      </c>
      <c r="D66" s="92">
        <f ca="1">SUBR!D64+SUNO!D63+SUSBO!D64+SUAG!D64+SULAW!D64+SUBOS!D62</f>
        <v>257011</v>
      </c>
      <c r="E66" s="178">
        <f t="shared" si="4"/>
        <v>-244372</v>
      </c>
      <c r="F66" s="369">
        <f t="shared" si="5"/>
        <v>-0.48739586304282356</v>
      </c>
      <c r="G66" s="24"/>
      <c r="H66" s="24"/>
    </row>
    <row r="67" spans="1:8" ht="34.5">
      <c r="A67" s="117" t="s">
        <v>57</v>
      </c>
      <c r="B67" s="118">
        <f ca="1">SUBR!B65+SUNO!B64+SUSBO!B65+SUAG!B65+SULAW!B65+SUBOS!B63</f>
        <v>24662869</v>
      </c>
      <c r="C67" s="118">
        <f ca="1">SUBR!C65+SUNO!C64+SUSBO!C65+SUAG!C65+SULAW!C65+SUBOS!C63</f>
        <v>26489061</v>
      </c>
      <c r="D67" s="118">
        <f ca="1">SUBR!D65+SUNO!D64+SUSBO!D65+SUAG!D65+SULAW!D65+SUBOS!D63</f>
        <v>26129744.273949999</v>
      </c>
      <c r="E67" s="178">
        <f t="shared" si="4"/>
        <v>1466875.2739499994</v>
      </c>
      <c r="F67" s="369">
        <f t="shared" si="5"/>
        <v>5.9477073569583462E-2</v>
      </c>
      <c r="G67" s="24"/>
      <c r="H67" s="24"/>
    </row>
    <row r="68" spans="1:8" ht="35.25">
      <c r="A68" s="114" t="s">
        <v>58</v>
      </c>
      <c r="B68" s="116">
        <f ca="1">SUM(B65:B67)</f>
        <v>110224734</v>
      </c>
      <c r="C68" s="116">
        <f ca="1">SUM(C65:C67)</f>
        <v>113313704</v>
      </c>
      <c r="D68" s="116">
        <f ca="1">SUM(D65:D67)</f>
        <v>108685942.60394999</v>
      </c>
      <c r="E68" s="465">
        <f t="shared" si="4"/>
        <v>-1538791.3960500062</v>
      </c>
      <c r="F68" s="390">
        <f t="shared" si="5"/>
        <v>-1.3960490900799144E-2</v>
      </c>
      <c r="G68" s="24"/>
      <c r="H68" s="24"/>
    </row>
    <row r="69" spans="1:8" ht="34.5">
      <c r="A69" s="126" t="s">
        <v>59</v>
      </c>
      <c r="B69" s="118">
        <f ca="1">SUBR!B67+SUNO!B66+SUSBO!B67+SUAG!B67+SULAW!B67+SUBOS!B65</f>
        <v>1161417</v>
      </c>
      <c r="C69" s="118">
        <f ca="1">SUBR!C67+SUNO!C66+SUSBO!C67+SUAG!C67+SULAW!C67+SUBOS!C65</f>
        <v>1133083</v>
      </c>
      <c r="D69" s="118">
        <f ca="1">SUBR!D67+SUNO!D66+SUSBO!D67+SUAG!D67+SULAW!D67+SUBOS!D65</f>
        <v>925520</v>
      </c>
      <c r="E69" s="178">
        <f t="shared" si="4"/>
        <v>-235897</v>
      </c>
      <c r="F69" s="369">
        <f t="shared" si="5"/>
        <v>-0.2031113717123135</v>
      </c>
      <c r="G69" s="24"/>
      <c r="H69" s="24"/>
    </row>
    <row r="70" spans="1:8" ht="34.5">
      <c r="A70" s="151" t="s">
        <v>60</v>
      </c>
      <c r="B70" s="166">
        <f ca="1">SUBR!B68+SUNO!B67+SUSBO!B68+SUAG!B68+SULAW!B68+SUBOS!B66</f>
        <v>16672764</v>
      </c>
      <c r="C70" s="166">
        <f ca="1">SUBR!C68+SUNO!C67+SUSBO!C68+SUAG!C68+SULAW!C68+SUBOS!C66</f>
        <v>15806216</v>
      </c>
      <c r="D70" s="166">
        <f ca="1">SUBR!D68+SUNO!D67+SUSBO!D68+SUAG!D68+SULAW!D68+SUBOS!D66</f>
        <v>14761668</v>
      </c>
      <c r="E70" s="178">
        <f t="shared" si="4"/>
        <v>-1911096</v>
      </c>
      <c r="F70" s="369">
        <f t="shared" si="5"/>
        <v>-0.11462382601948903</v>
      </c>
      <c r="G70" s="24"/>
      <c r="H70" s="24"/>
    </row>
    <row r="71" spans="1:8" ht="34.5">
      <c r="A71" s="151" t="s">
        <v>61</v>
      </c>
      <c r="B71" s="166">
        <f ca="1">SUBR!B69+SUNO!B68+SUSBO!B69+SUAG!B69+SULAW!B69+SUBOS!B67</f>
        <v>2005246</v>
      </c>
      <c r="C71" s="166">
        <f ca="1">SUBR!C69+SUNO!C68+SUSBO!C69+SUAG!C69+SULAW!C69+SUBOS!C67</f>
        <v>1663608</v>
      </c>
      <c r="D71" s="166">
        <f ca="1">SUBR!D69+SUNO!D68+SUSBO!D69+SUAG!D69+SULAW!D69+SUBOS!D67</f>
        <v>1539720</v>
      </c>
      <c r="E71" s="178">
        <f t="shared" si="4"/>
        <v>-465526</v>
      </c>
      <c r="F71" s="369">
        <f t="shared" si="5"/>
        <v>-0.23215405990088001</v>
      </c>
      <c r="G71" s="24"/>
      <c r="H71" s="24"/>
    </row>
    <row r="72" spans="1:8" ht="35.25">
      <c r="A72" s="119" t="s">
        <v>62</v>
      </c>
      <c r="B72" s="120">
        <f ca="1">SUM(B69:B71)</f>
        <v>19839427</v>
      </c>
      <c r="C72" s="120">
        <f ca="1">SUM(C69:C71)</f>
        <v>18602907</v>
      </c>
      <c r="D72" s="120">
        <f ca="1">SUM(D69:D71)</f>
        <v>17226908</v>
      </c>
      <c r="E72" s="465">
        <f t="shared" si="4"/>
        <v>-2612519</v>
      </c>
      <c r="F72" s="390">
        <f t="shared" si="5"/>
        <v>-0.13168318822917618</v>
      </c>
      <c r="G72" s="24"/>
      <c r="H72" s="24"/>
    </row>
    <row r="73" spans="1:8" ht="34.5">
      <c r="A73" s="117" t="s">
        <v>63</v>
      </c>
      <c r="B73" s="118">
        <f ca="1">SUBR!B71+SUNO!B70+SUSBO!B71+SUAG!B71+SULAW!B71+SUBOS!B69</f>
        <v>588032</v>
      </c>
      <c r="C73" s="118">
        <f ca="1">SUBR!C71+SUNO!C70+SUSBO!C71+SUAG!C71+SULAW!C71+SUBOS!C69</f>
        <v>452345</v>
      </c>
      <c r="D73" s="118">
        <f ca="1">SUBR!D71+SUNO!D70+SUSBO!D71+SUAG!D71+SULAW!D71+SUBOS!D69</f>
        <v>352661</v>
      </c>
      <c r="E73" s="178">
        <f t="shared" si="4"/>
        <v>-235371</v>
      </c>
      <c r="F73" s="369">
        <f t="shared" si="5"/>
        <v>-0.40026903297779715</v>
      </c>
      <c r="G73" s="24"/>
      <c r="H73" s="24"/>
    </row>
    <row r="74" spans="1:8" ht="34.5">
      <c r="A74" s="117" t="s">
        <v>64</v>
      </c>
      <c r="B74" s="118">
        <f ca="1">SUBR!B72+SUNO!B71+SUSBO!B72+SUAG!B72+SULAW!B72+SUBOS!B70</f>
        <v>12655205</v>
      </c>
      <c r="C74" s="118">
        <f ca="1">SUBR!C72+SUNO!C71+SUSBO!C72+SUAG!C72+SULAW!C72+SUBOS!C70</f>
        <v>13866798</v>
      </c>
      <c r="D74" s="118">
        <f ca="1">SUBR!D72+SUNO!D71+SUSBO!D72+SUAG!D72+SULAW!D72+SUBOS!D70</f>
        <v>13846245</v>
      </c>
      <c r="E74" s="178">
        <f t="shared" si="4"/>
        <v>1191040</v>
      </c>
      <c r="F74" s="369">
        <f t="shared" si="5"/>
        <v>9.4114635045422015E-2</v>
      </c>
      <c r="G74" s="24"/>
      <c r="H74" s="24"/>
    </row>
    <row r="75" spans="1:8" ht="34.5">
      <c r="A75" s="126" t="s">
        <v>65</v>
      </c>
      <c r="B75" s="128">
        <f ca="1">SUBR!B73+SUNO!B72+SUSBO!B73+SUAG!B73+SULAW!B73+SUBOS!B71</f>
        <v>55650</v>
      </c>
      <c r="C75" s="128">
        <f ca="1">SUBR!C73+SUNO!C72+SUSBO!C73+SUAG!C73+SULAW!C73+SUBOS!C71</f>
        <v>75542</v>
      </c>
      <c r="D75" s="128">
        <f ca="1">SUBR!D73+SUNO!D72+SUSBO!D73+SUAG!D73+SULAW!D73+SUBOS!D71</f>
        <v>75542</v>
      </c>
      <c r="E75" s="178">
        <f t="shared" si="4"/>
        <v>19892</v>
      </c>
      <c r="F75" s="369">
        <f t="shared" si="5"/>
        <v>0.35744833782569629</v>
      </c>
      <c r="G75" s="24"/>
      <c r="H75" s="24"/>
    </row>
    <row r="76" spans="1:8" ht="34.5">
      <c r="A76" s="117" t="s">
        <v>66</v>
      </c>
      <c r="B76" s="118">
        <f ca="1">SUBR!B74+SUNO!B73+SUSBO!B74+SUAG!B74+SULAW!B74+SUBOS!B72</f>
        <v>2059964</v>
      </c>
      <c r="C76" s="118">
        <f ca="1">SUBR!C74+SUNO!C73+SUSBO!C74+SUAG!C74+SULAW!C74+SUBOS!C72</f>
        <v>208464</v>
      </c>
      <c r="D76" s="118">
        <f ca="1">SUBR!D74+SUNO!D73+SUSBO!D74+SUAG!D74+SULAW!D74+SUBOS!D72</f>
        <v>208464</v>
      </c>
      <c r="E76" s="178">
        <f t="shared" si="4"/>
        <v>-1851500</v>
      </c>
      <c r="F76" s="369">
        <f t="shared" si="5"/>
        <v>-0.89880211498841722</v>
      </c>
      <c r="G76" s="24"/>
      <c r="H76" s="24"/>
    </row>
    <row r="77" spans="1:8" ht="35.25">
      <c r="A77" s="114" t="s">
        <v>67</v>
      </c>
      <c r="B77" s="116">
        <f ca="1">SUM(B73:B76)</f>
        <v>15358851</v>
      </c>
      <c r="C77" s="116">
        <f ca="1">SUM(C73:C76)</f>
        <v>14603149</v>
      </c>
      <c r="D77" s="116">
        <f ca="1">SUM(D73:D76)</f>
        <v>14482912</v>
      </c>
      <c r="E77" s="465">
        <f t="shared" si="4"/>
        <v>-875939</v>
      </c>
      <c r="F77" s="390">
        <f t="shared" si="5"/>
        <v>-5.703154487272518E-2</v>
      </c>
      <c r="G77" s="24"/>
      <c r="H77" s="24"/>
    </row>
    <row r="78" spans="1:8" ht="34.5">
      <c r="A78" s="117" t="s">
        <v>68</v>
      </c>
      <c r="B78" s="118">
        <f ca="1">SUBR!B76+SUNO!B75+SUSBO!B76+SUAG!B76+SULAW!B76+SUBOS!B74</f>
        <v>649509</v>
      </c>
      <c r="C78" s="118">
        <f ca="1">SUBR!C76+SUNO!C75+SUSBO!C76+SUAG!C76+SULAW!C76+SUBOS!C74</f>
        <v>782091</v>
      </c>
      <c r="D78" s="118">
        <f ca="1">SUBR!D76+SUNO!D75+SUSBO!D76+SUAG!D76+SULAW!D76+SUBOS!D74</f>
        <v>474169</v>
      </c>
      <c r="E78" s="178">
        <f t="shared" si="4"/>
        <v>-175340</v>
      </c>
      <c r="F78" s="369">
        <f t="shared" si="5"/>
        <v>-0.26995776809867145</v>
      </c>
      <c r="G78" s="24"/>
      <c r="H78" s="24"/>
    </row>
    <row r="79" spans="1:8" ht="34.5">
      <c r="A79" s="117" t="s">
        <v>69</v>
      </c>
      <c r="B79" s="118">
        <f ca="1">SUBR!B77+SUNO!B76+SUSBO!B77+SUAG!B77+SULAW!B77+SUBOS!B75</f>
        <v>1156212</v>
      </c>
      <c r="C79" s="118">
        <f ca="1">SUBR!C77+SUNO!C76+SUSBO!C77+SUAG!C77+SULAW!C77+SUBOS!C75</f>
        <v>1244297</v>
      </c>
      <c r="D79" s="118">
        <f ca="1">SUBR!D77+SUNO!D76+SUSBO!D77+SUAG!D77+SULAW!D77+SUBOS!D75</f>
        <v>406946</v>
      </c>
      <c r="E79" s="178">
        <f t="shared" si="4"/>
        <v>-749266</v>
      </c>
      <c r="F79" s="369">
        <f t="shared" si="5"/>
        <v>-0.64803513542499125</v>
      </c>
      <c r="G79" s="24"/>
      <c r="H79" s="24"/>
    </row>
    <row r="80" spans="1:8" ht="34.5">
      <c r="A80" s="117" t="s">
        <v>70</v>
      </c>
      <c r="B80" s="118">
        <f ca="1">SUBR!B78+SUNO!B77+SUSBO!B78+SUAG!B78+SULAW!B78+SUBOS!B76</f>
        <v>2232897</v>
      </c>
      <c r="C80" s="118">
        <f ca="1">SUBR!C78+SUNO!C77+SUSBO!C78+SUAG!C78+SULAW!C78+SUBOS!C76</f>
        <v>10000</v>
      </c>
      <c r="D80" s="118">
        <f ca="1">SUBR!D78+SUNO!D77+SUSBO!D78+SUAG!D78+SULAW!D78+SUBOS!D76</f>
        <v>10000</v>
      </c>
      <c r="E80" s="178">
        <f t="shared" si="4"/>
        <v>-2222897</v>
      </c>
      <c r="F80" s="369">
        <f t="shared" si="5"/>
        <v>-0.99552151308367565</v>
      </c>
      <c r="G80" s="24"/>
      <c r="H80" s="24"/>
    </row>
    <row r="81" spans="1:49" ht="35.25">
      <c r="A81" s="114" t="s">
        <v>71</v>
      </c>
      <c r="B81" s="116">
        <f>SUM(B78:B80)</f>
        <v>4038618</v>
      </c>
      <c r="C81" s="116">
        <f>SUM(C78:C80)</f>
        <v>2036388</v>
      </c>
      <c r="D81" s="116">
        <f>SUM(D78:D80)</f>
        <v>891115</v>
      </c>
      <c r="E81" s="465">
        <f t="shared" si="4"/>
        <v>-3147503</v>
      </c>
      <c r="F81" s="390">
        <f t="shared" si="5"/>
        <v>-0.77935150093423045</v>
      </c>
      <c r="G81" s="24"/>
      <c r="H81" s="24"/>
    </row>
    <row r="82" spans="1:49" s="163" customFormat="1" ht="45" thickBot="1">
      <c r="A82" s="164" t="s">
        <v>53</v>
      </c>
      <c r="B82" s="165">
        <f>+B81+B77+B72+B68</f>
        <v>149461630</v>
      </c>
      <c r="C82" s="165">
        <f>+C81+C77+C72+C68+1</f>
        <v>148556149</v>
      </c>
      <c r="D82" s="165">
        <f>+D81+D77+D72+D68</f>
        <v>141286877.60394999</v>
      </c>
      <c r="E82" s="466">
        <f t="shared" si="4"/>
        <v>-8174752.3960500062</v>
      </c>
      <c r="F82" s="348">
        <f t="shared" si="5"/>
        <v>-5.4694655718996281E-2</v>
      </c>
    </row>
    <row r="83" spans="1:49" s="163" customFormat="1" ht="44.25">
      <c r="A83" s="261"/>
      <c r="B83" s="261"/>
      <c r="C83" s="261"/>
      <c r="D83" s="261"/>
      <c r="E83" s="261"/>
      <c r="F83" s="384"/>
    </row>
    <row r="84" spans="1:49" s="163" customFormat="1" ht="44.25">
      <c r="A84" s="163" t="s">
        <v>99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A85" s="163" t="s">
        <v>72</v>
      </c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opLeftCell="A67" zoomScale="30" zoomScaleNormal="30" workbookViewId="0">
      <selection activeCell="E6" sqref="E6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301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 t="s">
        <v>35</v>
      </c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5.25" thickBot="1">
      <c r="A8" s="30" t="s">
        <v>14</v>
      </c>
      <c r="B8" s="92">
        <v>51028266</v>
      </c>
      <c r="C8" s="92">
        <v>51028266</v>
      </c>
      <c r="D8" s="92">
        <v>33567574</v>
      </c>
      <c r="E8" s="178">
        <f>D8-B8</f>
        <v>-17460692</v>
      </c>
      <c r="F8" s="470">
        <f>IF(ISBLANK(E8),"  ",IF(B8&gt;0,E8/B8,IF(E8&gt;0,1,0)))</f>
        <v>-0.34217686330944502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3634827</v>
      </c>
      <c r="E9" s="178">
        <f>D9-B9</f>
        <v>3634827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2222308</v>
      </c>
      <c r="C10" s="93">
        <v>2290697</v>
      </c>
      <c r="D10" s="93">
        <v>1981759</v>
      </c>
      <c r="E10" s="468">
        <f>D10-C10</f>
        <v>-308938</v>
      </c>
      <c r="F10" s="369">
        <f t="shared" si="0"/>
        <v>-0.13901673395406938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307489</v>
      </c>
      <c r="E11" s="178">
        <f>D11-B11</f>
        <v>307489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2222308</v>
      </c>
      <c r="C12" s="93">
        <v>2290693</v>
      </c>
      <c r="D12" s="93">
        <v>1981759</v>
      </c>
      <c r="E12" s="178">
        <f>D12-B12</f>
        <v>-240549</v>
      </c>
      <c r="F12" s="369">
        <f t="shared" si="0"/>
        <v>-0.10824287182514755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94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53250574</v>
      </c>
      <c r="C31" s="122">
        <f>C30+C29+C27+C10+C9+C8</f>
        <v>53318963</v>
      </c>
      <c r="D31" s="122">
        <f>D30+D29+D27+D10+D9+D8</f>
        <v>39184160</v>
      </c>
      <c r="E31" s="472">
        <f>D31-B31</f>
        <v>-14066414</v>
      </c>
      <c r="F31" s="390">
        <f t="shared" si="0"/>
        <v>-0.26415516197064842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10" ht="35.25">
      <c r="A33" s="130" t="s">
        <v>34</v>
      </c>
      <c r="B33" s="147"/>
      <c r="C33" s="147"/>
      <c r="D33" s="147"/>
      <c r="E33" s="92"/>
      <c r="F33" s="366" t="str">
        <f>IF(ISBLANK(E33),"  ",IF(C33&gt;0,E33/C33,IF(E33&gt;0,1,0)))</f>
        <v xml:space="preserve">  </v>
      </c>
      <c r="G33" s="24"/>
      <c r="H33" s="24"/>
    </row>
    <row r="34" spans="1:10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10" ht="35.25">
      <c r="A35" s="137" t="s">
        <v>36</v>
      </c>
      <c r="B35" s="147">
        <v>2050081</v>
      </c>
      <c r="C35" s="147">
        <v>2181188</v>
      </c>
      <c r="D35" s="147">
        <v>2181188</v>
      </c>
      <c r="E35" s="465">
        <f>D35-B35</f>
        <v>131107</v>
      </c>
      <c r="F35" s="399">
        <f>IF(ISBLANK(E35),"  ",IF(B35&gt;0,E35/B35,IF(E35&gt;0,1,0)))</f>
        <v>6.3952107258201024E-2</v>
      </c>
      <c r="G35" s="24"/>
      <c r="H35" s="24"/>
    </row>
    <row r="36" spans="1:10" ht="35.25">
      <c r="A36" s="30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10" ht="35.25">
      <c r="A37" s="130" t="s">
        <v>97</v>
      </c>
      <c r="B37" s="147">
        <v>0</v>
      </c>
      <c r="C37" s="147">
        <v>0</v>
      </c>
      <c r="D37" s="147">
        <v>7656104</v>
      </c>
      <c r="E37" s="465">
        <f>D37-B37</f>
        <v>7656104</v>
      </c>
      <c r="F37" s="399">
        <f>IF(ISBLANK(E37),"  ",IF(B37&gt;0,E37/B37,IF(E37&gt;0,1,0)))</f>
        <v>1</v>
      </c>
      <c r="G37" s="24"/>
      <c r="H37" s="24"/>
    </row>
    <row r="38" spans="1:10" ht="35.25">
      <c r="A38" s="132" t="s">
        <v>35</v>
      </c>
      <c r="B38" s="133"/>
      <c r="C38" s="133"/>
      <c r="D38" s="133"/>
      <c r="E38" s="133"/>
      <c r="F38" s="345" t="str">
        <f>IF(ISBLANK(E38),"  ",IF(C38&gt;0,E38/C38,IF(E38&gt;0,1,0)))</f>
        <v xml:space="preserve">  </v>
      </c>
      <c r="G38" s="24"/>
      <c r="H38" s="24"/>
    </row>
    <row r="39" spans="1:10" ht="35.25">
      <c r="A39" s="130" t="s">
        <v>37</v>
      </c>
      <c r="B39" s="147">
        <v>35025417</v>
      </c>
      <c r="C39" s="147">
        <v>34942784</v>
      </c>
      <c r="D39" s="147">
        <v>37321442</v>
      </c>
      <c r="E39" s="465">
        <f>D39-B39</f>
        <v>2296025</v>
      </c>
      <c r="F39" s="399">
        <f>IF(ISBLANK(E39),"  ",IF(B39&gt;0,E39/B39,IF(E39&gt;0,1,0)))</f>
        <v>6.5553109617510055E-2</v>
      </c>
      <c r="G39" s="24"/>
      <c r="H39" s="24"/>
    </row>
    <row r="40" spans="1:10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10" ht="35.25">
      <c r="A41" s="130" t="s">
        <v>38</v>
      </c>
      <c r="B41" s="147"/>
      <c r="C41" s="147"/>
      <c r="D41" s="147"/>
      <c r="E41" s="147"/>
      <c r="F41" s="366" t="str">
        <f>IF(ISBLANK(E41),"  ",IF(C41&gt;0,E41/C41,IF(E41&gt;0,1,0)))</f>
        <v xml:space="preserve">  </v>
      </c>
      <c r="G41" s="24"/>
      <c r="H41" s="24"/>
    </row>
    <row r="42" spans="1:10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10" ht="35.25">
      <c r="A43" s="137" t="s">
        <v>39</v>
      </c>
      <c r="B43" s="147">
        <f>B41+B39+B37+B35+B31</f>
        <v>90326072</v>
      </c>
      <c r="C43" s="147">
        <f>C41+C39+C37+C35+C31</f>
        <v>90442935</v>
      </c>
      <c r="D43" s="147">
        <f>D41+D39+D37+D35+D31+D11</f>
        <v>86650383</v>
      </c>
      <c r="E43" s="465">
        <f>D43-B43</f>
        <v>-3675689</v>
      </c>
      <c r="F43" s="399">
        <f>IF(ISBLANK(E43),"  ",IF(B43&gt;0,E43/B43,IF(E43&gt;0,1,0)))</f>
        <v>-4.0693555233974971E-2</v>
      </c>
      <c r="G43" s="24"/>
      <c r="H43" s="24"/>
    </row>
    <row r="44" spans="1:10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10" ht="35.25">
      <c r="A45" s="119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119" t="s">
        <v>40</v>
      </c>
      <c r="B46" s="95"/>
      <c r="C46" s="95"/>
      <c r="D46" s="95"/>
      <c r="E46" s="95"/>
      <c r="F46" s="345" t="str">
        <f>IF(ISBLANK(E46),"  ",IF(C46&gt;0,E46/C46,IF(E46&gt;0,1,0)))</f>
        <v xml:space="preserve">  </v>
      </c>
      <c r="G46" s="24"/>
      <c r="H46" s="24"/>
    </row>
    <row r="47" spans="1:10" ht="34.5">
      <c r="A47" s="263" t="s">
        <v>41</v>
      </c>
      <c r="B47" s="264">
        <v>38857029</v>
      </c>
      <c r="C47" s="264">
        <v>42141934</v>
      </c>
      <c r="D47" s="264">
        <v>40691477</v>
      </c>
      <c r="E47" s="178">
        <f t="shared" ref="E47:E55" si="1">D47-B47</f>
        <v>1834448</v>
      </c>
      <c r="F47" s="397">
        <f>IF(ISBLANK(E47),"  ",IF(B47&gt;0,E47/B47,IF(E47&gt;0,1,0)))</f>
        <v>4.7210197156349755E-2</v>
      </c>
      <c r="G47" s="24"/>
      <c r="H47" s="24"/>
    </row>
    <row r="48" spans="1:10" ht="34.5">
      <c r="A48" s="168" t="s">
        <v>42</v>
      </c>
      <c r="B48" s="169">
        <v>481544</v>
      </c>
      <c r="C48" s="169">
        <v>490743</v>
      </c>
      <c r="D48" s="169">
        <v>426048</v>
      </c>
      <c r="E48" s="178">
        <f t="shared" si="1"/>
        <v>-55496</v>
      </c>
      <c r="F48" s="397">
        <f t="shared" ref="F48:F55" si="2">IF(ISBLANK(E48),"  ",IF(B48&gt;0,E48/B48,IF(E48&gt;0,1,0)))</f>
        <v>-0.11524595883242238</v>
      </c>
      <c r="G48" s="24"/>
      <c r="H48" s="24"/>
    </row>
    <row r="49" spans="1:8" ht="34.5">
      <c r="A49" s="155" t="s">
        <v>43</v>
      </c>
      <c r="B49" s="154">
        <v>302485</v>
      </c>
      <c r="C49" s="154">
        <v>524190</v>
      </c>
      <c r="D49" s="154">
        <v>410125</v>
      </c>
      <c r="E49" s="178">
        <f t="shared" si="1"/>
        <v>107640</v>
      </c>
      <c r="F49" s="369">
        <f t="shared" si="2"/>
        <v>0.35585235631518919</v>
      </c>
      <c r="G49" s="24"/>
      <c r="H49" s="24"/>
    </row>
    <row r="50" spans="1:8" ht="34.5">
      <c r="A50" s="156" t="s">
        <v>44</v>
      </c>
      <c r="B50" s="157">
        <v>10012005</v>
      </c>
      <c r="C50" s="157">
        <v>10471728</v>
      </c>
      <c r="D50" s="157">
        <v>10075456</v>
      </c>
      <c r="E50" s="178">
        <f t="shared" si="1"/>
        <v>63451</v>
      </c>
      <c r="F50" s="369">
        <f t="shared" si="2"/>
        <v>6.3374918410448256E-3</v>
      </c>
      <c r="G50" s="24"/>
      <c r="H50" s="24"/>
    </row>
    <row r="51" spans="1:8" ht="34.5">
      <c r="A51" s="158" t="s">
        <v>45</v>
      </c>
      <c r="B51" s="159">
        <v>3850715</v>
      </c>
      <c r="C51" s="159">
        <v>4298958</v>
      </c>
      <c r="D51" s="159">
        <v>3951040</v>
      </c>
      <c r="E51" s="178">
        <f t="shared" si="1"/>
        <v>100325</v>
      </c>
      <c r="F51" s="369">
        <f t="shared" si="2"/>
        <v>2.6053603032164155E-2</v>
      </c>
      <c r="G51" s="24"/>
      <c r="H51" s="24"/>
    </row>
    <row r="52" spans="1:8" ht="34.5">
      <c r="A52" s="158" t="s">
        <v>74</v>
      </c>
      <c r="B52" s="159">
        <v>15303003</v>
      </c>
      <c r="C52" s="159">
        <v>12788298</v>
      </c>
      <c r="D52" s="159">
        <v>12186939</v>
      </c>
      <c r="E52" s="178">
        <f t="shared" si="1"/>
        <v>-3116064</v>
      </c>
      <c r="F52" s="369">
        <f t="shared" si="2"/>
        <v>-0.20362434745650904</v>
      </c>
      <c r="G52" s="24"/>
      <c r="H52" s="24"/>
    </row>
    <row r="53" spans="1:8" ht="34.5">
      <c r="A53" s="156" t="s">
        <v>46</v>
      </c>
      <c r="B53" s="159">
        <v>4335981</v>
      </c>
      <c r="C53" s="159">
        <v>4082350</v>
      </c>
      <c r="D53" s="159">
        <v>4082350</v>
      </c>
      <c r="E53" s="178">
        <f t="shared" si="1"/>
        <v>-253631</v>
      </c>
      <c r="F53" s="369">
        <f t="shared" si="2"/>
        <v>-5.8494490635452506E-2</v>
      </c>
      <c r="G53" s="24"/>
      <c r="H53" s="24"/>
    </row>
    <row r="54" spans="1:8" ht="34.5">
      <c r="A54" s="153" t="s">
        <v>47</v>
      </c>
      <c r="B54" s="160">
        <v>13159270</v>
      </c>
      <c r="C54" s="160">
        <v>13044845</v>
      </c>
      <c r="D54" s="160">
        <v>12644515</v>
      </c>
      <c r="E54" s="178">
        <f t="shared" si="1"/>
        <v>-514755</v>
      </c>
      <c r="F54" s="369">
        <f t="shared" si="2"/>
        <v>-3.9117291460696528E-2</v>
      </c>
      <c r="G54" s="24"/>
      <c r="H54" s="24"/>
    </row>
    <row r="55" spans="1:8" ht="35.25">
      <c r="A55" s="114" t="s">
        <v>48</v>
      </c>
      <c r="B55" s="116">
        <f>SUM(B47:B54)</f>
        <v>86302032</v>
      </c>
      <c r="C55" s="116">
        <f>SUM(C47:C54)</f>
        <v>87843046</v>
      </c>
      <c r="D55" s="116">
        <f>SUM(D47:D54)</f>
        <v>84467950</v>
      </c>
      <c r="E55" s="465">
        <f t="shared" si="1"/>
        <v>-1834082</v>
      </c>
      <c r="F55" s="390">
        <f t="shared" si="2"/>
        <v>-2.1251898217182187E-2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469"/>
      <c r="F56" s="397" t="str">
        <f>IF(ISBLANK(E56),"  ",IF(C56&gt;0,E56/C56,IF(E56&gt;0,1,0)))</f>
        <v xml:space="preserve">  </v>
      </c>
      <c r="G56" s="24"/>
      <c r="H56" s="24"/>
    </row>
    <row r="57" spans="1:8" ht="34.5">
      <c r="A57" s="117" t="s">
        <v>50</v>
      </c>
      <c r="B57" s="118">
        <v>0</v>
      </c>
      <c r="C57" s="118">
        <v>2224885</v>
      </c>
      <c r="D57" s="118">
        <v>1807433</v>
      </c>
      <c r="E57" s="178">
        <f>D57-B57</f>
        <v>1807433</v>
      </c>
      <c r="F57" s="397">
        <f>IF(ISBLANK(E57),"  ",IF(B57&gt;0,E57/B57,IF(E57&gt;0,1,0)))</f>
        <v>1</v>
      </c>
      <c r="G57" s="24"/>
      <c r="H57" s="24"/>
    </row>
    <row r="58" spans="1:8" ht="34.5">
      <c r="A58" s="117" t="s">
        <v>51</v>
      </c>
      <c r="B58" s="93">
        <v>1422042</v>
      </c>
      <c r="C58" s="93">
        <v>375000</v>
      </c>
      <c r="D58" s="93">
        <v>375000</v>
      </c>
      <c r="E58" s="178">
        <f>D58-B58</f>
        <v>-1047042</v>
      </c>
      <c r="F58" s="369">
        <f>IF(ISBLANK(E58),"  ",IF(B58&gt;0,E58/B58,IF(E58&gt;0,1,0)))</f>
        <v>-0.73629470859510482</v>
      </c>
      <c r="G58" s="24"/>
      <c r="H58" s="24"/>
    </row>
    <row r="59" spans="1:8" ht="34.5">
      <c r="A59" s="117" t="s">
        <v>52</v>
      </c>
      <c r="B59" s="93">
        <v>2601998</v>
      </c>
      <c r="C59" s="93">
        <v>0</v>
      </c>
      <c r="D59" s="93">
        <v>0</v>
      </c>
      <c r="E59" s="178">
        <f>D59-B59</f>
        <v>-2601998</v>
      </c>
      <c r="F59" s="369">
        <f>IF(ISBLANK(E59),"  ",IF(B59&gt;0,E59/B59,IF(E59&gt;0,1,0)))</f>
        <v>-1</v>
      </c>
      <c r="G59" s="24"/>
      <c r="H59" s="24"/>
    </row>
    <row r="60" spans="1:8" ht="35.25">
      <c r="A60" s="114" t="s">
        <v>53</v>
      </c>
      <c r="B60" s="116">
        <f>B59+B58+B57+B56+B55</f>
        <v>90326072</v>
      </c>
      <c r="C60" s="116">
        <f>C59+C58+C57+C56+C55</f>
        <v>90442931</v>
      </c>
      <c r="D60" s="116">
        <f>D59+D58+D57+D56+D55</f>
        <v>86650383</v>
      </c>
      <c r="E60" s="465">
        <f>D60-B60</f>
        <v>-3675689</v>
      </c>
      <c r="F60" s="390">
        <f>IF(ISBLANK(E60),"  ",IF(B60&gt;0,E60/B60,IF(E60&gt;0,1,0)))</f>
        <v>-4.0693555233974971E-2</v>
      </c>
      <c r="G60" s="24"/>
      <c r="H60" s="24"/>
    </row>
    <row r="61" spans="1:8" ht="35.25">
      <c r="A61" s="117"/>
      <c r="B61" s="116"/>
      <c r="C61" s="116"/>
      <c r="D61" s="116"/>
      <c r="E61" s="127"/>
      <c r="F61" s="357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20"/>
      <c r="C62" s="120"/>
      <c r="D62" s="120"/>
      <c r="E62" s="436"/>
      <c r="F62" s="38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52359129</v>
      </c>
      <c r="C63" s="254">
        <v>52753724</v>
      </c>
      <c r="D63" s="254">
        <v>49721142</v>
      </c>
      <c r="E63" s="178">
        <f t="shared" ref="E63:E72" si="3">D63-B63</f>
        <v>-2637987</v>
      </c>
      <c r="F63" s="397">
        <f t="shared" ref="F63:F72" si="4">IF(ISBLANK(E63),"  ",IF(B63&gt;0,E63/B63,IF(E63&gt;0,1,0)))</f>
        <v>-5.0382560794699237E-2</v>
      </c>
      <c r="G63" s="24"/>
      <c r="H63" s="24"/>
    </row>
    <row r="64" spans="1:8" ht="34.5">
      <c r="A64" s="150" t="s">
        <v>56</v>
      </c>
      <c r="B64" s="256">
        <v>394047</v>
      </c>
      <c r="C64" s="256">
        <v>134477</v>
      </c>
      <c r="D64" s="256">
        <v>74477</v>
      </c>
      <c r="E64" s="178">
        <f t="shared" si="3"/>
        <v>-319570</v>
      </c>
      <c r="F64" s="369">
        <f t="shared" si="4"/>
        <v>-0.81099462754442997</v>
      </c>
      <c r="G64" s="24"/>
      <c r="H64" s="24"/>
    </row>
    <row r="65" spans="1:10" ht="34.5">
      <c r="A65" s="30" t="s">
        <v>57</v>
      </c>
      <c r="B65" s="92">
        <v>15569322</v>
      </c>
      <c r="C65" s="92">
        <v>16426312</v>
      </c>
      <c r="D65" s="92">
        <v>15915392</v>
      </c>
      <c r="E65" s="178">
        <f t="shared" si="3"/>
        <v>346070</v>
      </c>
      <c r="F65" s="369">
        <f t="shared" si="4"/>
        <v>2.2227685958322398E-2</v>
      </c>
      <c r="G65" s="24"/>
      <c r="H65" s="24"/>
    </row>
    <row r="66" spans="1:10" ht="35.25">
      <c r="A66" s="114" t="s">
        <v>58</v>
      </c>
      <c r="B66" s="116">
        <f>SUM(B63:B65)</f>
        <v>68322498</v>
      </c>
      <c r="C66" s="116">
        <f>SUM(C63:C65)</f>
        <v>69314513</v>
      </c>
      <c r="D66" s="116">
        <f>SUM(D63:D65)</f>
        <v>65711011</v>
      </c>
      <c r="E66" s="465">
        <f t="shared" si="3"/>
        <v>-2611487</v>
      </c>
      <c r="F66" s="390">
        <f t="shared" si="4"/>
        <v>-3.822294378053917E-2</v>
      </c>
      <c r="G66" s="24"/>
      <c r="H66" s="24"/>
    </row>
    <row r="67" spans="1:10" ht="34.5">
      <c r="A67" s="117" t="s">
        <v>59</v>
      </c>
      <c r="B67" s="118">
        <v>392816</v>
      </c>
      <c r="C67" s="118">
        <v>430020</v>
      </c>
      <c r="D67" s="118">
        <v>463020</v>
      </c>
      <c r="E67" s="178">
        <f t="shared" si="3"/>
        <v>70204</v>
      </c>
      <c r="F67" s="369">
        <f t="shared" si="4"/>
        <v>0.17871980774713861</v>
      </c>
      <c r="G67" s="24"/>
      <c r="H67" s="24"/>
      <c r="J67" s="471"/>
    </row>
    <row r="68" spans="1:10" ht="34.5">
      <c r="A68" s="126" t="s">
        <v>60</v>
      </c>
      <c r="B68" s="118">
        <v>10017500</v>
      </c>
      <c r="C68" s="118">
        <v>10060254</v>
      </c>
      <c r="D68" s="118">
        <v>9725406</v>
      </c>
      <c r="E68" s="178">
        <f t="shared" si="3"/>
        <v>-292094</v>
      </c>
      <c r="F68" s="369">
        <f t="shared" si="4"/>
        <v>-2.9158372847516847E-2</v>
      </c>
      <c r="G68" s="24"/>
      <c r="H68" s="24"/>
    </row>
    <row r="69" spans="1:10" ht="34.5">
      <c r="A69" s="151" t="s">
        <v>61</v>
      </c>
      <c r="B69" s="166">
        <v>1072057</v>
      </c>
      <c r="C69" s="166">
        <v>961188</v>
      </c>
      <c r="D69" s="166">
        <v>999415</v>
      </c>
      <c r="E69" s="178">
        <f t="shared" si="3"/>
        <v>-72642</v>
      </c>
      <c r="F69" s="369">
        <f t="shared" si="4"/>
        <v>-6.7759456819926553E-2</v>
      </c>
      <c r="G69" s="24"/>
      <c r="H69" s="24"/>
    </row>
    <row r="70" spans="1:10" ht="35.25">
      <c r="A70" s="265" t="s">
        <v>62</v>
      </c>
      <c r="B70" s="174">
        <f>SUM(B67:B69)</f>
        <v>11482373</v>
      </c>
      <c r="C70" s="174">
        <f>SUM(C67:C69)</f>
        <v>11451462</v>
      </c>
      <c r="D70" s="174">
        <f>SUM(D67:D69)</f>
        <v>11187841</v>
      </c>
      <c r="E70" s="465">
        <f t="shared" si="3"/>
        <v>-294532</v>
      </c>
      <c r="F70" s="390">
        <f t="shared" si="4"/>
        <v>-2.5650795353887215E-2</v>
      </c>
      <c r="G70" s="24"/>
      <c r="H70" s="24"/>
    </row>
    <row r="71" spans="1:10" ht="34.5">
      <c r="A71" s="176" t="s">
        <v>63</v>
      </c>
      <c r="B71" s="177">
        <v>229582</v>
      </c>
      <c r="C71" s="177">
        <v>215867</v>
      </c>
      <c r="D71" s="177">
        <v>145867</v>
      </c>
      <c r="E71" s="178">
        <f t="shared" si="3"/>
        <v>-83715</v>
      </c>
      <c r="F71" s="369">
        <f t="shared" si="4"/>
        <v>-0.36464095617252223</v>
      </c>
      <c r="G71" s="24"/>
      <c r="H71" s="24"/>
    </row>
    <row r="72" spans="1:10" ht="34.5">
      <c r="A72" s="117" t="s">
        <v>64</v>
      </c>
      <c r="B72" s="118">
        <v>9368435</v>
      </c>
      <c r="C72" s="118">
        <v>8720767</v>
      </c>
      <c r="D72" s="118">
        <v>9150193</v>
      </c>
      <c r="E72" s="178">
        <f t="shared" si="3"/>
        <v>-218242</v>
      </c>
      <c r="F72" s="369">
        <f t="shared" si="4"/>
        <v>-2.3295459700579658E-2</v>
      </c>
      <c r="G72" s="24"/>
      <c r="H72" s="24"/>
    </row>
    <row r="73" spans="1:10" ht="34.5">
      <c r="A73" s="117" t="s">
        <v>65</v>
      </c>
      <c r="B73" s="118"/>
      <c r="C73" s="118"/>
      <c r="D73" s="118"/>
      <c r="E73" s="128"/>
      <c r="F73" s="371" t="str">
        <f>IF(ISBLANK(E73),"  ",IF(C73&gt;0,E73/C73,IF(E73&gt;0,1,0)))</f>
        <v xml:space="preserve">  </v>
      </c>
      <c r="G73" s="24"/>
      <c r="H73" s="24"/>
    </row>
    <row r="74" spans="1:10" ht="34.5">
      <c r="A74" s="126" t="s">
        <v>66</v>
      </c>
      <c r="B74" s="128"/>
      <c r="C74" s="128"/>
      <c r="D74" s="128"/>
      <c r="E74" s="157"/>
      <c r="F74" s="367" t="str">
        <f>IF(ISBLANK(E74),"  ",IF(C74&gt;0,E74/C74,IF(E74&gt;0,1,0)))</f>
        <v xml:space="preserve">  </v>
      </c>
      <c r="G74" s="24"/>
      <c r="H74" s="24"/>
    </row>
    <row r="75" spans="1:10" ht="35.25">
      <c r="A75" s="114" t="s">
        <v>67</v>
      </c>
      <c r="B75" s="116">
        <f>SUM(B71:B74)</f>
        <v>9598017</v>
      </c>
      <c r="C75" s="116">
        <f>SUM(C71:C74)</f>
        <v>8936634</v>
      </c>
      <c r="D75" s="116">
        <f>SUM(D71:D74)</f>
        <v>9296060</v>
      </c>
      <c r="E75" s="465">
        <f t="shared" ref="E75:E80" si="5">D75-B75</f>
        <v>-301957</v>
      </c>
      <c r="F75" s="399">
        <f t="shared" ref="F75:F80" si="6">IF(ISBLANK(E75),"  ",IF(B75&gt;0,E75/B75,IF(E75&gt;0,1,0)))</f>
        <v>-3.146035269577039E-2</v>
      </c>
      <c r="G75" s="24"/>
      <c r="H75" s="24"/>
    </row>
    <row r="76" spans="1:10" ht="34.5">
      <c r="A76" s="117" t="s">
        <v>68</v>
      </c>
      <c r="B76" s="118">
        <v>390984</v>
      </c>
      <c r="C76" s="118">
        <v>240322</v>
      </c>
      <c r="D76" s="118">
        <v>192822</v>
      </c>
      <c r="E76" s="178">
        <f t="shared" si="5"/>
        <v>-198162</v>
      </c>
      <c r="F76" s="369">
        <f t="shared" si="6"/>
        <v>-0.50682892394573686</v>
      </c>
      <c r="G76" s="24"/>
      <c r="H76" s="24"/>
    </row>
    <row r="77" spans="1:10" ht="34.5">
      <c r="A77" s="117" t="s">
        <v>69</v>
      </c>
      <c r="B77" s="118">
        <v>456387</v>
      </c>
      <c r="C77" s="118">
        <v>490000</v>
      </c>
      <c r="D77" s="118">
        <v>252649</v>
      </c>
      <c r="E77" s="178">
        <f t="shared" si="5"/>
        <v>-203738</v>
      </c>
      <c r="F77" s="369">
        <f t="shared" si="6"/>
        <v>-0.44641499429212489</v>
      </c>
      <c r="G77" s="24"/>
      <c r="H77" s="24"/>
    </row>
    <row r="78" spans="1:10" ht="34.5">
      <c r="A78" s="117" t="s">
        <v>70</v>
      </c>
      <c r="B78" s="118">
        <v>75813</v>
      </c>
      <c r="C78" s="118">
        <v>10000</v>
      </c>
      <c r="D78" s="118">
        <v>10000</v>
      </c>
      <c r="E78" s="178">
        <f t="shared" si="5"/>
        <v>-65813</v>
      </c>
      <c r="F78" s="369">
        <f t="shared" si="6"/>
        <v>-0.86809650060016097</v>
      </c>
      <c r="G78" s="24"/>
      <c r="H78" s="24"/>
    </row>
    <row r="79" spans="1:10" ht="35.25">
      <c r="A79" s="114" t="s">
        <v>71</v>
      </c>
      <c r="B79" s="116">
        <f>SUM(B76:B78)</f>
        <v>923184</v>
      </c>
      <c r="C79" s="116">
        <f>SUM(C76:C78)</f>
        <v>740322</v>
      </c>
      <c r="D79" s="116">
        <f>SUM(D76:D78)</f>
        <v>455471</v>
      </c>
      <c r="E79" s="465">
        <f t="shared" si="5"/>
        <v>-467713</v>
      </c>
      <c r="F79" s="390">
        <f t="shared" si="6"/>
        <v>-0.5066303142168842</v>
      </c>
      <c r="G79" s="24"/>
      <c r="H79" s="24"/>
    </row>
    <row r="80" spans="1:10" ht="36" thickBot="1">
      <c r="A80" s="164" t="s">
        <v>53</v>
      </c>
      <c r="B80" s="165">
        <f>B79+B75+B70+B66</f>
        <v>90326072</v>
      </c>
      <c r="C80" s="165">
        <f>C79+C75+C70+C66</f>
        <v>90442931</v>
      </c>
      <c r="D80" s="165">
        <f>D79+D75+D70+D66</f>
        <v>86650383</v>
      </c>
      <c r="E80" s="465">
        <f t="shared" si="5"/>
        <v>-3675689</v>
      </c>
      <c r="F80" s="348">
        <f t="shared" si="6"/>
        <v>-4.0693555233974971E-2</v>
      </c>
      <c r="G80" s="24"/>
      <c r="H80" s="24"/>
    </row>
    <row r="81" spans="1:49" ht="35.25">
      <c r="A81" s="257"/>
      <c r="B81" s="258"/>
      <c r="C81" s="258"/>
      <c r="D81" s="258"/>
      <c r="E81" s="258"/>
      <c r="F81" s="387"/>
      <c r="G81" s="24"/>
      <c r="H81" s="24"/>
    </row>
    <row r="82" spans="1:49" s="163" customFormat="1" ht="44.25">
      <c r="A82" s="262" t="s">
        <v>99</v>
      </c>
      <c r="B82" s="260"/>
      <c r="C82" s="260"/>
      <c r="D82" s="260"/>
      <c r="E82" s="260"/>
      <c r="F82" s="387"/>
    </row>
    <row r="83" spans="1:49" s="163" customFormat="1" ht="44.25">
      <c r="A83" s="261" t="s">
        <v>72</v>
      </c>
      <c r="B83" s="261"/>
      <c r="C83" s="261"/>
      <c r="D83" s="261"/>
      <c r="E83" s="261"/>
      <c r="F83" s="384"/>
    </row>
    <row r="84" spans="1:49" s="163" customFormat="1" ht="44.25">
      <c r="A84" s="163" t="s">
        <v>35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opLeftCell="A58" zoomScale="30" zoomScaleNormal="50" workbookViewId="0">
      <selection activeCell="C5" sqref="C5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17" t="s">
        <v>1</v>
      </c>
      <c r="D1" s="141" t="s">
        <v>177</v>
      </c>
      <c r="F1" s="370"/>
      <c r="G1" s="58"/>
      <c r="J1" s="18"/>
    </row>
    <row r="2" spans="1:10" ht="45">
      <c r="A2" s="17" t="s">
        <v>2</v>
      </c>
      <c r="B2" s="18"/>
      <c r="C2" s="18"/>
      <c r="D2" s="18"/>
      <c r="E2" s="20" t="s">
        <v>35</v>
      </c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114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14867242</v>
      </c>
      <c r="C8" s="92">
        <f>15614957-747715</f>
        <v>14867242</v>
      </c>
      <c r="D8" s="92">
        <f>10798090-1055856</f>
        <v>9742234</v>
      </c>
      <c r="E8" s="178">
        <f>D8-B8</f>
        <v>-5125008</v>
      </c>
      <c r="F8" s="397">
        <f>IF(ISBLANK(E8),"  ",IF(B8&gt;0,E8/B8,IF(E8&gt;0,1,0)))</f>
        <v>-0.34471813938321577</v>
      </c>
      <c r="G8" s="24"/>
      <c r="H8" s="24"/>
      <c r="I8" s="24"/>
      <c r="J8" s="24"/>
    </row>
    <row r="9" spans="1:10" ht="34.5">
      <c r="A9" s="153" t="s">
        <v>106</v>
      </c>
      <c r="B9" s="93">
        <v>0</v>
      </c>
      <c r="C9" s="93">
        <v>0</v>
      </c>
      <c r="D9" s="93">
        <v>1055856</v>
      </c>
      <c r="E9" s="178">
        <f>D9-B9</f>
        <v>1055856</v>
      </c>
      <c r="F9" s="369">
        <f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SUM(B12:B17)</f>
        <v>684777</v>
      </c>
      <c r="C10" s="93">
        <f>SUM(C12:C17)</f>
        <v>704766</v>
      </c>
      <c r="D10" s="93">
        <f>SUM(D11:D25)</f>
        <v>705781</v>
      </c>
      <c r="E10" s="468">
        <f>D10-C10</f>
        <v>1015</v>
      </c>
      <c r="F10" s="369">
        <f>IF(ISBLANK(E10),"  ",IF(B10&gt;0,E10/B10,IF(E10&gt;0,1,0)))</f>
        <v>1.4822343624274763E-3</v>
      </c>
      <c r="G10" s="24"/>
      <c r="H10" s="24"/>
      <c r="I10" s="24"/>
      <c r="J10" s="24"/>
    </row>
    <row r="11" spans="1:10" ht="34.5">
      <c r="A11" s="30" t="s">
        <v>82</v>
      </c>
      <c r="B11" s="93">
        <v>0</v>
      </c>
      <c r="C11" s="93">
        <v>0</v>
      </c>
      <c r="D11" s="93">
        <v>89320</v>
      </c>
      <c r="E11" s="178">
        <f>D11-B11</f>
        <v>89320</v>
      </c>
      <c r="F11" s="369">
        <f>IF(ISBLANK(E11),"  ",IF(B11&gt;0,E11/B11,IF(E11&gt;0,1,0)))</f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654766-19989</f>
        <v>634777</v>
      </c>
      <c r="C12" s="93">
        <v>654766</v>
      </c>
      <c r="D12" s="93">
        <v>566461</v>
      </c>
      <c r="E12" s="178">
        <f>D12-B12</f>
        <v>-68316</v>
      </c>
      <c r="F12" s="369">
        <f>IF(ISBLANK(E12),"  ",IF(B12&gt;0,E12/B12,IF(E12&gt;0,1,0)))</f>
        <v>-0.10762204679753677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2" t="str">
        <f t="shared" ref="F13:F61" si="0">IF(ISBLANK(E13),"  ",IF(C13&gt;0,E13/C13,IF(E13&gt;0,1,0)))</f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160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>
        <v>50000</v>
      </c>
      <c r="C16" s="93">
        <v>50000</v>
      </c>
      <c r="D16" s="93">
        <v>50000</v>
      </c>
      <c r="E16" s="178">
        <f>D16-B16</f>
        <v>0</v>
      </c>
      <c r="F16" s="397">
        <f>IF(ISBLANK(E16),"  ",IF(B16&gt;0,E16/B16,IF(E16&gt;0,1,0)))</f>
        <v>0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42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178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179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90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28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180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181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54"/>
      <c r="F30" s="390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B30+B29+B27+B10+B8</f>
        <v>15552019</v>
      </c>
      <c r="C31" s="122">
        <f>SUM(C8+C10)</f>
        <v>15572008</v>
      </c>
      <c r="D31" s="122">
        <f>SUM(D8+D9+D10)</f>
        <v>11503871</v>
      </c>
      <c r="E31" s="465">
        <f>D31-B31</f>
        <v>-4048148</v>
      </c>
      <c r="F31" s="399">
        <f>IF(ISBLANK(E31),"  ",IF(B31&gt;0,E31/B31,IF(E31&gt;0,1,0)))</f>
        <v>-0.26029726429732369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 t="shared" si="0"/>
        <v xml:space="preserve">  </v>
      </c>
      <c r="G32" s="24"/>
      <c r="H32" s="24"/>
    </row>
    <row r="33" spans="1:8" ht="35.25">
      <c r="A33" s="130" t="s">
        <v>34</v>
      </c>
      <c r="B33" s="147"/>
      <c r="C33" s="147"/>
      <c r="D33" s="147"/>
      <c r="E33" s="92"/>
      <c r="F33" s="366" t="str">
        <f t="shared" si="0"/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 t="shared" si="0"/>
        <v xml:space="preserve">  </v>
      </c>
      <c r="G34" s="24"/>
      <c r="H34" s="24"/>
    </row>
    <row r="35" spans="1:8" ht="35.25">
      <c r="A35" s="137" t="s">
        <v>182</v>
      </c>
      <c r="B35" s="147"/>
      <c r="C35" s="147"/>
      <c r="D35" s="147"/>
      <c r="E35" s="147"/>
      <c r="F35" s="366" t="str">
        <f t="shared" si="0"/>
        <v xml:space="preserve">  </v>
      </c>
      <c r="G35" s="24"/>
      <c r="H35" s="24"/>
    </row>
    <row r="36" spans="1:8" ht="35.25">
      <c r="A36" s="30"/>
      <c r="B36" s="95"/>
      <c r="C36" s="95"/>
      <c r="D36" s="95" t="s">
        <v>183</v>
      </c>
      <c r="E36" s="95"/>
      <c r="F36" s="345" t="str">
        <f t="shared" si="0"/>
        <v xml:space="preserve">  </v>
      </c>
      <c r="G36" s="24"/>
      <c r="H36" s="24"/>
    </row>
    <row r="37" spans="1:8" ht="35.25">
      <c r="A37" s="130" t="s">
        <v>184</v>
      </c>
      <c r="B37" s="147">
        <v>0</v>
      </c>
      <c r="C37" s="147">
        <v>0</v>
      </c>
      <c r="D37" s="147">
        <v>2256318</v>
      </c>
      <c r="E37" s="465">
        <f>D37-B37</f>
        <v>2256318</v>
      </c>
      <c r="F37" s="345">
        <f>IF(ISBLANK(E37),"  ",IF(B37&gt;0,E37/B37,IF(E37&gt;0,1,0)))</f>
        <v>1</v>
      </c>
      <c r="G37" s="24"/>
      <c r="H37" s="24"/>
    </row>
    <row r="38" spans="1:8" ht="35.25">
      <c r="A38" s="132"/>
      <c r="B38" s="133"/>
      <c r="C38" s="133"/>
      <c r="D38" s="133"/>
      <c r="E38" s="133"/>
      <c r="F38" s="356" t="str">
        <f t="shared" si="0"/>
        <v xml:space="preserve">  </v>
      </c>
      <c r="G38" s="24"/>
      <c r="H38" s="24"/>
    </row>
    <row r="39" spans="1:8" ht="35.25">
      <c r="A39" s="130" t="s">
        <v>37</v>
      </c>
      <c r="B39" s="147">
        <f>7366938+19989</f>
        <v>7386927</v>
      </c>
      <c r="C39" s="147">
        <v>6208854</v>
      </c>
      <c r="D39" s="147">
        <v>6808669</v>
      </c>
      <c r="E39" s="465">
        <f>D39-B39</f>
        <v>-578258</v>
      </c>
      <c r="F39" s="399">
        <f>IF(ISBLANK(E39),"  ",IF(B39&gt;0,E39/B39,IF(E39&gt;0,1,0)))</f>
        <v>-7.8281266350676004E-2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 t="shared" si="0"/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66" t="str">
        <f t="shared" si="0"/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 t="shared" si="0"/>
        <v xml:space="preserve">  </v>
      </c>
      <c r="G42" s="24"/>
      <c r="H42" s="24"/>
    </row>
    <row r="43" spans="1:8" ht="35.25">
      <c r="A43" s="137" t="s">
        <v>39</v>
      </c>
      <c r="B43" s="147">
        <f>SUM(B31:B41)</f>
        <v>22938946</v>
      </c>
      <c r="C43" s="147">
        <f>C41+C39+C35+C31</f>
        <v>21780862</v>
      </c>
      <c r="D43" s="147">
        <f>D41+D39+D37+D35+D31</f>
        <v>20568858</v>
      </c>
      <c r="E43" s="465">
        <f>D43-B43</f>
        <v>-2370088</v>
      </c>
      <c r="F43" s="399">
        <f>IF(ISBLANK(E43),"  ",IF(B43&gt;0,E43/B43,IF(E43&gt;0,1,0)))</f>
        <v>-0.10332157371136406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 t="shared" si="0"/>
        <v xml:space="preserve">  </v>
      </c>
      <c r="G44" s="24"/>
      <c r="H44" s="24"/>
    </row>
    <row r="45" spans="1:8" ht="35.25">
      <c r="A45" s="119" t="s">
        <v>40</v>
      </c>
      <c r="B45" s="95"/>
      <c r="C45" s="95"/>
      <c r="D45" s="95"/>
      <c r="E45" s="95"/>
      <c r="F45" s="345" t="str">
        <f t="shared" si="0"/>
        <v xml:space="preserve">  </v>
      </c>
      <c r="G45" s="24"/>
      <c r="H45" s="24"/>
    </row>
    <row r="46" spans="1:8" ht="34.5">
      <c r="A46" s="269" t="s">
        <v>41</v>
      </c>
      <c r="B46" s="270">
        <v>7519494</v>
      </c>
      <c r="C46" s="270">
        <v>8440531</v>
      </c>
      <c r="D46" s="270">
        <f>'[2]BUD09~10'!T63</f>
        <v>8034380.9509999994</v>
      </c>
      <c r="E46" s="178">
        <f>D46-B46</f>
        <v>514886.95099999942</v>
      </c>
      <c r="F46" s="397">
        <f>IF(ISBLANK(E46),"  ",IF(B46&gt;0,E46/B46,IF(E46&gt;0,1,0)))</f>
        <v>6.8473616841771459E-2</v>
      </c>
      <c r="G46" s="24"/>
      <c r="H46" s="24"/>
    </row>
    <row r="47" spans="1:8" ht="34.5">
      <c r="A47" s="263" t="s">
        <v>42</v>
      </c>
      <c r="B47" s="264"/>
      <c r="C47" s="264"/>
      <c r="D47" s="264"/>
      <c r="E47" s="264"/>
      <c r="F47" s="382" t="str">
        <f t="shared" si="0"/>
        <v xml:space="preserve">  </v>
      </c>
      <c r="G47" s="24"/>
      <c r="H47" s="24"/>
    </row>
    <row r="48" spans="1:8" ht="34.5">
      <c r="A48" s="168" t="s">
        <v>43</v>
      </c>
      <c r="B48" s="169"/>
      <c r="C48" s="169"/>
      <c r="D48" s="169"/>
      <c r="E48" s="169"/>
      <c r="F48" s="372" t="str">
        <f t="shared" si="0"/>
        <v xml:space="preserve">  </v>
      </c>
      <c r="G48" s="24"/>
      <c r="H48" s="24"/>
    </row>
    <row r="49" spans="1:8" ht="34.5">
      <c r="A49" s="155" t="s">
        <v>44</v>
      </c>
      <c r="B49" s="154">
        <f>'[2]BOR~4SUM'!B92</f>
        <v>2227696</v>
      </c>
      <c r="C49" s="154">
        <v>2297322</v>
      </c>
      <c r="D49" s="154">
        <f>'[2]BUD09~10'!T89</f>
        <v>2438144.2442000001</v>
      </c>
      <c r="E49" s="178">
        <f t="shared" ref="E49:E54" si="1">D49-B49</f>
        <v>210448.24420000007</v>
      </c>
      <c r="F49" s="397">
        <f t="shared" ref="F49:F59" si="2">IF(ISBLANK(E49),"  ",IF(B49&gt;0,E49/B49,IF(E49&gt;0,1,0)))</f>
        <v>9.4469013815170505E-2</v>
      </c>
      <c r="G49" s="24"/>
      <c r="H49" s="24"/>
    </row>
    <row r="50" spans="1:8" ht="34.5">
      <c r="A50" s="156" t="s">
        <v>45</v>
      </c>
      <c r="B50" s="157">
        <f>'[2]BOR~4SUM'!B113</f>
        <v>847935</v>
      </c>
      <c r="C50" s="157">
        <f>858298+1</f>
        <v>858299</v>
      </c>
      <c r="D50" s="157">
        <f>'[2]BUD09~10'!T99</f>
        <v>908239.62789999996</v>
      </c>
      <c r="E50" s="178">
        <f t="shared" si="1"/>
        <v>60304.627899999963</v>
      </c>
      <c r="F50" s="369">
        <f t="shared" si="2"/>
        <v>7.1119399364338032E-2</v>
      </c>
      <c r="G50" s="24"/>
      <c r="H50" s="24"/>
    </row>
    <row r="51" spans="1:8" ht="34.5">
      <c r="A51" s="158" t="s">
        <v>74</v>
      </c>
      <c r="B51" s="159">
        <f>'[2]BOR~4SUM'!B134</f>
        <v>7811160</v>
      </c>
      <c r="C51" s="159">
        <v>6970754</v>
      </c>
      <c r="D51" s="159">
        <f>'[2]BUD09~10'!T133</f>
        <v>6500659.6268500015</v>
      </c>
      <c r="E51" s="178">
        <f t="shared" si="1"/>
        <v>-1310500.3731499985</v>
      </c>
      <c r="F51" s="369">
        <f t="shared" si="2"/>
        <v>-0.16777282415799938</v>
      </c>
      <c r="G51" s="24"/>
      <c r="H51" s="24"/>
    </row>
    <row r="52" spans="1:8" ht="34.5">
      <c r="A52" s="158" t="s">
        <v>46</v>
      </c>
      <c r="B52" s="159">
        <f>'[2]BOR~4SUM'!B160</f>
        <v>2145946</v>
      </c>
      <c r="C52" s="159">
        <v>800000</v>
      </c>
      <c r="D52" s="159">
        <f>'[2]BUD09~10'!T145</f>
        <v>800000</v>
      </c>
      <c r="E52" s="178">
        <f t="shared" si="1"/>
        <v>-1345946</v>
      </c>
      <c r="F52" s="369">
        <f t="shared" si="2"/>
        <v>-0.62720403961702675</v>
      </c>
      <c r="G52" s="24"/>
      <c r="H52" s="24"/>
    </row>
    <row r="53" spans="1:8" ht="34.5">
      <c r="A53" s="156" t="s">
        <v>47</v>
      </c>
      <c r="B53" s="159">
        <f>'[2]BOR~4SUM'!B181</f>
        <v>1895596</v>
      </c>
      <c r="C53" s="159">
        <f>2053824+1</f>
        <v>2053825</v>
      </c>
      <c r="D53" s="159">
        <v>1450093</v>
      </c>
      <c r="E53" s="178">
        <f t="shared" si="1"/>
        <v>-445503</v>
      </c>
      <c r="F53" s="369">
        <f t="shared" si="2"/>
        <v>-0.235020014813283</v>
      </c>
      <c r="G53" s="24"/>
      <c r="H53" s="24"/>
    </row>
    <row r="54" spans="1:8" ht="35.25">
      <c r="A54" s="266" t="s">
        <v>48</v>
      </c>
      <c r="B54" s="267">
        <f>SUM(B46:B53)</f>
        <v>22447827</v>
      </c>
      <c r="C54" s="267">
        <f>SUM(C46:C53)+1</f>
        <v>21420732</v>
      </c>
      <c r="D54" s="267">
        <f>SUM(D46:D53)</f>
        <v>20131517.449950002</v>
      </c>
      <c r="E54" s="465">
        <f t="shared" si="1"/>
        <v>-2316309.5500499979</v>
      </c>
      <c r="F54" s="390">
        <f t="shared" si="2"/>
        <v>-0.10318635964407592</v>
      </c>
      <c r="G54" s="24"/>
      <c r="H54" s="24"/>
    </row>
    <row r="55" spans="1:8" ht="35.25">
      <c r="A55" s="117" t="s">
        <v>49</v>
      </c>
      <c r="B55" s="116"/>
      <c r="C55" s="116"/>
      <c r="D55" s="116"/>
      <c r="E55" s="127"/>
      <c r="F55" s="369" t="str">
        <f t="shared" si="2"/>
        <v xml:space="preserve">  </v>
      </c>
      <c r="G55" s="24"/>
      <c r="H55" s="24"/>
    </row>
    <row r="56" spans="1:8" ht="34.5">
      <c r="A56" s="117" t="s">
        <v>185</v>
      </c>
      <c r="B56" s="93"/>
      <c r="C56" s="93"/>
      <c r="D56" s="93"/>
      <c r="E56" s="159"/>
      <c r="F56" s="369" t="str">
        <f t="shared" si="2"/>
        <v xml:space="preserve">  </v>
      </c>
      <c r="G56" s="24"/>
      <c r="H56" s="24"/>
    </row>
    <row r="57" spans="1:8" ht="34.5">
      <c r="A57" s="117" t="s">
        <v>51</v>
      </c>
      <c r="B57" s="118">
        <v>491119</v>
      </c>
      <c r="C57" s="118">
        <v>360130</v>
      </c>
      <c r="D57" s="118">
        <v>437340</v>
      </c>
      <c r="E57" s="178">
        <f>D57-B57</f>
        <v>-53779</v>
      </c>
      <c r="F57" s="369">
        <f t="shared" si="2"/>
        <v>-0.10950299214650625</v>
      </c>
      <c r="G57" s="24"/>
      <c r="H57" s="24"/>
    </row>
    <row r="58" spans="1:8" ht="34.5">
      <c r="A58" s="117" t="s">
        <v>186</v>
      </c>
      <c r="B58" s="93"/>
      <c r="C58" s="93"/>
      <c r="D58" s="93"/>
      <c r="E58" s="469"/>
      <c r="F58" s="369" t="str">
        <f t="shared" si="2"/>
        <v xml:space="preserve">  </v>
      </c>
      <c r="G58" s="24"/>
      <c r="H58" s="24"/>
    </row>
    <row r="59" spans="1:8" ht="35.25">
      <c r="A59" s="114" t="s">
        <v>53</v>
      </c>
      <c r="B59" s="116">
        <f>SUM(B54:B58)</f>
        <v>22938946</v>
      </c>
      <c r="C59" s="116">
        <f>SUM(C54:C58)</f>
        <v>21780862</v>
      </c>
      <c r="D59" s="116">
        <f>SUM(D54:D58)+1</f>
        <v>20568858.449950002</v>
      </c>
      <c r="E59" s="465">
        <f>D59-B59</f>
        <v>-2370087.5500499979</v>
      </c>
      <c r="F59" s="399">
        <f t="shared" si="2"/>
        <v>-0.10332155409625175</v>
      </c>
      <c r="G59" s="24"/>
      <c r="H59" s="24"/>
    </row>
    <row r="60" spans="1:8" ht="35.25">
      <c r="A60" s="114"/>
      <c r="B60" s="116"/>
      <c r="C60" s="116"/>
      <c r="D60" s="116"/>
      <c r="E60" s="127"/>
      <c r="F60" s="357" t="str">
        <f t="shared" si="0"/>
        <v xml:space="preserve">  </v>
      </c>
      <c r="G60" s="24"/>
      <c r="H60" s="24"/>
    </row>
    <row r="61" spans="1:8" ht="35.25">
      <c r="A61" s="119" t="s">
        <v>54</v>
      </c>
      <c r="B61" s="120"/>
      <c r="C61" s="120"/>
      <c r="D61" s="120"/>
      <c r="E61" s="161"/>
      <c r="F61" s="357" t="str">
        <f t="shared" si="0"/>
        <v xml:space="preserve">  </v>
      </c>
      <c r="G61" s="24"/>
      <c r="H61" s="24"/>
    </row>
    <row r="62" spans="1:8" ht="34.5">
      <c r="A62" s="176" t="s">
        <v>55</v>
      </c>
      <c r="B62" s="177">
        <f>'[2]BOR~4SUM'!B185</f>
        <v>11789854</v>
      </c>
      <c r="C62" s="177">
        <v>12407273</v>
      </c>
      <c r="D62" s="177">
        <f>'[2]BUD09~10'!D164+'[2]BUD09~10'!E164</f>
        <v>12312518.33</v>
      </c>
      <c r="E62" s="178">
        <f t="shared" ref="E62:E79" si="3">D62-B62</f>
        <v>522664.33000000007</v>
      </c>
      <c r="F62" s="397">
        <f t="shared" ref="F62:F79" si="4">IF(ISBLANK(E62),"  ",IF(B62&gt;0,E62/B62,IF(E62&gt;0,1,0)))</f>
        <v>4.433170504062222E-2</v>
      </c>
      <c r="G62" s="24"/>
      <c r="H62" s="24"/>
    </row>
    <row r="63" spans="1:8" ht="34.5">
      <c r="A63" s="151" t="s">
        <v>56</v>
      </c>
      <c r="B63" s="254">
        <f>'[2]BOR~4SUM'!B186</f>
        <v>101632</v>
      </c>
      <c r="C63" s="254">
        <v>164400</v>
      </c>
      <c r="D63" s="254">
        <f>'[2]BUD09~10'!F164+'[2]BUD09~10'!G164</f>
        <v>30000</v>
      </c>
      <c r="E63" s="178">
        <f t="shared" si="3"/>
        <v>-71632</v>
      </c>
      <c r="F63" s="369">
        <f t="shared" si="4"/>
        <v>-0.70481738035264485</v>
      </c>
      <c r="G63" s="24"/>
      <c r="H63" s="24"/>
    </row>
    <row r="64" spans="1:8" ht="34.5">
      <c r="A64" s="150" t="s">
        <v>57</v>
      </c>
      <c r="B64" s="256">
        <f>'[2]BOR~4SUM'!B187</f>
        <v>3843117</v>
      </c>
      <c r="C64" s="256">
        <v>4592544</v>
      </c>
      <c r="D64" s="256">
        <f>'[2]BUD09~10'!H164</f>
        <v>4385641.2739500003</v>
      </c>
      <c r="E64" s="178">
        <f t="shared" si="3"/>
        <v>542524.27395000029</v>
      </c>
      <c r="F64" s="369">
        <f t="shared" si="4"/>
        <v>0.1411677744783727</v>
      </c>
      <c r="G64" s="24"/>
      <c r="H64" s="24"/>
    </row>
    <row r="65" spans="1:9" ht="35.25">
      <c r="A65" s="119" t="s">
        <v>58</v>
      </c>
      <c r="B65" s="120">
        <f>SUM(B62:B64)</f>
        <v>15734603</v>
      </c>
      <c r="C65" s="120">
        <f>SUM(C62:C64)+1</f>
        <v>17164218</v>
      </c>
      <c r="D65" s="120">
        <f>SUM(D62:D64)</f>
        <v>16728159.603950001</v>
      </c>
      <c r="E65" s="465">
        <f t="shared" si="3"/>
        <v>993556.6039500013</v>
      </c>
      <c r="F65" s="390">
        <f t="shared" si="4"/>
        <v>6.314468842652092E-2</v>
      </c>
      <c r="G65" s="24"/>
      <c r="H65" s="24"/>
    </row>
    <row r="66" spans="1:9" ht="34.5">
      <c r="A66" s="117" t="s">
        <v>59</v>
      </c>
      <c r="B66" s="118">
        <f>'[2]BOR~4SUM'!B189</f>
        <v>99677</v>
      </c>
      <c r="C66" s="118">
        <v>116500</v>
      </c>
      <c r="D66" s="118">
        <f>'[2]BUD09~10'!J164</f>
        <v>51500</v>
      </c>
      <c r="E66" s="178">
        <f t="shared" si="3"/>
        <v>-48177</v>
      </c>
      <c r="F66" s="369">
        <f t="shared" si="4"/>
        <v>-0.48333115964565548</v>
      </c>
      <c r="G66" s="24"/>
      <c r="H66" s="24"/>
    </row>
    <row r="67" spans="1:9" ht="34.5">
      <c r="A67" s="117" t="s">
        <v>60</v>
      </c>
      <c r="B67" s="118">
        <f>'[2]BOR~4SUM'!B190</f>
        <v>2575414</v>
      </c>
      <c r="C67" s="118">
        <v>2077982</v>
      </c>
      <c r="D67" s="118">
        <f>'[2]BUD09~10'!K164</f>
        <v>1566893</v>
      </c>
      <c r="E67" s="178">
        <f t="shared" si="3"/>
        <v>-1008521</v>
      </c>
      <c r="F67" s="369">
        <f t="shared" si="4"/>
        <v>-0.39159568131570305</v>
      </c>
      <c r="G67" s="24"/>
      <c r="H67" s="24"/>
    </row>
    <row r="68" spans="1:9" ht="34.5">
      <c r="A68" s="126" t="s">
        <v>61</v>
      </c>
      <c r="B68" s="118">
        <f>'[2]BOR~4SUM'!B191</f>
        <v>491569</v>
      </c>
      <c r="C68" s="118">
        <v>278132</v>
      </c>
      <c r="D68" s="118">
        <f>'[2]BUD09~10'!L164</f>
        <v>166500</v>
      </c>
      <c r="E68" s="178">
        <f t="shared" si="3"/>
        <v>-325069</v>
      </c>
      <c r="F68" s="369">
        <f t="shared" si="4"/>
        <v>-0.66128864920285857</v>
      </c>
      <c r="G68" s="24"/>
      <c r="H68" s="24"/>
      <c r="I68" s="16" t="s">
        <v>35</v>
      </c>
    </row>
    <row r="69" spans="1:9" ht="35.25">
      <c r="A69" s="265" t="s">
        <v>62</v>
      </c>
      <c r="B69" s="174">
        <f>SUM(B66:B68)</f>
        <v>3166660</v>
      </c>
      <c r="C69" s="174">
        <f>SUM(C66:C68)+1</f>
        <v>2472615</v>
      </c>
      <c r="D69" s="174">
        <f>SUM(D66:D68)</f>
        <v>1784893</v>
      </c>
      <c r="E69" s="465">
        <f t="shared" si="3"/>
        <v>-1381767</v>
      </c>
      <c r="F69" s="390">
        <f t="shared" si="4"/>
        <v>-0.43634839231240485</v>
      </c>
      <c r="G69" s="24"/>
      <c r="H69" s="24"/>
    </row>
    <row r="70" spans="1:9" ht="34.5">
      <c r="A70" s="151" t="s">
        <v>63</v>
      </c>
      <c r="B70" s="166">
        <f>'[2]BOR~4SUM'!B193</f>
        <v>-37087</v>
      </c>
      <c r="C70" s="166">
        <v>27000</v>
      </c>
      <c r="D70" s="166">
        <f>'[2]BUD09~10'!M164</f>
        <v>20500</v>
      </c>
      <c r="E70" s="178">
        <f t="shared" si="3"/>
        <v>57587</v>
      </c>
      <c r="F70" s="369">
        <f t="shared" si="4"/>
        <v>1</v>
      </c>
      <c r="G70" s="24"/>
      <c r="H70" s="24"/>
    </row>
    <row r="71" spans="1:9" ht="34.5">
      <c r="A71" s="176" t="s">
        <v>64</v>
      </c>
      <c r="B71" s="177">
        <v>1845140</v>
      </c>
      <c r="C71" s="177">
        <f>2085028+1</f>
        <v>2085029</v>
      </c>
      <c r="D71" s="177">
        <f>'[2]BUD09~10'!N164</f>
        <v>2035305</v>
      </c>
      <c r="E71" s="178">
        <f t="shared" si="3"/>
        <v>190165</v>
      </c>
      <c r="F71" s="369">
        <f t="shared" si="4"/>
        <v>0.10306264023326143</v>
      </c>
      <c r="G71" s="24"/>
      <c r="H71" s="24"/>
    </row>
    <row r="72" spans="1:9" ht="34.5">
      <c r="A72" s="117" t="s">
        <v>148</v>
      </c>
      <c r="B72" s="118">
        <f>'[2]BOR~4SUM'!B195</f>
        <v>55400</v>
      </c>
      <c r="C72" s="118">
        <v>0</v>
      </c>
      <c r="D72" s="118">
        <f>'[2]BUD09~10'!O164</f>
        <v>0</v>
      </c>
      <c r="E72" s="178">
        <f t="shared" si="3"/>
        <v>-55400</v>
      </c>
      <c r="F72" s="369">
        <f t="shared" si="4"/>
        <v>-1</v>
      </c>
      <c r="G72" s="24"/>
      <c r="H72" s="24"/>
    </row>
    <row r="73" spans="1:9" ht="34.5">
      <c r="A73" s="117" t="s">
        <v>187</v>
      </c>
      <c r="B73" s="118"/>
      <c r="C73" s="118"/>
      <c r="D73" s="118"/>
      <c r="E73" s="178"/>
      <c r="F73" s="369" t="str">
        <f t="shared" si="4"/>
        <v xml:space="preserve">  </v>
      </c>
      <c r="G73" s="24"/>
      <c r="H73" s="24"/>
    </row>
    <row r="74" spans="1:9" ht="35.25">
      <c r="A74" s="175" t="s">
        <v>67</v>
      </c>
      <c r="B74" s="127">
        <f>SUM(B70:B73)</f>
        <v>1863453</v>
      </c>
      <c r="C74" s="127">
        <f>SUM(C70:C73)</f>
        <v>2112029</v>
      </c>
      <c r="D74" s="127">
        <f>SUM(D70:D73)</f>
        <v>2055805</v>
      </c>
      <c r="E74" s="465">
        <f t="shared" si="3"/>
        <v>192352</v>
      </c>
      <c r="F74" s="390">
        <f t="shared" si="4"/>
        <v>0.10322342447059303</v>
      </c>
      <c r="G74" s="24"/>
      <c r="H74" s="24"/>
    </row>
    <row r="75" spans="1:9" ht="34.5">
      <c r="A75" s="117" t="s">
        <v>68</v>
      </c>
      <c r="B75" s="118">
        <f>'[2]BOR~4SUM'!B198</f>
        <v>22789</v>
      </c>
      <c r="C75" s="118">
        <v>32000</v>
      </c>
      <c r="D75" s="118">
        <f>'[2]BUD09~10'!Q164</f>
        <v>0</v>
      </c>
      <c r="E75" s="178">
        <f t="shared" si="3"/>
        <v>-22789</v>
      </c>
      <c r="F75" s="369">
        <f t="shared" si="4"/>
        <v>-1</v>
      </c>
      <c r="G75" s="24"/>
      <c r="H75" s="24"/>
    </row>
    <row r="76" spans="1:9" ht="34.5">
      <c r="A76" s="117" t="s">
        <v>69</v>
      </c>
      <c r="B76" s="118">
        <f>'[2]BOR~4SUM'!B199</f>
        <v>5495</v>
      </c>
      <c r="C76" s="118">
        <v>0</v>
      </c>
      <c r="D76" s="118">
        <f>'[2]BUD09~10'!R164</f>
        <v>0</v>
      </c>
      <c r="E76" s="178">
        <f t="shared" si="3"/>
        <v>-5495</v>
      </c>
      <c r="F76" s="369">
        <f t="shared" si="4"/>
        <v>-1</v>
      </c>
      <c r="G76" s="24"/>
      <c r="H76" s="24"/>
    </row>
    <row r="77" spans="1:9" ht="34.5">
      <c r="A77" s="117" t="s">
        <v>188</v>
      </c>
      <c r="B77" s="118">
        <f>'[2]BOR~4SUM'!B200</f>
        <v>2145946</v>
      </c>
      <c r="C77" s="118">
        <v>0</v>
      </c>
      <c r="D77" s="118">
        <f>'[2]BUD09~10'!S164</f>
        <v>0</v>
      </c>
      <c r="E77" s="178">
        <f t="shared" si="3"/>
        <v>-2145946</v>
      </c>
      <c r="F77" s="369">
        <f t="shared" si="4"/>
        <v>-1</v>
      </c>
      <c r="G77" s="24"/>
      <c r="H77" s="24"/>
    </row>
    <row r="78" spans="1:9" ht="35.25">
      <c r="A78" s="114" t="s">
        <v>71</v>
      </c>
      <c r="B78" s="116">
        <f>SUM(B75:B77)</f>
        <v>2174230</v>
      </c>
      <c r="C78" s="116">
        <f>SUM(C75:C77)</f>
        <v>32000</v>
      </c>
      <c r="D78" s="116">
        <f>SUM(D75:D77)</f>
        <v>0</v>
      </c>
      <c r="E78" s="465">
        <f t="shared" si="3"/>
        <v>-2174230</v>
      </c>
      <c r="F78" s="390">
        <f t="shared" si="4"/>
        <v>-1</v>
      </c>
      <c r="G78" s="24"/>
      <c r="H78" s="24"/>
    </row>
    <row r="79" spans="1:9" ht="36" thickBot="1">
      <c r="A79" s="164" t="s">
        <v>53</v>
      </c>
      <c r="B79" s="165">
        <f>B78+B74+B69+B65</f>
        <v>22938946</v>
      </c>
      <c r="C79" s="165">
        <f>C78+C74+C69+C65</f>
        <v>21780862</v>
      </c>
      <c r="D79" s="165">
        <f>D78+D74+D69+D65</f>
        <v>20568857.603950001</v>
      </c>
      <c r="E79" s="465">
        <f t="shared" si="3"/>
        <v>-2370088.3960499987</v>
      </c>
      <c r="F79" s="473">
        <f t="shared" si="4"/>
        <v>-0.10332159097676061</v>
      </c>
      <c r="G79" s="24"/>
      <c r="H79" s="24"/>
    </row>
    <row r="80" spans="1:9" ht="35.25">
      <c r="A80" s="257"/>
      <c r="B80" s="258"/>
      <c r="C80" s="258"/>
      <c r="D80" s="258"/>
      <c r="E80" s="258"/>
      <c r="F80" s="387"/>
      <c r="G80" s="24"/>
      <c r="H80" s="24"/>
    </row>
    <row r="81" spans="1:49" ht="44.25">
      <c r="A81" s="262" t="s">
        <v>96</v>
      </c>
      <c r="B81" s="260"/>
      <c r="C81" s="260"/>
      <c r="D81" s="260"/>
      <c r="E81" s="260"/>
      <c r="F81" s="387"/>
      <c r="G81" s="24"/>
      <c r="H81" s="24"/>
    </row>
    <row r="82" spans="1:49" s="163" customFormat="1" ht="44.25">
      <c r="A82" s="262" t="s">
        <v>72</v>
      </c>
      <c r="B82" s="260"/>
      <c r="C82" s="260"/>
      <c r="D82" s="260"/>
      <c r="E82" s="260"/>
      <c r="F82" s="387"/>
    </row>
    <row r="83" spans="1:49" s="163" customFormat="1" ht="44.25">
      <c r="A83" s="261"/>
      <c r="B83" s="261"/>
      <c r="C83" s="261"/>
      <c r="D83" s="261"/>
      <c r="E83" s="261"/>
      <c r="F83" s="384"/>
    </row>
    <row r="84" spans="1:49" s="163" customFormat="1" ht="44.25"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30" workbookViewId="0">
      <selection activeCell="E20" sqref="E20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302</v>
      </c>
      <c r="E1" s="141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189</v>
      </c>
      <c r="C5" s="145" t="s">
        <v>190</v>
      </c>
      <c r="D5" s="145" t="s">
        <v>191</v>
      </c>
      <c r="E5" s="145" t="s">
        <v>189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7985796</v>
      </c>
      <c r="C8" s="92">
        <v>7985796</v>
      </c>
      <c r="D8" s="92">
        <v>5896688</v>
      </c>
      <c r="E8" s="396">
        <f>D8-B8</f>
        <v>-2089108</v>
      </c>
      <c r="F8" s="397">
        <f>IF(ISBLANK(E8),"  ",IF(B8&gt;0,E8/B8,IF(E8&gt;0,1,0)))</f>
        <v>-0.26160297608403721</v>
      </c>
      <c r="G8" s="24"/>
      <c r="H8" s="24"/>
      <c r="I8" s="24"/>
      <c r="J8" s="24"/>
    </row>
    <row r="9" spans="1:10" ht="34.5">
      <c r="A9" s="153" t="s">
        <v>106</v>
      </c>
      <c r="B9" s="93">
        <v>0</v>
      </c>
      <c r="C9" s="93">
        <v>0</v>
      </c>
      <c r="D9" s="93">
        <v>487318</v>
      </c>
      <c r="E9" s="160">
        <f>D9-B9</f>
        <v>487318</v>
      </c>
      <c r="F9" s="369">
        <f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559478</v>
      </c>
      <c r="C10" s="93">
        <f>SUM(C11:C25)</f>
        <v>566843</v>
      </c>
      <c r="D10" s="93">
        <f>SUM(D11:D25)</f>
        <v>243963</v>
      </c>
      <c r="E10" s="256">
        <f>D10-C10</f>
        <v>-322880</v>
      </c>
      <c r="F10" s="369">
        <f>IF(ISBLANK(E10),"  ",IF(B10&gt;0,E10/B10,IF(E10&gt;0,1,0)))</f>
        <v>-0.57710937695494724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41225</v>
      </c>
      <c r="E11" s="160">
        <f>D11-B11</f>
        <v>41225</v>
      </c>
      <c r="F11" s="369">
        <f>IF(ISBLANK(E11),"  ",IF(B11&gt;0,E11/B11,IF(E11&gt;0,1,0)))</f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226978</v>
      </c>
      <c r="C12" s="93">
        <v>234343</v>
      </c>
      <c r="D12" s="93">
        <v>202738</v>
      </c>
      <c r="E12" s="160">
        <f>D12-B12</f>
        <v>-24240</v>
      </c>
      <c r="F12" s="369">
        <f>IF(ISBLANK(E12),"  ",IF(B12&gt;0,E12/B12,IF(E12&gt;0,1,0)))</f>
        <v>-0.10679449109605336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ref="F13:F64" si="0">IF(ISBLANK(E13),"  ",IF(C13&gt;0,E13/C13,IF(E13&gt;0,1,0)))</f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256"/>
      <c r="F24" s="369" t="str">
        <f t="shared" si="0"/>
        <v xml:space="preserve">  </v>
      </c>
      <c r="G24" s="24"/>
      <c r="H24" s="24"/>
    </row>
    <row r="25" spans="1:8" ht="34.5">
      <c r="A25" s="117" t="s">
        <v>192</v>
      </c>
      <c r="B25" s="93">
        <v>332500</v>
      </c>
      <c r="C25" s="93">
        <v>332500</v>
      </c>
      <c r="D25" s="93">
        <v>0</v>
      </c>
      <c r="E25" s="160">
        <f>D25-B25</f>
        <v>-332500</v>
      </c>
      <c r="F25" s="369">
        <f>IF(ISBLANK(E25),"  ",IF(B25&gt;0,E25/B25,IF(E25&gt;0,1,0)))</f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35.25">
      <c r="A30" s="117" t="s">
        <v>193</v>
      </c>
      <c r="B30" s="94"/>
      <c r="C30" s="94"/>
      <c r="D30" s="94"/>
      <c r="E30" s="254"/>
      <c r="F30" s="390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B8+B10+B9+B27+B29+B30</f>
        <v>8545274</v>
      </c>
      <c r="C31" s="122">
        <f>C8+C10+C9+C27+C29+C30</f>
        <v>8552639</v>
      </c>
      <c r="D31" s="122">
        <f>D8+D10+D9+D27+D29+D30</f>
        <v>6627969</v>
      </c>
      <c r="E31" s="284">
        <f>D31-B31</f>
        <v>-1917305</v>
      </c>
      <c r="F31" s="390">
        <f>IF(ISBLANK(E31),"  ",IF(B31&gt;0,E31/B31,IF(E31&gt;0,1,0)))</f>
        <v>-0.22437021914101291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 t="shared" si="0"/>
        <v xml:space="preserve">  </v>
      </c>
      <c r="G32" s="24"/>
      <c r="H32" s="24"/>
    </row>
    <row r="33" spans="1:8" ht="35.25">
      <c r="A33" s="130" t="s">
        <v>194</v>
      </c>
      <c r="B33" s="138">
        <f>-40650</f>
        <v>-40650</v>
      </c>
      <c r="C33" s="138">
        <v>0</v>
      </c>
      <c r="D33" s="138">
        <v>0</v>
      </c>
      <c r="E33" s="398">
        <f>D33-C33</f>
        <v>0</v>
      </c>
      <c r="F33" s="399">
        <f>IF(ISBLANK(E33),"  ",IF(B33&gt;0,E33/B33,IF(E33&gt;0,1,0)))</f>
        <v>0</v>
      </c>
      <c r="G33" s="24"/>
      <c r="H33" s="24"/>
    </row>
    <row r="34" spans="1:8" ht="35.25">
      <c r="A34" s="132" t="s">
        <v>35</v>
      </c>
      <c r="B34" s="140"/>
      <c r="C34" s="140"/>
      <c r="D34" s="140"/>
      <c r="E34" s="140"/>
      <c r="F34" s="359" t="str">
        <f t="shared" si="0"/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398"/>
      <c r="F35" s="397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 t="shared" si="0"/>
        <v xml:space="preserve">  </v>
      </c>
      <c r="G36" s="24"/>
      <c r="H36" s="24"/>
    </row>
    <row r="37" spans="1:8" ht="35.25">
      <c r="A37" s="130" t="s">
        <v>153</v>
      </c>
      <c r="B37" s="147">
        <v>0</v>
      </c>
      <c r="C37" s="147">
        <v>0</v>
      </c>
      <c r="D37" s="147">
        <v>1212969</v>
      </c>
      <c r="E37" s="401">
        <f>D37-B37</f>
        <v>1212969</v>
      </c>
      <c r="F37" s="399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 t="shared" si="0"/>
        <v xml:space="preserve">  </v>
      </c>
      <c r="G38" s="24"/>
      <c r="H38" s="24"/>
    </row>
    <row r="39" spans="1:8" ht="35.25">
      <c r="A39" s="130" t="s">
        <v>37</v>
      </c>
      <c r="B39" s="147">
        <f>4282512-651</f>
        <v>4281861</v>
      </c>
      <c r="C39" s="147">
        <v>4545150</v>
      </c>
      <c r="D39" s="147">
        <v>4676024</v>
      </c>
      <c r="E39" s="401">
        <f>D39-B39</f>
        <v>394163</v>
      </c>
      <c r="F39" s="399">
        <f>IF(ISBLANK(E39),"  ",IF(B39&gt;0,E39/B39,IF(E39&gt;0,1,0)))</f>
        <v>9.2054132537230896E-2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 t="shared" si="0"/>
        <v xml:space="preserve">  </v>
      </c>
      <c r="G40" s="24"/>
      <c r="H40" s="24"/>
    </row>
    <row r="41" spans="1:8" ht="35.25">
      <c r="A41" s="130" t="s">
        <v>38</v>
      </c>
      <c r="B41" s="147">
        <v>651</v>
      </c>
      <c r="C41" s="147">
        <v>0</v>
      </c>
      <c r="D41" s="147">
        <v>0</v>
      </c>
      <c r="E41" s="398">
        <v>0</v>
      </c>
      <c r="F41" s="399">
        <f>IF(ISBLANK(E41),"  ",IF(B41&gt;0,E41/B41,IF(E41&gt;0,1,0)))</f>
        <v>0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 t="shared" si="0"/>
        <v xml:space="preserve">  </v>
      </c>
      <c r="G42" s="24"/>
      <c r="H42" s="24"/>
    </row>
    <row r="43" spans="1:8" ht="35.25">
      <c r="A43" s="137" t="s">
        <v>39</v>
      </c>
      <c r="B43" s="147">
        <f>SUM(B31:B42)</f>
        <v>12787136</v>
      </c>
      <c r="C43" s="147">
        <f>C41+C39+C35+C31</f>
        <v>13097789</v>
      </c>
      <c r="D43" s="147">
        <f>D41+D39+D35+D31+D37</f>
        <v>12516962</v>
      </c>
      <c r="E43" s="401">
        <f>D43-B43</f>
        <v>-270174</v>
      </c>
      <c r="F43" s="399">
        <f>IF(ISBLANK(E43),"  ",IF(B43&gt;0,E43/B43,IF(E43&gt;0,1,0)))</f>
        <v>-2.1128577970860714E-2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 t="shared" si="0"/>
        <v xml:space="preserve">  </v>
      </c>
      <c r="G44" s="24"/>
      <c r="H44" s="24"/>
    </row>
    <row r="45" spans="1:8" ht="35.25">
      <c r="A45" s="119"/>
      <c r="B45" s="95"/>
      <c r="C45" s="95"/>
      <c r="D45" s="95"/>
      <c r="E45" s="95"/>
      <c r="F45" s="345" t="str">
        <f t="shared" si="0"/>
        <v xml:space="preserve">  </v>
      </c>
      <c r="G45" s="24"/>
      <c r="H45" s="24"/>
    </row>
    <row r="46" spans="1:8" ht="34.5">
      <c r="A46" s="269" t="s">
        <v>40</v>
      </c>
      <c r="B46" s="270"/>
      <c r="C46" s="270"/>
      <c r="D46" s="270"/>
      <c r="E46" s="270"/>
      <c r="F46" s="372" t="str">
        <f t="shared" si="0"/>
        <v xml:space="preserve">  </v>
      </c>
      <c r="G46" s="24"/>
      <c r="H46" s="24"/>
    </row>
    <row r="47" spans="1:8" ht="34.5">
      <c r="A47" s="263" t="s">
        <v>41</v>
      </c>
      <c r="B47" s="264">
        <v>5048592</v>
      </c>
      <c r="C47" s="264">
        <v>5055720</v>
      </c>
      <c r="D47" s="264">
        <v>4709024</v>
      </c>
      <c r="E47" s="178">
        <f>D47-B47</f>
        <v>-339568</v>
      </c>
      <c r="F47" s="397">
        <f>IF(ISBLANK(E47),"  ",IF(B47&gt;0,E47/B47,IF(E47&gt;0,1,0)))</f>
        <v>-6.725994098948776E-2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72" t="str">
        <f t="shared" si="0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67" t="str">
        <f t="shared" si="0"/>
        <v xml:space="preserve">  </v>
      </c>
      <c r="G49" s="24"/>
      <c r="H49" s="24"/>
    </row>
    <row r="50" spans="1:8" ht="34.5">
      <c r="A50" s="156" t="s">
        <v>44</v>
      </c>
      <c r="B50" s="157">
        <v>898448</v>
      </c>
      <c r="C50" s="157">
        <v>1154204</v>
      </c>
      <c r="D50" s="157">
        <v>1124055</v>
      </c>
      <c r="E50" s="160">
        <f t="shared" ref="E50:E55" si="1">D50-B50</f>
        <v>225607</v>
      </c>
      <c r="F50" s="369">
        <f t="shared" ref="F50:F55" si="2">IF(ISBLANK(E50),"  ",IF(B50&gt;0,E50/B50,IF(E50&gt;0,1,0)))</f>
        <v>0.25110746531797057</v>
      </c>
      <c r="G50" s="24"/>
      <c r="H50" s="24"/>
    </row>
    <row r="51" spans="1:8" ht="34.5">
      <c r="A51" s="158" t="s">
        <v>45</v>
      </c>
      <c r="B51" s="159">
        <v>908688</v>
      </c>
      <c r="C51" s="159">
        <v>991635</v>
      </c>
      <c r="D51" s="159">
        <v>894710</v>
      </c>
      <c r="E51" s="160">
        <f t="shared" si="1"/>
        <v>-13978</v>
      </c>
      <c r="F51" s="369">
        <f t="shared" si="2"/>
        <v>-1.5382617576109732E-2</v>
      </c>
      <c r="G51" s="24"/>
      <c r="H51" s="24"/>
    </row>
    <row r="52" spans="1:8" ht="34.5">
      <c r="A52" s="158" t="s">
        <v>74</v>
      </c>
      <c r="B52" s="159">
        <v>3773243</v>
      </c>
      <c r="C52" s="159">
        <v>4087594</v>
      </c>
      <c r="D52" s="159">
        <v>3947083</v>
      </c>
      <c r="E52" s="160">
        <f t="shared" si="1"/>
        <v>173840</v>
      </c>
      <c r="F52" s="369">
        <f t="shared" si="2"/>
        <v>4.6071774333113449E-2</v>
      </c>
      <c r="G52" s="24"/>
      <c r="H52" s="24"/>
    </row>
    <row r="53" spans="1:8" ht="34.5">
      <c r="A53" s="156" t="s">
        <v>46</v>
      </c>
      <c r="B53" s="159">
        <v>180487</v>
      </c>
      <c r="C53" s="159">
        <v>100000</v>
      </c>
      <c r="D53" s="159">
        <v>100000</v>
      </c>
      <c r="E53" s="160">
        <f t="shared" si="1"/>
        <v>-80487</v>
      </c>
      <c r="F53" s="369">
        <f t="shared" si="2"/>
        <v>-0.44594347515333516</v>
      </c>
      <c r="G53" s="24"/>
      <c r="H53" s="24"/>
    </row>
    <row r="54" spans="1:8" ht="34.5">
      <c r="A54" s="155" t="s">
        <v>47</v>
      </c>
      <c r="B54" s="154">
        <v>1977678</v>
      </c>
      <c r="C54" s="154">
        <v>1708636</v>
      </c>
      <c r="D54" s="154">
        <v>1742089</v>
      </c>
      <c r="E54" s="160">
        <f t="shared" si="1"/>
        <v>-235589</v>
      </c>
      <c r="F54" s="369">
        <f t="shared" si="2"/>
        <v>-0.11912404344893354</v>
      </c>
      <c r="G54" s="24"/>
      <c r="H54" s="24"/>
    </row>
    <row r="55" spans="1:8" ht="35.25">
      <c r="A55" s="114" t="s">
        <v>48</v>
      </c>
      <c r="B55" s="116">
        <f>SUM(B47:B54)</f>
        <v>12787136</v>
      </c>
      <c r="C55" s="116">
        <f>SUM(C47:C54)</f>
        <v>13097789</v>
      </c>
      <c r="D55" s="116">
        <f>SUM(D47:D54)+1</f>
        <v>12516962</v>
      </c>
      <c r="E55" s="284">
        <f t="shared" si="1"/>
        <v>-270174</v>
      </c>
      <c r="F55" s="390">
        <f t="shared" si="2"/>
        <v>-2.1128577970860714E-2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162"/>
      <c r="F56" s="369" t="str">
        <f t="shared" si="0"/>
        <v xml:space="preserve">  </v>
      </c>
      <c r="G56" s="24"/>
      <c r="H56" s="24"/>
    </row>
    <row r="57" spans="1:8" ht="34.5">
      <c r="A57" s="117" t="s">
        <v>50</v>
      </c>
      <c r="B57" s="118"/>
      <c r="C57" s="118"/>
      <c r="D57" s="118"/>
      <c r="E57" s="166"/>
      <c r="F57" s="367" t="str">
        <f t="shared" si="0"/>
        <v xml:space="preserve">  </v>
      </c>
      <c r="G57" s="24"/>
      <c r="H57" s="24"/>
    </row>
    <row r="58" spans="1:8" ht="34.5">
      <c r="A58" s="117" t="s">
        <v>51</v>
      </c>
      <c r="B58" s="93"/>
      <c r="C58" s="93"/>
      <c r="D58" s="93"/>
      <c r="E58" s="162"/>
      <c r="F58" s="369" t="str">
        <f t="shared" si="0"/>
        <v xml:space="preserve">  </v>
      </c>
      <c r="G58" s="24"/>
      <c r="H58" s="24"/>
    </row>
    <row r="59" spans="1:8" ht="35.25">
      <c r="A59" s="117" t="s">
        <v>195</v>
      </c>
      <c r="B59" s="116"/>
      <c r="C59" s="116"/>
      <c r="D59" s="116"/>
      <c r="E59" s="174"/>
      <c r="F59" s="378" t="str">
        <f t="shared" si="0"/>
        <v xml:space="preserve">  </v>
      </c>
      <c r="G59" s="24"/>
      <c r="H59" s="24"/>
    </row>
    <row r="60" spans="1:8" ht="35.25">
      <c r="A60" s="121" t="s">
        <v>53</v>
      </c>
      <c r="B60" s="122">
        <f>B59+B58+B57+B56+B55-B58</f>
        <v>12787136</v>
      </c>
      <c r="C60" s="122">
        <f>C59+C58+C57+C56+C55-C58</f>
        <v>13097789</v>
      </c>
      <c r="D60" s="122">
        <f>D59+D58+D57+D56+D55-D58</f>
        <v>12516962</v>
      </c>
      <c r="E60" s="284">
        <f>D60-B60</f>
        <v>-270174</v>
      </c>
      <c r="F60" s="390">
        <f>IF(ISBLANK(E60),"  ",IF(B60&gt;0,E60/B60,IF(E60&gt;0,1,0)))</f>
        <v>-2.1128577970860714E-2</v>
      </c>
      <c r="G60" s="24"/>
      <c r="H60" s="24"/>
    </row>
    <row r="61" spans="1:8" ht="35.25">
      <c r="A61" s="119"/>
      <c r="B61" s="120"/>
      <c r="C61" s="120"/>
      <c r="D61" s="120"/>
      <c r="E61" s="161"/>
      <c r="F61" s="357" t="str">
        <f t="shared" si="0"/>
        <v xml:space="preserve">  </v>
      </c>
      <c r="G61" s="24">
        <v>0</v>
      </c>
      <c r="H61" s="24"/>
    </row>
    <row r="62" spans="1:8" ht="35.25">
      <c r="A62" s="119" t="s">
        <v>54</v>
      </c>
      <c r="B62" s="177"/>
      <c r="C62" s="177"/>
      <c r="D62" s="177"/>
      <c r="E62" s="474"/>
      <c r="F62" s="372" t="str">
        <f t="shared" si="0"/>
        <v xml:space="preserve">  </v>
      </c>
      <c r="G62" s="24"/>
      <c r="H62" s="24"/>
    </row>
    <row r="63" spans="1:8" ht="34.5">
      <c r="A63" s="151" t="s">
        <v>55</v>
      </c>
      <c r="B63" s="254">
        <v>7879713</v>
      </c>
      <c r="C63" s="254">
        <v>8049828</v>
      </c>
      <c r="D63" s="254">
        <v>7755280</v>
      </c>
      <c r="E63" s="160">
        <f>D63-B63</f>
        <v>-124433</v>
      </c>
      <c r="F63" s="369">
        <f>IF(ISBLANK(E63),"  ",IF(B63&gt;0,E63/B63,IF(E63&gt;0,1,0)))</f>
        <v>-1.5791564997354599E-2</v>
      </c>
      <c r="G63" s="24"/>
      <c r="H63" s="24"/>
    </row>
    <row r="64" spans="1:8" ht="34.5">
      <c r="A64" s="150" t="s">
        <v>56</v>
      </c>
      <c r="B64" s="256"/>
      <c r="C64" s="256"/>
      <c r="D64" s="256"/>
      <c r="E64" s="159"/>
      <c r="F64" s="369" t="str">
        <f t="shared" si="0"/>
        <v xml:space="preserve">  </v>
      </c>
      <c r="G64" s="24"/>
      <c r="H64" s="24"/>
    </row>
    <row r="65" spans="1:8" ht="34.5">
      <c r="A65" s="176" t="s">
        <v>57</v>
      </c>
      <c r="B65" s="177">
        <v>2238601</v>
      </c>
      <c r="C65" s="177">
        <v>2301851</v>
      </c>
      <c r="D65" s="177">
        <v>2275126</v>
      </c>
      <c r="E65" s="160">
        <f t="shared" ref="E65:E73" si="3">D65-B65</f>
        <v>36525</v>
      </c>
      <c r="F65" s="369">
        <f t="shared" ref="F65:F73" si="4">IF(ISBLANK(E65),"  ",IF(B65&gt;0,E65/B65,IF(E65&gt;0,1,0)))</f>
        <v>1.6315993783617536E-2</v>
      </c>
      <c r="G65" s="24"/>
      <c r="H65" s="24"/>
    </row>
    <row r="66" spans="1:8" ht="35.25">
      <c r="A66" s="114" t="s">
        <v>58</v>
      </c>
      <c r="B66" s="116">
        <f>SUM(B63:B65)</f>
        <v>10118314</v>
      </c>
      <c r="C66" s="116">
        <f>SUM(C63:C65)</f>
        <v>10351679</v>
      </c>
      <c r="D66" s="116">
        <f>SUM(D63:D65)</f>
        <v>10030406</v>
      </c>
      <c r="E66" s="284">
        <f t="shared" si="3"/>
        <v>-87908</v>
      </c>
      <c r="F66" s="390">
        <f t="shared" si="4"/>
        <v>-8.6880086939385356E-3</v>
      </c>
      <c r="G66" s="24"/>
      <c r="H66" s="24"/>
    </row>
    <row r="67" spans="1:8" ht="34.5">
      <c r="A67" s="117" t="s">
        <v>59</v>
      </c>
      <c r="B67" s="118">
        <v>83591</v>
      </c>
      <c r="C67" s="118">
        <v>96700</v>
      </c>
      <c r="D67" s="118">
        <v>70100</v>
      </c>
      <c r="E67" s="160">
        <f t="shared" si="3"/>
        <v>-13491</v>
      </c>
      <c r="F67" s="369">
        <f t="shared" si="4"/>
        <v>-0.16139297292770752</v>
      </c>
      <c r="G67" s="24"/>
      <c r="H67" s="24"/>
    </row>
    <row r="68" spans="1:8" ht="34.5">
      <c r="A68" s="126" t="s">
        <v>60</v>
      </c>
      <c r="B68" s="118">
        <v>1616667</v>
      </c>
      <c r="C68" s="118">
        <v>1515817</v>
      </c>
      <c r="D68" s="118">
        <v>1397542</v>
      </c>
      <c r="E68" s="160">
        <f t="shared" si="3"/>
        <v>-219125</v>
      </c>
      <c r="F68" s="369">
        <f t="shared" si="4"/>
        <v>-0.13554120916676099</v>
      </c>
      <c r="G68" s="24"/>
      <c r="H68" s="24"/>
    </row>
    <row r="69" spans="1:8" ht="34.5">
      <c r="A69" s="151" t="s">
        <v>61</v>
      </c>
      <c r="B69" s="166">
        <v>73598</v>
      </c>
      <c r="C69" s="166">
        <v>112900</v>
      </c>
      <c r="D69" s="166">
        <v>77805</v>
      </c>
      <c r="E69" s="160">
        <f t="shared" si="3"/>
        <v>4207</v>
      </c>
      <c r="F69" s="369">
        <f t="shared" si="4"/>
        <v>5.7161879398896706E-2</v>
      </c>
      <c r="G69" s="24"/>
      <c r="H69" s="24"/>
    </row>
    <row r="70" spans="1:8" ht="35.25">
      <c r="A70" s="265" t="s">
        <v>62</v>
      </c>
      <c r="B70" s="174">
        <f>SUM(B67:B69)</f>
        <v>1773856</v>
      </c>
      <c r="C70" s="174">
        <f>SUM(C67:C69)</f>
        <v>1725417</v>
      </c>
      <c r="D70" s="174">
        <f>SUM(D67:D69)</f>
        <v>1545447</v>
      </c>
      <c r="E70" s="284">
        <f t="shared" si="3"/>
        <v>-228409</v>
      </c>
      <c r="F70" s="390">
        <f t="shared" si="4"/>
        <v>-0.1287641161402053</v>
      </c>
      <c r="G70" s="24"/>
      <c r="H70" s="24"/>
    </row>
    <row r="71" spans="1:8" ht="34.5">
      <c r="A71" s="176" t="s">
        <v>63</v>
      </c>
      <c r="B71" s="177">
        <v>179526</v>
      </c>
      <c r="C71" s="177">
        <v>52233</v>
      </c>
      <c r="D71" s="177">
        <v>43733</v>
      </c>
      <c r="E71" s="160">
        <f t="shared" si="3"/>
        <v>-135793</v>
      </c>
      <c r="F71" s="369">
        <f t="shared" si="4"/>
        <v>-0.7563974020476143</v>
      </c>
      <c r="G71" s="24"/>
      <c r="H71" s="24"/>
    </row>
    <row r="72" spans="1:8" ht="34.5">
      <c r="A72" s="117" t="s">
        <v>64</v>
      </c>
      <c r="B72" s="118">
        <v>656098</v>
      </c>
      <c r="C72" s="118">
        <v>741921</v>
      </c>
      <c r="D72" s="118">
        <v>720517</v>
      </c>
      <c r="E72" s="160">
        <f t="shared" si="3"/>
        <v>64419</v>
      </c>
      <c r="F72" s="369">
        <f t="shared" si="4"/>
        <v>9.8185027236784753E-2</v>
      </c>
      <c r="G72" s="24"/>
      <c r="H72" s="24"/>
    </row>
    <row r="73" spans="1:8" ht="34.5">
      <c r="A73" s="117" t="s">
        <v>65</v>
      </c>
      <c r="B73" s="118"/>
      <c r="C73" s="118">
        <v>75542</v>
      </c>
      <c r="D73" s="118">
        <v>75542</v>
      </c>
      <c r="E73" s="160">
        <f t="shared" si="3"/>
        <v>75542</v>
      </c>
      <c r="F73" s="369">
        <f t="shared" si="4"/>
        <v>1</v>
      </c>
      <c r="G73" s="24"/>
      <c r="H73" s="24"/>
    </row>
    <row r="74" spans="1:8" ht="35.25">
      <c r="A74" s="126" t="s">
        <v>66</v>
      </c>
      <c r="B74" s="127"/>
      <c r="C74" s="127"/>
      <c r="D74" s="127"/>
      <c r="E74" s="268"/>
      <c r="F74" s="378" t="str">
        <f>IF(ISBLANK(E74),"  ",IF(C74&gt;0,E74/C74,IF(E74&gt;0,1,0)))</f>
        <v xml:space="preserve">  </v>
      </c>
      <c r="G74" s="24"/>
      <c r="H74" s="24"/>
    </row>
    <row r="75" spans="1:8" ht="35.25">
      <c r="A75" s="114" t="s">
        <v>67</v>
      </c>
      <c r="B75" s="116">
        <f>SUM(B71:B74)</f>
        <v>835624</v>
      </c>
      <c r="C75" s="116">
        <f>SUM(C71:C74)</f>
        <v>869696</v>
      </c>
      <c r="D75" s="116">
        <f>SUM(D71:D74)</f>
        <v>839792</v>
      </c>
      <c r="E75" s="284">
        <f>D75-B75</f>
        <v>4168</v>
      </c>
      <c r="F75" s="390">
        <f>IF(ISBLANK(E75),"  ",IF(B75&gt;0,E75/B75,IF(E75&gt;0,1,0)))</f>
        <v>4.9878892899198682E-3</v>
      </c>
      <c r="G75" s="24"/>
      <c r="H75" s="24"/>
    </row>
    <row r="76" spans="1:8" ht="34.5">
      <c r="A76" s="117" t="s">
        <v>68</v>
      </c>
      <c r="B76" s="118">
        <v>10366</v>
      </c>
      <c r="C76" s="118">
        <v>96700</v>
      </c>
      <c r="D76" s="118">
        <v>47020</v>
      </c>
      <c r="E76" s="160">
        <f>D76-B76</f>
        <v>36654</v>
      </c>
      <c r="F76" s="369">
        <f>IF(ISBLANK(E76),"  ",IF(B76&gt;0,E76/B76,IF(E76&gt;0,1,0)))</f>
        <v>3.5359830214161683</v>
      </c>
      <c r="G76" s="24"/>
      <c r="H76" s="24"/>
    </row>
    <row r="77" spans="1:8" ht="34.5">
      <c r="A77" s="117" t="s">
        <v>69</v>
      </c>
      <c r="B77" s="118">
        <v>48976</v>
      </c>
      <c r="C77" s="118">
        <v>54297</v>
      </c>
      <c r="D77" s="118">
        <v>54297</v>
      </c>
      <c r="E77" s="160">
        <f>D77-B77</f>
        <v>5321</v>
      </c>
      <c r="F77" s="369">
        <f>IF(ISBLANK(E77),"  ",IF(B77&gt;0,E77/B77,IF(E77&gt;0,1,0)))</f>
        <v>0.10864505063704671</v>
      </c>
      <c r="G77" s="24"/>
      <c r="H77" s="24"/>
    </row>
    <row r="78" spans="1:8" ht="35.25">
      <c r="A78" s="117" t="s">
        <v>70</v>
      </c>
      <c r="B78" s="116"/>
      <c r="C78" s="116"/>
      <c r="D78" s="116"/>
      <c r="E78" s="267"/>
      <c r="F78" s="378" t="str">
        <f>IF(ISBLANK(E78),"  ",IF(C78&gt;0,E78/C78,IF(E78&gt;0,1,0)))</f>
        <v xml:space="preserve">  </v>
      </c>
      <c r="G78" s="24"/>
      <c r="H78" s="24"/>
    </row>
    <row r="79" spans="1:8" ht="35.25">
      <c r="A79" s="274" t="s">
        <v>71</v>
      </c>
      <c r="B79" s="275">
        <f>SUM(B76:B78)</f>
        <v>59342</v>
      </c>
      <c r="C79" s="275">
        <f>SUM(C76:C78)</f>
        <v>150997</v>
      </c>
      <c r="D79" s="275">
        <f>SUM(D76:D78)</f>
        <v>101317</v>
      </c>
      <c r="E79" s="284">
        <f>D79-B79</f>
        <v>41975</v>
      </c>
      <c r="F79" s="390">
        <f>IF(ISBLANK(E79),"  ",IF(B79&gt;0,E79/B79,IF(E79&gt;0,1,0)))</f>
        <v>0.70734050082572208</v>
      </c>
      <c r="G79" s="24"/>
      <c r="H79" s="24"/>
    </row>
    <row r="80" spans="1:8" ht="36" thickBot="1">
      <c r="A80" s="272" t="s">
        <v>53</v>
      </c>
      <c r="B80" s="273">
        <f>B79+B75+B70+B66</f>
        <v>12787136</v>
      </c>
      <c r="C80" s="273">
        <f>C79+C75+C70+C66</f>
        <v>13097789</v>
      </c>
      <c r="D80" s="273">
        <f>D79+D75+D70+D66</f>
        <v>12516962</v>
      </c>
      <c r="E80" s="466">
        <f>D80-B80</f>
        <v>-270174</v>
      </c>
      <c r="F80" s="473">
        <f>IF(ISBLANK(E80),"  ",IF(B80&gt;0,E80/B80,IF(E80&gt;0,1,0)))</f>
        <v>-2.1128577970860714E-2</v>
      </c>
      <c r="G80" s="24"/>
      <c r="H80" s="24"/>
    </row>
    <row r="81" spans="1:49" ht="44.25">
      <c r="A81" s="262"/>
      <c r="B81" s="260"/>
      <c r="C81" s="260"/>
      <c r="D81" s="260"/>
      <c r="E81" s="260"/>
      <c r="F81" s="387" t="s">
        <v>35</v>
      </c>
      <c r="G81" s="24"/>
      <c r="H81" s="24"/>
    </row>
    <row r="82" spans="1:49" s="163" customFormat="1" ht="44.25">
      <c r="A82" s="262" t="s">
        <v>196</v>
      </c>
      <c r="B82" s="260"/>
      <c r="C82" s="260"/>
      <c r="D82" s="260"/>
      <c r="E82" s="260"/>
      <c r="F82" s="387"/>
    </row>
    <row r="83" spans="1:49" s="163" customFormat="1" ht="44.25">
      <c r="A83" s="261" t="s">
        <v>197</v>
      </c>
      <c r="B83" s="261"/>
      <c r="C83" s="261"/>
      <c r="D83" s="261"/>
      <c r="E83" s="261"/>
      <c r="F83" s="384"/>
    </row>
    <row r="84" spans="1:49" s="163" customFormat="1" ht="44.25">
      <c r="A84" s="163" t="s">
        <v>35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30" workbookViewId="0">
      <selection activeCell="E6" sqref="E6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3.441406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303</v>
      </c>
      <c r="E1" s="141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3830095</v>
      </c>
      <c r="C8" s="92">
        <v>3830095</v>
      </c>
      <c r="D8" s="92">
        <v>3225001</v>
      </c>
      <c r="E8" s="178">
        <f>D8-B8</f>
        <v>-605094</v>
      </c>
      <c r="F8" s="397">
        <f t="shared" ref="F8:F71" si="0">IF(ISBLANK(E8),"  ",IF(C8&gt;0,E8/C8,IF(E8&gt;0,1,0)))</f>
        <v>-0.15798407089119199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126665</v>
      </c>
      <c r="E9" s="178">
        <f>D9-B9</f>
        <v>126665</v>
      </c>
      <c r="F9" s="397">
        <f t="shared" si="0"/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1816540.83</v>
      </c>
      <c r="C10" s="93">
        <f>SUM(C11:C25)</f>
        <v>1818645</v>
      </c>
      <c r="D10" s="93">
        <f>SUM(D11:D25)</f>
        <v>1809387</v>
      </c>
      <c r="E10" s="160">
        <f>D10-C10</f>
        <v>-9258</v>
      </c>
      <c r="F10" s="369">
        <f t="shared" si="0"/>
        <v>-5.0906031688427375E-3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0</v>
      </c>
      <c r="E11" s="178">
        <f>D11-B11</f>
        <v>0</v>
      </c>
      <c r="F11" s="369">
        <f t="shared" si="0"/>
        <v>0</v>
      </c>
      <c r="G11" s="24"/>
      <c r="H11" s="24"/>
      <c r="I11" s="24"/>
      <c r="J11" s="24"/>
    </row>
    <row r="12" spans="1:10" ht="34.5">
      <c r="A12" s="31" t="s">
        <v>17</v>
      </c>
      <c r="B12" s="93">
        <v>66540.83</v>
      </c>
      <c r="C12" s="93">
        <v>68645</v>
      </c>
      <c r="D12" s="93">
        <v>59387</v>
      </c>
      <c r="E12" s="178">
        <f>D12-B12</f>
        <v>-7153.8300000000017</v>
      </c>
      <c r="F12" s="369">
        <f t="shared" si="0"/>
        <v>-0.10421487362517301</v>
      </c>
      <c r="G12" s="24"/>
      <c r="H12" s="24"/>
      <c r="I12" s="24"/>
      <c r="J12" s="24"/>
    </row>
    <row r="13" spans="1:10" ht="34.5">
      <c r="A13" s="31" t="s">
        <v>18</v>
      </c>
      <c r="B13" s="93">
        <v>1000000</v>
      </c>
      <c r="C13" s="93">
        <v>1000000</v>
      </c>
      <c r="D13" s="93">
        <v>1000000</v>
      </c>
      <c r="E13" s="178">
        <f>D13-B13</f>
        <v>0</v>
      </c>
      <c r="F13" s="369">
        <f t="shared" si="0"/>
        <v>0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160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>
        <v>750000</v>
      </c>
      <c r="C17" s="93">
        <v>750000</v>
      </c>
      <c r="D17" s="93">
        <v>750000</v>
      </c>
      <c r="E17" s="178">
        <f>D17-B17</f>
        <v>0</v>
      </c>
      <c r="F17" s="369">
        <f t="shared" si="0"/>
        <v>0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54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B30+B29+B27+B10+B8</f>
        <v>5646635.8300000001</v>
      </c>
      <c r="C31" s="122">
        <f>C30+C29+C27+C10+C8</f>
        <v>5648740</v>
      </c>
      <c r="D31" s="122">
        <f>D30+D29+D27+D10+D9+D8</f>
        <v>5161053</v>
      </c>
      <c r="E31" s="465">
        <f>D31-B31</f>
        <v>-485582.83000000007</v>
      </c>
      <c r="F31" s="390">
        <f t="shared" si="0"/>
        <v>-8.5963034234183208E-2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 t="shared" si="0"/>
        <v xml:space="preserve">  </v>
      </c>
      <c r="G32" s="24"/>
      <c r="H32" s="24"/>
    </row>
    <row r="33" spans="1:10" ht="35.25">
      <c r="A33" s="130" t="s">
        <v>34</v>
      </c>
      <c r="B33" s="138"/>
      <c r="C33" s="138"/>
      <c r="D33" s="138"/>
      <c r="E33" s="120"/>
      <c r="F33" s="397" t="str">
        <f t="shared" si="0"/>
        <v xml:space="preserve">  </v>
      </c>
      <c r="G33" s="24"/>
      <c r="H33" s="24"/>
    </row>
    <row r="34" spans="1:10" ht="35.25">
      <c r="A34" s="132" t="s">
        <v>35</v>
      </c>
      <c r="B34" s="140"/>
      <c r="C34" s="140"/>
      <c r="D34" s="140"/>
      <c r="E34" s="140"/>
      <c r="F34" s="357" t="str">
        <f t="shared" si="0"/>
        <v xml:space="preserve">  </v>
      </c>
      <c r="G34" s="24"/>
      <c r="H34" s="24"/>
    </row>
    <row r="35" spans="1:10" ht="35.25">
      <c r="A35" s="137" t="s">
        <v>36</v>
      </c>
      <c r="B35" s="147"/>
      <c r="C35" s="147"/>
      <c r="D35" s="147"/>
      <c r="E35" s="147"/>
      <c r="F35" s="397" t="str">
        <f t="shared" si="0"/>
        <v xml:space="preserve">  </v>
      </c>
      <c r="G35" s="24"/>
      <c r="H35" s="24"/>
    </row>
    <row r="36" spans="1:10" ht="35.25">
      <c r="A36" s="30" t="s">
        <v>35</v>
      </c>
      <c r="B36" s="95"/>
      <c r="C36" s="95"/>
      <c r="D36" s="95"/>
      <c r="E36" s="95"/>
      <c r="F36" s="345" t="str">
        <f t="shared" si="0"/>
        <v xml:space="preserve">  </v>
      </c>
      <c r="G36" s="24"/>
      <c r="H36" s="24"/>
    </row>
    <row r="37" spans="1:10" ht="35.25">
      <c r="A37" s="130" t="s">
        <v>153</v>
      </c>
      <c r="B37" s="147"/>
      <c r="C37" s="147"/>
      <c r="D37" s="147"/>
      <c r="E37" s="147"/>
      <c r="F37" s="397" t="str">
        <f t="shared" si="0"/>
        <v xml:space="preserve">  </v>
      </c>
      <c r="G37" s="24"/>
      <c r="H37" s="24"/>
    </row>
    <row r="38" spans="1:10" ht="35.25">
      <c r="A38" s="132" t="s">
        <v>35</v>
      </c>
      <c r="B38" s="133"/>
      <c r="C38" s="133"/>
      <c r="D38" s="133"/>
      <c r="E38" s="133"/>
      <c r="F38" s="345" t="str">
        <f t="shared" si="0"/>
        <v xml:space="preserve">  </v>
      </c>
      <c r="G38" s="24"/>
      <c r="H38" s="24"/>
    </row>
    <row r="39" spans="1:10" ht="35.25">
      <c r="A39" s="130" t="s">
        <v>37</v>
      </c>
      <c r="B39" s="147">
        <v>116.83</v>
      </c>
      <c r="C39" s="147">
        <v>0</v>
      </c>
      <c r="D39" s="147">
        <v>0</v>
      </c>
      <c r="E39" s="465">
        <f>D39-B39</f>
        <v>-116.83</v>
      </c>
      <c r="F39" s="399">
        <f t="shared" si="0"/>
        <v>0</v>
      </c>
      <c r="G39" s="24"/>
      <c r="H39" s="24"/>
    </row>
    <row r="40" spans="1:10" ht="35.25">
      <c r="A40" s="33" t="s">
        <v>35</v>
      </c>
      <c r="B40" s="95"/>
      <c r="C40" s="95"/>
      <c r="D40" s="95"/>
      <c r="E40" s="95"/>
      <c r="F40" s="345" t="str">
        <f t="shared" si="0"/>
        <v xml:space="preserve">  </v>
      </c>
      <c r="G40" s="24"/>
      <c r="H40" s="24"/>
    </row>
    <row r="41" spans="1:10" ht="35.25">
      <c r="A41" s="130" t="s">
        <v>38</v>
      </c>
      <c r="B41" s="147">
        <v>3036209.37</v>
      </c>
      <c r="C41" s="147">
        <v>3036211</v>
      </c>
      <c r="D41" s="147">
        <v>3036211</v>
      </c>
      <c r="E41" s="465">
        <f>D41-B41</f>
        <v>1.6299999998882413</v>
      </c>
      <c r="F41" s="399">
        <f t="shared" si="0"/>
        <v>5.3685333459639052E-7</v>
      </c>
      <c r="G41" s="24"/>
      <c r="H41" s="24"/>
    </row>
    <row r="42" spans="1:10" ht="35.25">
      <c r="A42" s="132"/>
      <c r="B42" s="133"/>
      <c r="C42" s="133"/>
      <c r="D42" s="133"/>
      <c r="E42" s="133"/>
      <c r="F42" s="345" t="str">
        <f t="shared" si="0"/>
        <v xml:space="preserve">  </v>
      </c>
      <c r="G42" s="24"/>
      <c r="H42" s="24"/>
    </row>
    <row r="43" spans="1:10" ht="35.25">
      <c r="A43" s="137" t="s">
        <v>39</v>
      </c>
      <c r="B43" s="147">
        <f>B41+B39+B37+B35+B31</f>
        <v>8682962.0300000012</v>
      </c>
      <c r="C43" s="147">
        <f>C41+C39+C37+C35+C31</f>
        <v>8684951</v>
      </c>
      <c r="D43" s="147">
        <f>D41+D39+D37+D35+D31</f>
        <v>8197264</v>
      </c>
      <c r="E43" s="465">
        <f>D43-B43</f>
        <v>-485698.03000000119</v>
      </c>
      <c r="F43" s="399">
        <f t="shared" si="0"/>
        <v>-5.5924095599388088E-2</v>
      </c>
      <c r="G43" s="24"/>
      <c r="H43" s="24"/>
    </row>
    <row r="44" spans="1:10" ht="35.25">
      <c r="A44" s="119"/>
      <c r="B44" s="95"/>
      <c r="C44" s="95"/>
      <c r="D44" s="95"/>
      <c r="E44" s="95"/>
      <c r="F44" s="345" t="str">
        <f t="shared" si="0"/>
        <v xml:space="preserve">  </v>
      </c>
      <c r="G44" s="24"/>
      <c r="H44" s="24"/>
      <c r="J44" s="16" t="s">
        <v>35</v>
      </c>
    </row>
    <row r="45" spans="1:10" ht="35.25">
      <c r="A45" s="119"/>
      <c r="B45" s="95"/>
      <c r="C45" s="95"/>
      <c r="D45" s="95"/>
      <c r="E45" s="95"/>
      <c r="F45" s="345" t="str">
        <f t="shared" si="0"/>
        <v xml:space="preserve">  </v>
      </c>
      <c r="G45" s="24"/>
      <c r="H45" s="24"/>
    </row>
    <row r="46" spans="1:10" ht="35.25">
      <c r="A46" s="240" t="s">
        <v>40</v>
      </c>
      <c r="B46" s="270"/>
      <c r="C46" s="270"/>
      <c r="D46" s="270"/>
      <c r="E46" s="270"/>
      <c r="F46" s="397" t="str">
        <f t="shared" si="0"/>
        <v xml:space="preserve">  </v>
      </c>
      <c r="G46" s="24"/>
      <c r="H46" s="24"/>
    </row>
    <row r="47" spans="1:10" ht="34.5">
      <c r="A47" s="263" t="s">
        <v>41</v>
      </c>
      <c r="B47" s="264"/>
      <c r="C47" s="264"/>
      <c r="D47" s="264"/>
      <c r="E47" s="264"/>
      <c r="F47" s="369" t="str">
        <f t="shared" si="0"/>
        <v xml:space="preserve">  </v>
      </c>
      <c r="G47" s="24"/>
      <c r="H47" s="24"/>
    </row>
    <row r="48" spans="1:10" ht="34.5">
      <c r="A48" s="168" t="s">
        <v>42</v>
      </c>
      <c r="B48" s="169">
        <v>2546039</v>
      </c>
      <c r="C48" s="169">
        <v>2607015</v>
      </c>
      <c r="D48" s="169">
        <v>2314485</v>
      </c>
      <c r="E48" s="178">
        <f>D48-B48</f>
        <v>-231554</v>
      </c>
      <c r="F48" s="369">
        <f t="shared" si="0"/>
        <v>-8.8819588686678053E-2</v>
      </c>
      <c r="G48" s="24"/>
      <c r="H48" s="24"/>
    </row>
    <row r="49" spans="1:8" ht="34.5">
      <c r="A49" s="155" t="s">
        <v>43</v>
      </c>
      <c r="B49" s="154">
        <v>3040902</v>
      </c>
      <c r="C49" s="154">
        <v>3410237</v>
      </c>
      <c r="D49" s="154">
        <v>3329394</v>
      </c>
      <c r="E49" s="178">
        <f>D49-B49</f>
        <v>288492</v>
      </c>
      <c r="F49" s="369">
        <f t="shared" si="0"/>
        <v>8.4595879993091386E-2</v>
      </c>
      <c r="G49" s="24"/>
      <c r="H49" s="24"/>
    </row>
    <row r="50" spans="1:8" ht="34.5">
      <c r="A50" s="156" t="s">
        <v>44</v>
      </c>
      <c r="B50" s="157">
        <v>73774</v>
      </c>
      <c r="C50" s="157">
        <v>68645</v>
      </c>
      <c r="D50" s="157">
        <v>59387</v>
      </c>
      <c r="E50" s="178">
        <f>D50-B50</f>
        <v>-14387</v>
      </c>
      <c r="F50" s="369">
        <f t="shared" si="0"/>
        <v>-0.20958554883822567</v>
      </c>
      <c r="G50" s="24"/>
      <c r="H50" s="24"/>
    </row>
    <row r="51" spans="1:8" ht="34.5">
      <c r="A51" s="158" t="s">
        <v>45</v>
      </c>
      <c r="B51" s="159"/>
      <c r="C51" s="159"/>
      <c r="D51" s="159"/>
      <c r="E51" s="159"/>
      <c r="F51" s="369" t="str">
        <f t="shared" si="0"/>
        <v xml:space="preserve">  </v>
      </c>
      <c r="G51" s="24"/>
      <c r="H51" s="24"/>
    </row>
    <row r="52" spans="1:8" ht="34.5">
      <c r="A52" s="158" t="s">
        <v>74</v>
      </c>
      <c r="B52" s="159">
        <v>1793657</v>
      </c>
      <c r="C52" s="159">
        <v>1696051</v>
      </c>
      <c r="D52" s="159">
        <v>1629722</v>
      </c>
      <c r="E52" s="178">
        <f>D52-B52</f>
        <v>-163935</v>
      </c>
      <c r="F52" s="369">
        <f t="shared" si="0"/>
        <v>-9.6656881190483074E-2</v>
      </c>
      <c r="G52" s="24"/>
      <c r="H52" s="24"/>
    </row>
    <row r="53" spans="1:8" ht="34.5">
      <c r="A53" s="156" t="s">
        <v>46</v>
      </c>
      <c r="B53" s="159"/>
      <c r="C53" s="159"/>
      <c r="D53" s="159"/>
      <c r="E53" s="159"/>
      <c r="F53" s="369" t="str">
        <f t="shared" si="0"/>
        <v xml:space="preserve">  </v>
      </c>
      <c r="G53" s="24"/>
      <c r="H53" s="24"/>
    </row>
    <row r="54" spans="1:8" ht="34.5">
      <c r="A54" s="155" t="s">
        <v>47</v>
      </c>
      <c r="B54" s="154">
        <v>1228590</v>
      </c>
      <c r="C54" s="154">
        <v>903004</v>
      </c>
      <c r="D54" s="154">
        <v>864276</v>
      </c>
      <c r="E54" s="178">
        <f>D54-B54</f>
        <v>-364314</v>
      </c>
      <c r="F54" s="369">
        <f t="shared" si="0"/>
        <v>-0.40344671784399627</v>
      </c>
      <c r="G54" s="24"/>
      <c r="H54" s="24"/>
    </row>
    <row r="55" spans="1:8" ht="35.25">
      <c r="A55" s="114" t="s">
        <v>48</v>
      </c>
      <c r="B55" s="116">
        <f>SUM(B47:B54)</f>
        <v>8682962</v>
      </c>
      <c r="C55" s="116">
        <f>SUM(C47:C54)</f>
        <v>8684952</v>
      </c>
      <c r="D55" s="116">
        <f>SUM(D47:D54)</f>
        <v>8197264</v>
      </c>
      <c r="E55" s="465">
        <f>D55-B55</f>
        <v>-485698</v>
      </c>
      <c r="F55" s="390">
        <f t="shared" si="0"/>
        <v>-5.5924085705942879E-2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69" t="str">
        <f t="shared" si="0"/>
        <v xml:space="preserve">  </v>
      </c>
      <c r="G56" s="24"/>
      <c r="H56" s="24"/>
    </row>
    <row r="57" spans="1:8" ht="34.5">
      <c r="A57" s="117" t="s">
        <v>50</v>
      </c>
      <c r="B57" s="118"/>
      <c r="C57" s="118"/>
      <c r="D57" s="118"/>
      <c r="E57" s="128"/>
      <c r="F57" s="369" t="str">
        <f t="shared" si="0"/>
        <v xml:space="preserve">  </v>
      </c>
      <c r="G57" s="24"/>
      <c r="H57" s="24"/>
    </row>
    <row r="58" spans="1:8" ht="34.5">
      <c r="A58" s="117" t="s">
        <v>51</v>
      </c>
      <c r="B58" s="93"/>
      <c r="C58" s="93"/>
      <c r="D58" s="93"/>
      <c r="E58" s="97"/>
      <c r="F58" s="369" t="str">
        <f t="shared" si="0"/>
        <v xml:space="preserve">  </v>
      </c>
      <c r="G58" s="24"/>
      <c r="H58" s="24"/>
    </row>
    <row r="59" spans="1:8" ht="35.25">
      <c r="A59" s="117" t="s">
        <v>52</v>
      </c>
      <c r="B59" s="116"/>
      <c r="C59" s="116"/>
      <c r="D59" s="116"/>
      <c r="E59" s="268"/>
      <c r="F59" s="369" t="str">
        <f t="shared" si="0"/>
        <v xml:space="preserve">  </v>
      </c>
      <c r="G59" s="24"/>
      <c r="H59" s="24"/>
    </row>
    <row r="60" spans="1:8" ht="35.25">
      <c r="A60" s="121" t="s">
        <v>53</v>
      </c>
      <c r="B60" s="122">
        <f>B59+B58+B57+B56+B55</f>
        <v>8682962</v>
      </c>
      <c r="C60" s="122">
        <f>C59+C58+C57+C56+C55</f>
        <v>8684952</v>
      </c>
      <c r="D60" s="122">
        <f>D59+D58+D57+D56+D55</f>
        <v>8197264</v>
      </c>
      <c r="E60" s="465">
        <f>D60-B60</f>
        <v>-485698</v>
      </c>
      <c r="F60" s="390">
        <f t="shared" si="0"/>
        <v>-5.5924085705942879E-2</v>
      </c>
      <c r="G60" s="24"/>
      <c r="H60" s="24"/>
    </row>
    <row r="61" spans="1:8" ht="35.25">
      <c r="A61" s="119"/>
      <c r="B61" s="120"/>
      <c r="C61" s="120"/>
      <c r="D61" s="120"/>
      <c r="E61" s="161"/>
      <c r="F61" s="357" t="str">
        <f t="shared" si="0"/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425"/>
      <c r="F62" s="397" t="str">
        <f t="shared" si="0"/>
        <v xml:space="preserve">  </v>
      </c>
      <c r="G62" s="24"/>
      <c r="H62" s="24"/>
    </row>
    <row r="63" spans="1:8" ht="34.5">
      <c r="A63" s="151" t="s">
        <v>55</v>
      </c>
      <c r="B63" s="254">
        <v>4697823</v>
      </c>
      <c r="C63" s="254">
        <v>4866742</v>
      </c>
      <c r="D63" s="254">
        <v>4632182</v>
      </c>
      <c r="E63" s="178">
        <f t="shared" ref="E63:E72" si="1">D63-B63</f>
        <v>-65641</v>
      </c>
      <c r="F63" s="369">
        <f t="shared" si="0"/>
        <v>-1.3487667930619705E-2</v>
      </c>
      <c r="G63" s="24"/>
      <c r="H63" s="24"/>
    </row>
    <row r="64" spans="1:8" ht="34.5">
      <c r="A64" s="150" t="s">
        <v>56</v>
      </c>
      <c r="B64" s="256">
        <v>104</v>
      </c>
      <c r="C64" s="256">
        <v>80000</v>
      </c>
      <c r="D64" s="256">
        <v>98000</v>
      </c>
      <c r="E64" s="178">
        <f t="shared" si="1"/>
        <v>97896</v>
      </c>
      <c r="F64" s="369">
        <f t="shared" si="0"/>
        <v>1.2237</v>
      </c>
      <c r="G64" s="24"/>
      <c r="H64" s="24"/>
    </row>
    <row r="65" spans="1:8" ht="34.5">
      <c r="A65" s="176" t="s">
        <v>57</v>
      </c>
      <c r="B65" s="177">
        <v>1263505</v>
      </c>
      <c r="C65" s="177">
        <v>1324045</v>
      </c>
      <c r="D65" s="177">
        <v>1342570</v>
      </c>
      <c r="E65" s="178">
        <f t="shared" si="1"/>
        <v>79065</v>
      </c>
      <c r="F65" s="369">
        <f t="shared" si="0"/>
        <v>5.9714737792144527E-2</v>
      </c>
      <c r="G65" s="24"/>
      <c r="H65" s="24"/>
    </row>
    <row r="66" spans="1:8" ht="35.25">
      <c r="A66" s="114" t="s">
        <v>58</v>
      </c>
      <c r="B66" s="116">
        <f>SUM(B63:B65)</f>
        <v>5961432</v>
      </c>
      <c r="C66" s="116">
        <f>SUM(C63:C65)</f>
        <v>6270787</v>
      </c>
      <c r="D66" s="116">
        <f>SUM(D63:D65)</f>
        <v>6072752</v>
      </c>
      <c r="E66" s="465">
        <f t="shared" si="1"/>
        <v>111320</v>
      </c>
      <c r="F66" s="390">
        <f t="shared" si="0"/>
        <v>1.7752157743517679E-2</v>
      </c>
      <c r="G66" s="24"/>
      <c r="H66" s="24"/>
    </row>
    <row r="67" spans="1:8" ht="34.5">
      <c r="A67" s="117" t="s">
        <v>59</v>
      </c>
      <c r="B67" s="118">
        <v>329623</v>
      </c>
      <c r="C67" s="118">
        <v>183863</v>
      </c>
      <c r="D67" s="118">
        <v>128900</v>
      </c>
      <c r="E67" s="178">
        <f t="shared" si="1"/>
        <v>-200723</v>
      </c>
      <c r="F67" s="369">
        <f t="shared" si="0"/>
        <v>-1.0916987104528915</v>
      </c>
      <c r="G67" s="24"/>
      <c r="H67" s="24"/>
    </row>
    <row r="68" spans="1:8" ht="34.5">
      <c r="A68" s="126" t="s">
        <v>60</v>
      </c>
      <c r="B68" s="118">
        <v>1892262</v>
      </c>
      <c r="C68" s="118">
        <v>1551185</v>
      </c>
      <c r="D68" s="118">
        <v>1474816</v>
      </c>
      <c r="E68" s="178">
        <f t="shared" si="1"/>
        <v>-417446</v>
      </c>
      <c r="F68" s="369">
        <f t="shared" si="0"/>
        <v>-0.26911425780935222</v>
      </c>
      <c r="G68" s="24"/>
      <c r="H68" s="24"/>
    </row>
    <row r="69" spans="1:8" ht="34.5">
      <c r="A69" s="151" t="s">
        <v>61</v>
      </c>
      <c r="B69" s="166">
        <v>243717</v>
      </c>
      <c r="C69" s="166">
        <v>186391</v>
      </c>
      <c r="D69" s="166">
        <v>153000</v>
      </c>
      <c r="E69" s="178">
        <f t="shared" si="1"/>
        <v>-90717</v>
      </c>
      <c r="F69" s="369">
        <f t="shared" si="0"/>
        <v>-0.4867026841424747</v>
      </c>
      <c r="G69" s="24"/>
      <c r="H69" s="24"/>
    </row>
    <row r="70" spans="1:8" ht="35.25">
      <c r="A70" s="265" t="s">
        <v>62</v>
      </c>
      <c r="B70" s="174">
        <f>SUM(B67:B69)</f>
        <v>2465602</v>
      </c>
      <c r="C70" s="174">
        <f>SUM(C67:C69)</f>
        <v>1921439</v>
      </c>
      <c r="D70" s="174">
        <f>SUM(D67:D69)</f>
        <v>1756716</v>
      </c>
      <c r="E70" s="465">
        <f t="shared" si="1"/>
        <v>-708886</v>
      </c>
      <c r="F70" s="390">
        <f t="shared" si="0"/>
        <v>-0.36893494927499648</v>
      </c>
      <c r="G70" s="24"/>
      <c r="H70" s="24"/>
    </row>
    <row r="71" spans="1:8" ht="34.5">
      <c r="A71" s="176" t="s">
        <v>63</v>
      </c>
      <c r="B71" s="177">
        <v>114111</v>
      </c>
      <c r="C71" s="177">
        <v>51000</v>
      </c>
      <c r="D71" s="177">
        <v>45061</v>
      </c>
      <c r="E71" s="178">
        <f t="shared" si="1"/>
        <v>-69050</v>
      </c>
      <c r="F71" s="369">
        <f t="shared" si="0"/>
        <v>-1.3539215686274511</v>
      </c>
      <c r="G71" s="24"/>
      <c r="H71" s="24"/>
    </row>
    <row r="72" spans="1:8" ht="34.5">
      <c r="A72" s="117" t="s">
        <v>64</v>
      </c>
      <c r="B72" s="118">
        <v>88767</v>
      </c>
      <c r="C72" s="118">
        <v>88408</v>
      </c>
      <c r="D72" s="118">
        <v>88408</v>
      </c>
      <c r="E72" s="178">
        <f t="shared" si="1"/>
        <v>-359</v>
      </c>
      <c r="F72" s="369">
        <f t="shared" ref="F72:F80" si="2">IF(ISBLANK(E72),"  ",IF(C72&gt;0,E72/C72,IF(E72&gt;0,1,0)))</f>
        <v>-4.0607184870147502E-3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69" t="str">
        <f t="shared" si="2"/>
        <v xml:space="preserve">  </v>
      </c>
      <c r="G73" s="24"/>
      <c r="H73" s="24"/>
    </row>
    <row r="74" spans="1:8" ht="34.5">
      <c r="A74" s="126" t="s">
        <v>66</v>
      </c>
      <c r="B74" s="128"/>
      <c r="C74" s="128"/>
      <c r="D74" s="128"/>
      <c r="E74" s="157"/>
      <c r="F74" s="369" t="str">
        <f t="shared" si="2"/>
        <v xml:space="preserve">  </v>
      </c>
      <c r="G74" s="24"/>
      <c r="H74" s="24"/>
    </row>
    <row r="75" spans="1:8" ht="35.25">
      <c r="A75" s="114" t="s">
        <v>67</v>
      </c>
      <c r="B75" s="116">
        <f>SUM(B71:B74)</f>
        <v>202878</v>
      </c>
      <c r="C75" s="116">
        <f>SUM(C71:C74)</f>
        <v>139408</v>
      </c>
      <c r="D75" s="116">
        <f>SUM(D71:D74)</f>
        <v>133469</v>
      </c>
      <c r="E75" s="465">
        <f>D75-B75</f>
        <v>-69409</v>
      </c>
      <c r="F75" s="390">
        <f t="shared" si="2"/>
        <v>-0.49788390910134284</v>
      </c>
      <c r="G75" s="24"/>
      <c r="H75" s="24"/>
    </row>
    <row r="76" spans="1:8" ht="34.5">
      <c r="A76" s="117" t="s">
        <v>68</v>
      </c>
      <c r="B76" s="118">
        <v>53050</v>
      </c>
      <c r="C76" s="118">
        <v>353318</v>
      </c>
      <c r="D76" s="118">
        <v>234327</v>
      </c>
      <c r="E76" s="178">
        <f>D76-B76</f>
        <v>181277</v>
      </c>
      <c r="F76" s="369">
        <f t="shared" si="2"/>
        <v>0.51307037852586057</v>
      </c>
      <c r="G76" s="24"/>
      <c r="H76" s="24"/>
    </row>
    <row r="77" spans="1:8" ht="34.5">
      <c r="A77" s="117" t="s">
        <v>69</v>
      </c>
      <c r="B77" s="118"/>
      <c r="C77" s="118"/>
      <c r="D77" s="118"/>
      <c r="E77" s="118"/>
      <c r="F77" s="369" t="str">
        <f t="shared" si="2"/>
        <v xml:space="preserve">  </v>
      </c>
      <c r="G77" s="24"/>
      <c r="H77" s="24"/>
    </row>
    <row r="78" spans="1:8" ht="34.5">
      <c r="A78" s="117" t="s">
        <v>70</v>
      </c>
      <c r="B78" s="118"/>
      <c r="C78" s="118"/>
      <c r="D78" s="118"/>
      <c r="E78" s="154"/>
      <c r="F78" s="369" t="str">
        <f t="shared" si="2"/>
        <v xml:space="preserve">  </v>
      </c>
      <c r="G78" s="24"/>
      <c r="H78" s="24"/>
    </row>
    <row r="79" spans="1:8" ht="35.25">
      <c r="A79" s="274" t="s">
        <v>71</v>
      </c>
      <c r="B79" s="275">
        <f>SUM(B76:B78)</f>
        <v>53050</v>
      </c>
      <c r="C79" s="275">
        <f>SUM(C76:C78)</f>
        <v>353318</v>
      </c>
      <c r="D79" s="275">
        <f>SUM(D76:D78)</f>
        <v>234327</v>
      </c>
      <c r="E79" s="401">
        <f>D79-B79</f>
        <v>181277</v>
      </c>
      <c r="F79" s="390">
        <f t="shared" si="2"/>
        <v>0.51307037852586057</v>
      </c>
      <c r="G79" s="24"/>
      <c r="H79" s="24"/>
    </row>
    <row r="80" spans="1:8" ht="36" thickBot="1">
      <c r="A80" s="274" t="s">
        <v>53</v>
      </c>
      <c r="B80" s="273">
        <f>B79+B75+B70+B66</f>
        <v>8682962</v>
      </c>
      <c r="C80" s="273">
        <f>C79+C75+C70+C66</f>
        <v>8684952</v>
      </c>
      <c r="D80" s="273">
        <f>D79+D75+D70+D66</f>
        <v>8197264</v>
      </c>
      <c r="E80" s="442">
        <f>D80-B80</f>
        <v>-485698</v>
      </c>
      <c r="F80" s="348">
        <f t="shared" si="2"/>
        <v>-5.5924085705942879E-2</v>
      </c>
      <c r="G80" s="24"/>
      <c r="H80" s="24"/>
    </row>
    <row r="81" spans="1:49" ht="44.25">
      <c r="A81" s="262"/>
      <c r="B81" s="260"/>
      <c r="C81" s="260"/>
      <c r="D81" s="260"/>
      <c r="E81" s="260"/>
      <c r="F81" s="387"/>
      <c r="G81" s="24"/>
      <c r="H81" s="24"/>
    </row>
    <row r="82" spans="1:49" s="163" customFormat="1" ht="44.25">
      <c r="A82" s="262" t="s">
        <v>99</v>
      </c>
      <c r="B82" s="260"/>
      <c r="C82" s="260"/>
      <c r="D82" s="260"/>
      <c r="E82" s="260"/>
      <c r="F82" s="387"/>
    </row>
    <row r="83" spans="1:49" s="163" customFormat="1" ht="44.25">
      <c r="A83" s="261" t="s">
        <v>72</v>
      </c>
      <c r="B83" s="261"/>
      <c r="C83" s="261"/>
      <c r="D83" s="261"/>
      <c r="E83" s="261"/>
      <c r="F83" s="384"/>
    </row>
    <row r="84" spans="1:49" s="163" customFormat="1" ht="44.25">
      <c r="A84" s="163" t="s">
        <v>35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opLeftCell="A28" zoomScale="30" zoomScaleNormal="30" workbookViewId="0">
      <selection activeCell="J57" sqref="J57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304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 t="s">
        <v>35</v>
      </c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v>7052241</v>
      </c>
      <c r="C8" s="92">
        <v>7052241</v>
      </c>
      <c r="D8" s="92">
        <v>4903126</v>
      </c>
      <c r="E8" s="178">
        <f>D8-B8</f>
        <v>-2149115</v>
      </c>
      <c r="F8" s="397">
        <f>IF(ISBLANK(E8),"  ",IF(B8&gt;0,E8/B8,IF(E8&gt;0,1,0)))</f>
        <v>-0.30474213799556765</v>
      </c>
      <c r="G8" s="24"/>
      <c r="H8" s="24"/>
      <c r="I8" s="24"/>
      <c r="J8" s="24"/>
    </row>
    <row r="9" spans="1:10" ht="34.5">
      <c r="A9" s="153" t="s">
        <v>87</v>
      </c>
      <c r="B9" s="93">
        <v>0</v>
      </c>
      <c r="C9" s="93">
        <v>0</v>
      </c>
      <c r="D9" s="93">
        <v>446620</v>
      </c>
      <c r="E9" s="178">
        <f>D9-B9</f>
        <v>446620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242715</v>
      </c>
      <c r="C10" s="93">
        <f>SUM(C11:C25)</f>
        <v>250080</v>
      </c>
      <c r="D10" s="93">
        <f>SUM(D11:D25)</f>
        <v>254135</v>
      </c>
      <c r="E10" s="160">
        <f>D10-C10</f>
        <v>4055</v>
      </c>
      <c r="F10" s="369">
        <f t="shared" si="0"/>
        <v>1.6706837237088767E-2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37782</v>
      </c>
      <c r="E11" s="178">
        <f>D11-B11</f>
        <v>37782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242715</v>
      </c>
      <c r="C12" s="93">
        <v>250080</v>
      </c>
      <c r="D12" s="93">
        <v>216353</v>
      </c>
      <c r="E12" s="178">
        <f>D12-B12</f>
        <v>-26362</v>
      </c>
      <c r="F12" s="369">
        <f t="shared" si="0"/>
        <v>-0.10861298230434872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69" t="str">
        <f t="shared" si="0"/>
        <v xml:space="preserve">  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284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B30+B29+B27+B10+B9+B8</f>
        <v>7294956</v>
      </c>
      <c r="C31" s="122">
        <f>C30+C29+C27+C10+C9+C8</f>
        <v>7302321</v>
      </c>
      <c r="D31" s="122">
        <f>D30+D29+D27+D10+D9+D8</f>
        <v>5603881</v>
      </c>
      <c r="E31" s="465">
        <f>D31-B31</f>
        <v>-1691075</v>
      </c>
      <c r="F31" s="390">
        <f t="shared" si="0"/>
        <v>-0.23181428373248583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282</v>
      </c>
      <c r="B33" s="147">
        <v>-107341</v>
      </c>
      <c r="C33" s="138">
        <v>0</v>
      </c>
      <c r="D33" s="138">
        <v>0</v>
      </c>
      <c r="E33" s="465">
        <f>D33-B33</f>
        <v>107341</v>
      </c>
      <c r="F33" s="345">
        <f>IF(ISBLANK(E33),"  ",IF(B33&gt;0,E33/B33,IF(E33&gt;0,1,0)))</f>
        <v>1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88</v>
      </c>
      <c r="B37" s="147">
        <v>0</v>
      </c>
      <c r="C37" s="147">
        <v>0</v>
      </c>
      <c r="D37" s="147">
        <v>1077517</v>
      </c>
      <c r="E37" s="465">
        <f>D37-B37</f>
        <v>1077517</v>
      </c>
      <c r="F37" s="345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4141674</v>
      </c>
      <c r="C39" s="147">
        <v>3850070</v>
      </c>
      <c r="D39" s="147">
        <v>3640070</v>
      </c>
      <c r="E39" s="465">
        <f>D39-B39</f>
        <v>-501604</v>
      </c>
      <c r="F39" s="399">
        <f>IF(ISBLANK(E39),"  ",IF(B39&gt;0,E39/B39,IF(E39&gt;0,1,0)))</f>
        <v>-0.12111141533592455</v>
      </c>
      <c r="G39" s="24"/>
      <c r="H39" s="24"/>
    </row>
    <row r="40" spans="1:8" ht="35.25">
      <c r="A40" s="33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99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43" t="str">
        <f>IF(ISBLANK(E42),"  ",IF(B42&gt;0,E42/B42,IF(E42&gt;0,1,0)))</f>
        <v xml:space="preserve">  </v>
      </c>
      <c r="G42" s="24"/>
      <c r="H42" s="24"/>
    </row>
    <row r="43" spans="1:8" ht="35.25">
      <c r="A43" s="137" t="s">
        <v>39</v>
      </c>
      <c r="B43" s="147">
        <f>B41+B39+B37+B35+B31+B33</f>
        <v>11329289</v>
      </c>
      <c r="C43" s="147">
        <f>C41+C39+C37+C35+C31</f>
        <v>11152391</v>
      </c>
      <c r="D43" s="147">
        <f>D41+D39+D37+D35+D31</f>
        <v>10321468</v>
      </c>
      <c r="E43" s="465">
        <f>D43-B43</f>
        <v>-1007821</v>
      </c>
      <c r="F43" s="399">
        <f>IF(ISBLANK(E43),"  ",IF(B43&gt;0,E43/B43,IF(E43&gt;0,1,0)))</f>
        <v>-8.8957126965337363E-2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19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19" t="s">
        <v>40</v>
      </c>
      <c r="B46" s="95"/>
      <c r="C46" s="95"/>
      <c r="D46" s="95"/>
      <c r="E46" s="299"/>
      <c r="F46" s="345" t="str">
        <f>IF(ISBLANK(E46),"  ",IF(C46&gt;0,E46/C46,IF(E46&gt;0,1,0)))</f>
        <v xml:space="preserve">  </v>
      </c>
      <c r="G46" s="24"/>
      <c r="H46" s="24"/>
    </row>
    <row r="47" spans="1:8" ht="34.5">
      <c r="A47" s="263" t="s">
        <v>41</v>
      </c>
      <c r="B47" s="264">
        <v>4537130</v>
      </c>
      <c r="C47" s="264">
        <v>5318617</v>
      </c>
      <c r="D47" s="264">
        <v>4809316</v>
      </c>
      <c r="E47" s="178">
        <f>D47-B47</f>
        <v>272186</v>
      </c>
      <c r="F47" s="397">
        <f t="shared" ref="F47:F60" si="1">IF(ISBLANK(E47),"  ",IF(B47&gt;0,E47/B47,IF(E47&gt;0,1,0)))</f>
        <v>5.9990787127545388E-2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69" t="str">
        <f t="shared" si="1"/>
        <v xml:space="preserve">  </v>
      </c>
      <c r="G48" s="24"/>
      <c r="H48" s="24"/>
    </row>
    <row r="49" spans="1:8" ht="34.5">
      <c r="A49" s="155" t="s">
        <v>43</v>
      </c>
      <c r="B49" s="154">
        <v>103993</v>
      </c>
      <c r="C49" s="154">
        <v>115466</v>
      </c>
      <c r="D49" s="154">
        <v>104231</v>
      </c>
      <c r="E49" s="178">
        <f t="shared" ref="E49:E55" si="2">D49-B49</f>
        <v>238</v>
      </c>
      <c r="F49" s="369">
        <f t="shared" si="1"/>
        <v>2.2886155798948005E-3</v>
      </c>
      <c r="G49" s="24"/>
      <c r="H49" s="24"/>
    </row>
    <row r="50" spans="1:8" ht="34.5">
      <c r="A50" s="156" t="s">
        <v>44</v>
      </c>
      <c r="B50" s="157">
        <v>2016176</v>
      </c>
      <c r="C50" s="157">
        <v>1904484</v>
      </c>
      <c r="D50" s="157">
        <v>1310954</v>
      </c>
      <c r="E50" s="178">
        <f t="shared" si="2"/>
        <v>-705222</v>
      </c>
      <c r="F50" s="369">
        <f t="shared" si="1"/>
        <v>-0.34978196347937879</v>
      </c>
      <c r="G50" s="24"/>
      <c r="H50" s="24"/>
    </row>
    <row r="51" spans="1:8" ht="34.5">
      <c r="A51" s="158" t="s">
        <v>45</v>
      </c>
      <c r="B51" s="159">
        <v>1011969</v>
      </c>
      <c r="C51" s="159">
        <v>1182290</v>
      </c>
      <c r="D51" s="159">
        <v>1011748</v>
      </c>
      <c r="E51" s="178">
        <f t="shared" si="2"/>
        <v>-221</v>
      </c>
      <c r="F51" s="369">
        <f t="shared" si="1"/>
        <v>-2.1838613633421577E-4</v>
      </c>
      <c r="G51" s="24"/>
      <c r="H51" s="24"/>
    </row>
    <row r="52" spans="1:8" ht="34.5">
      <c r="A52" s="158" t="s">
        <v>74</v>
      </c>
      <c r="B52" s="159">
        <v>2328218</v>
      </c>
      <c r="C52" s="159">
        <v>1798682</v>
      </c>
      <c r="D52" s="159">
        <v>1854041</v>
      </c>
      <c r="E52" s="178">
        <f t="shared" si="2"/>
        <v>-474177</v>
      </c>
      <c r="F52" s="369">
        <f t="shared" si="1"/>
        <v>-0.2036652066086595</v>
      </c>
      <c r="G52" s="24"/>
      <c r="H52" s="24"/>
    </row>
    <row r="53" spans="1:8" ht="34.5">
      <c r="A53" s="156" t="s">
        <v>46</v>
      </c>
      <c r="B53" s="159">
        <v>249500</v>
      </c>
      <c r="C53" s="159">
        <v>180000</v>
      </c>
      <c r="D53" s="159">
        <v>100000</v>
      </c>
      <c r="E53" s="178">
        <f t="shared" si="2"/>
        <v>-149500</v>
      </c>
      <c r="F53" s="369">
        <f t="shared" si="1"/>
        <v>-0.59919839679358722</v>
      </c>
      <c r="G53" s="24"/>
      <c r="H53" s="24"/>
    </row>
    <row r="54" spans="1:8" ht="34.5">
      <c r="A54" s="153" t="s">
        <v>47</v>
      </c>
      <c r="B54" s="160">
        <v>535240</v>
      </c>
      <c r="C54" s="160">
        <v>444388</v>
      </c>
      <c r="D54" s="160">
        <v>922714</v>
      </c>
      <c r="E54" s="178">
        <f t="shared" si="2"/>
        <v>387474</v>
      </c>
      <c r="F54" s="369">
        <f t="shared" si="1"/>
        <v>0.72392571556684848</v>
      </c>
      <c r="G54" s="24"/>
      <c r="H54" s="24"/>
    </row>
    <row r="55" spans="1:8" ht="35.25">
      <c r="A55" s="114" t="s">
        <v>48</v>
      </c>
      <c r="B55" s="116">
        <f>SUM(B47:B54)</f>
        <v>10782226</v>
      </c>
      <c r="C55" s="116">
        <f>SUM(C47:C54)</f>
        <v>10943927</v>
      </c>
      <c r="D55" s="116">
        <f>SUM(D47:D54)</f>
        <v>10113004</v>
      </c>
      <c r="E55" s="465">
        <f t="shared" si="2"/>
        <v>-669222</v>
      </c>
      <c r="F55" s="390">
        <f t="shared" si="1"/>
        <v>-6.2067146431543915E-2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159"/>
      <c r="F56" s="369" t="str">
        <f t="shared" si="1"/>
        <v xml:space="preserve">  </v>
      </c>
      <c r="G56" s="24"/>
      <c r="H56" s="24"/>
    </row>
    <row r="57" spans="1:8" ht="34.5">
      <c r="A57" s="117" t="s">
        <v>50</v>
      </c>
      <c r="B57" s="118">
        <v>547063</v>
      </c>
      <c r="C57" s="118">
        <v>208464</v>
      </c>
      <c r="D57" s="118">
        <v>208464</v>
      </c>
      <c r="E57" s="178">
        <f>D57-B57</f>
        <v>-338599</v>
      </c>
      <c r="F57" s="369">
        <f t="shared" si="1"/>
        <v>-0.61893968336370764</v>
      </c>
      <c r="G57" s="24"/>
      <c r="H57" s="24"/>
    </row>
    <row r="58" spans="1:8" ht="34.5">
      <c r="A58" s="117" t="s">
        <v>51</v>
      </c>
      <c r="B58" s="93"/>
      <c r="C58" s="93"/>
      <c r="D58" s="93"/>
      <c r="E58" s="97"/>
      <c r="F58" s="369" t="str">
        <f t="shared" si="1"/>
        <v xml:space="preserve">  </v>
      </c>
      <c r="G58" s="24"/>
      <c r="H58" s="24"/>
    </row>
    <row r="59" spans="1:8" ht="34.5">
      <c r="A59" s="117" t="s">
        <v>52</v>
      </c>
      <c r="B59" s="93"/>
      <c r="C59" s="93"/>
      <c r="D59" s="93"/>
      <c r="E59" s="159"/>
      <c r="F59" s="369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11329289</v>
      </c>
      <c r="C60" s="116">
        <f>C59+C58+C57+C56+C55</f>
        <v>11152391</v>
      </c>
      <c r="D60" s="116">
        <f>D59+D58+D57+D56+D55</f>
        <v>10321468</v>
      </c>
      <c r="E60" s="465">
        <f>D60-B60</f>
        <v>-1007821</v>
      </c>
      <c r="F60" s="344">
        <f t="shared" si="1"/>
        <v>-8.8957126965337363E-2</v>
      </c>
      <c r="G60" s="24"/>
      <c r="H60" s="24"/>
    </row>
    <row r="61" spans="1:8" ht="35.25">
      <c r="A61" s="117"/>
      <c r="B61" s="116"/>
      <c r="C61" s="116"/>
      <c r="D61" s="116"/>
      <c r="E61" s="127"/>
      <c r="F61" s="354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20"/>
      <c r="C62" s="120"/>
      <c r="D62" s="120"/>
      <c r="E62" s="436"/>
      <c r="F62" s="38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6755436</v>
      </c>
      <c r="C63" s="254">
        <v>6769248</v>
      </c>
      <c r="D63" s="254">
        <v>6434491</v>
      </c>
      <c r="E63" s="178">
        <f>D63-B63</f>
        <v>-320945</v>
      </c>
      <c r="F63" s="397">
        <f t="shared" ref="F63:F80" si="3">IF(ISBLANK(E63),"  ",IF(B63&gt;0,E63/B63,IF(E63&gt;0,1,0)))</f>
        <v>-4.750914670792529E-2</v>
      </c>
      <c r="G63" s="24"/>
      <c r="H63" s="24"/>
    </row>
    <row r="64" spans="1:8" ht="34.5">
      <c r="A64" s="150" t="s">
        <v>56</v>
      </c>
      <c r="B64" s="256"/>
      <c r="C64" s="256"/>
      <c r="D64" s="256"/>
      <c r="E64" s="162"/>
      <c r="F64" s="369" t="str">
        <f t="shared" si="3"/>
        <v xml:space="preserve">  </v>
      </c>
      <c r="G64" s="24"/>
      <c r="H64" s="24"/>
    </row>
    <row r="65" spans="1:8" ht="34.5">
      <c r="A65" s="30" t="s">
        <v>57</v>
      </c>
      <c r="B65" s="92">
        <v>1673662</v>
      </c>
      <c r="C65" s="92">
        <v>1803025</v>
      </c>
      <c r="D65" s="92">
        <v>1717687</v>
      </c>
      <c r="E65" s="178">
        <f t="shared" ref="E65:E72" si="4">D65-B65</f>
        <v>44025</v>
      </c>
      <c r="F65" s="369">
        <f t="shared" si="3"/>
        <v>2.6304594356566617E-2</v>
      </c>
      <c r="G65" s="24"/>
      <c r="H65" s="24"/>
    </row>
    <row r="66" spans="1:8" ht="35.25">
      <c r="A66" s="114" t="s">
        <v>58</v>
      </c>
      <c r="B66" s="116">
        <f>SUM(B63:B65)</f>
        <v>8429098</v>
      </c>
      <c r="C66" s="116">
        <f>SUM(C63:C65)</f>
        <v>8572273</v>
      </c>
      <c r="D66" s="116">
        <f>SUM(D63:D65)</f>
        <v>8152178</v>
      </c>
      <c r="E66" s="465">
        <f t="shared" si="4"/>
        <v>-276920</v>
      </c>
      <c r="F66" s="390">
        <f t="shared" si="3"/>
        <v>-3.2852862785555464E-2</v>
      </c>
      <c r="G66" s="24"/>
      <c r="H66" s="24"/>
    </row>
    <row r="67" spans="1:8" ht="34.5">
      <c r="A67" s="117" t="s">
        <v>59</v>
      </c>
      <c r="B67" s="118">
        <v>216872</v>
      </c>
      <c r="C67" s="118">
        <v>251000</v>
      </c>
      <c r="D67" s="118">
        <v>192000</v>
      </c>
      <c r="E67" s="178">
        <f t="shared" si="4"/>
        <v>-24872</v>
      </c>
      <c r="F67" s="369">
        <f t="shared" si="3"/>
        <v>-0.11468515990999299</v>
      </c>
      <c r="G67" s="24"/>
      <c r="H67" s="24"/>
    </row>
    <row r="68" spans="1:8" ht="34.5">
      <c r="A68" s="126" t="s">
        <v>60</v>
      </c>
      <c r="B68" s="118">
        <v>537683</v>
      </c>
      <c r="C68" s="118">
        <v>598700</v>
      </c>
      <c r="D68" s="118">
        <v>597011</v>
      </c>
      <c r="E68" s="178">
        <f t="shared" si="4"/>
        <v>59328</v>
      </c>
      <c r="F68" s="369">
        <f t="shared" si="3"/>
        <v>0.11034010746108766</v>
      </c>
      <c r="G68" s="24"/>
      <c r="H68" s="24"/>
    </row>
    <row r="69" spans="1:8" ht="34.5">
      <c r="A69" s="151" t="s">
        <v>61</v>
      </c>
      <c r="B69" s="166">
        <v>93063</v>
      </c>
      <c r="C69" s="166">
        <v>100000</v>
      </c>
      <c r="D69" s="166">
        <v>132000</v>
      </c>
      <c r="E69" s="178">
        <f t="shared" si="4"/>
        <v>38937</v>
      </c>
      <c r="F69" s="369">
        <f t="shared" si="3"/>
        <v>0.41839399116727377</v>
      </c>
      <c r="G69" s="24"/>
      <c r="H69" s="24"/>
    </row>
    <row r="70" spans="1:8" ht="35.25">
      <c r="A70" s="265" t="s">
        <v>62</v>
      </c>
      <c r="B70" s="174">
        <f>SUM(B67:B69)</f>
        <v>847618</v>
      </c>
      <c r="C70" s="174">
        <f>SUM(C67:C69)</f>
        <v>949700</v>
      </c>
      <c r="D70" s="174">
        <f>SUM(D67:D69)</f>
        <v>921011</v>
      </c>
      <c r="E70" s="465">
        <f t="shared" si="4"/>
        <v>73393</v>
      </c>
      <c r="F70" s="390">
        <f t="shared" si="3"/>
        <v>8.6587354209089473E-2</v>
      </c>
      <c r="G70" s="24"/>
      <c r="H70" s="24"/>
    </row>
    <row r="71" spans="1:8" ht="34.5">
      <c r="A71" s="176" t="s">
        <v>63</v>
      </c>
      <c r="B71" s="177">
        <v>96900</v>
      </c>
      <c r="C71" s="177">
        <v>105000</v>
      </c>
      <c r="D71" s="177">
        <v>97500</v>
      </c>
      <c r="E71" s="178">
        <f t="shared" si="4"/>
        <v>600</v>
      </c>
      <c r="F71" s="369">
        <f t="shared" si="3"/>
        <v>6.1919504643962852E-3</v>
      </c>
      <c r="G71" s="24"/>
      <c r="H71" s="24"/>
    </row>
    <row r="72" spans="1:8" ht="34.5">
      <c r="A72" s="117" t="s">
        <v>64</v>
      </c>
      <c r="B72" s="118">
        <v>693471</v>
      </c>
      <c r="C72" s="118">
        <v>564703</v>
      </c>
      <c r="D72" s="118">
        <v>842315</v>
      </c>
      <c r="E72" s="178">
        <f t="shared" si="4"/>
        <v>148844</v>
      </c>
      <c r="F72" s="369">
        <f t="shared" si="3"/>
        <v>0.21463622847963362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57"/>
      <c r="F73" s="369" t="str">
        <f t="shared" si="3"/>
        <v xml:space="preserve">  </v>
      </c>
      <c r="G73" s="24"/>
      <c r="H73" s="24"/>
    </row>
    <row r="74" spans="1:8" ht="34.5">
      <c r="A74" s="126" t="s">
        <v>66</v>
      </c>
      <c r="B74" s="128">
        <v>466279</v>
      </c>
      <c r="C74" s="128">
        <v>208464</v>
      </c>
      <c r="D74" s="128">
        <v>208464</v>
      </c>
      <c r="E74" s="178">
        <f t="shared" ref="E74:E80" si="5">D74-B74</f>
        <v>-257815</v>
      </c>
      <c r="F74" s="369">
        <f t="shared" si="3"/>
        <v>-0.55292003285586522</v>
      </c>
      <c r="G74" s="24"/>
      <c r="H74" s="24"/>
    </row>
    <row r="75" spans="1:8" ht="35.25">
      <c r="A75" s="114" t="s">
        <v>67</v>
      </c>
      <c r="B75" s="116">
        <f>SUM(B71:B74)</f>
        <v>1256650</v>
      </c>
      <c r="C75" s="116">
        <f>SUM(C71:C74)</f>
        <v>878167</v>
      </c>
      <c r="D75" s="116">
        <f>SUM(D71:D74)</f>
        <v>1148279</v>
      </c>
      <c r="E75" s="465">
        <f t="shared" si="5"/>
        <v>-108371</v>
      </c>
      <c r="F75" s="390">
        <f t="shared" si="3"/>
        <v>-8.6238013766760838E-2</v>
      </c>
      <c r="G75" s="24"/>
      <c r="H75" s="24"/>
    </row>
    <row r="76" spans="1:8" ht="34.5">
      <c r="A76" s="117" t="s">
        <v>68</v>
      </c>
      <c r="B76" s="118">
        <v>139431</v>
      </c>
      <c r="C76" s="118">
        <v>52251</v>
      </c>
      <c r="D76" s="118">
        <v>0</v>
      </c>
      <c r="E76" s="178">
        <f t="shared" si="5"/>
        <v>-139431</v>
      </c>
      <c r="F76" s="369">
        <f t="shared" si="3"/>
        <v>-1</v>
      </c>
      <c r="G76" s="24"/>
      <c r="H76" s="24"/>
    </row>
    <row r="77" spans="1:8" ht="34.5">
      <c r="A77" s="117" t="s">
        <v>69</v>
      </c>
      <c r="B77" s="118">
        <v>645354</v>
      </c>
      <c r="C77" s="118">
        <v>700000</v>
      </c>
      <c r="D77" s="118">
        <v>100000</v>
      </c>
      <c r="E77" s="178">
        <f t="shared" si="5"/>
        <v>-545354</v>
      </c>
      <c r="F77" s="369">
        <f t="shared" si="3"/>
        <v>-0.84504628467476761</v>
      </c>
      <c r="G77" s="24"/>
      <c r="H77" s="24"/>
    </row>
    <row r="78" spans="1:8" ht="34.5">
      <c r="A78" s="117" t="s">
        <v>70</v>
      </c>
      <c r="B78" s="118">
        <v>11138</v>
      </c>
      <c r="C78" s="118">
        <v>0</v>
      </c>
      <c r="D78" s="118">
        <v>0</v>
      </c>
      <c r="E78" s="178">
        <f t="shared" si="5"/>
        <v>-11138</v>
      </c>
      <c r="F78" s="369">
        <f t="shared" si="3"/>
        <v>-1</v>
      </c>
      <c r="G78" s="24"/>
      <c r="H78" s="24"/>
    </row>
    <row r="79" spans="1:8" ht="35.25">
      <c r="A79" s="114" t="s">
        <v>71</v>
      </c>
      <c r="B79" s="116">
        <f>SUM(B76:B78)</f>
        <v>795923</v>
      </c>
      <c r="C79" s="116">
        <f>SUM(C76:C78)</f>
        <v>752251</v>
      </c>
      <c r="D79" s="116">
        <f>SUM(D76:D78)</f>
        <v>100000</v>
      </c>
      <c r="E79" s="465">
        <f t="shared" si="5"/>
        <v>-695923</v>
      </c>
      <c r="F79" s="390">
        <f t="shared" si="3"/>
        <v>-0.87435970564991838</v>
      </c>
      <c r="G79" s="24"/>
      <c r="H79" s="24"/>
    </row>
    <row r="80" spans="1:8" ht="36" thickBot="1">
      <c r="A80" s="164" t="s">
        <v>53</v>
      </c>
      <c r="B80" s="165">
        <f>B79+B75+B70+B66</f>
        <v>11329289</v>
      </c>
      <c r="C80" s="165">
        <f>C79+C75+C70+C66</f>
        <v>11152391</v>
      </c>
      <c r="D80" s="165">
        <f>D79+D75+D70+D66</f>
        <v>10321468</v>
      </c>
      <c r="E80" s="465">
        <f t="shared" si="5"/>
        <v>-1007821</v>
      </c>
      <c r="F80" s="344">
        <f t="shared" si="3"/>
        <v>-8.8957126965337363E-2</v>
      </c>
      <c r="G80" s="24"/>
      <c r="H80" s="24"/>
    </row>
    <row r="81" spans="1:49" ht="35.25">
      <c r="A81" s="257"/>
      <c r="B81" s="258"/>
      <c r="C81" s="258"/>
      <c r="D81" s="258"/>
      <c r="E81" s="258"/>
      <c r="F81" s="386" t="s">
        <v>35</v>
      </c>
      <c r="G81" s="24"/>
      <c r="H81" s="24"/>
    </row>
    <row r="82" spans="1:49" s="163" customFormat="1" ht="44.25">
      <c r="A82" s="262" t="s">
        <v>99</v>
      </c>
      <c r="B82" s="260"/>
      <c r="C82" s="260"/>
      <c r="D82" s="260"/>
      <c r="E82" s="260"/>
      <c r="F82" s="387"/>
    </row>
    <row r="83" spans="1:49" s="163" customFormat="1" ht="44.25">
      <c r="A83" s="261" t="s">
        <v>72</v>
      </c>
      <c r="B83" s="261"/>
      <c r="C83" s="261"/>
      <c r="D83" s="261"/>
      <c r="E83" s="261"/>
      <c r="F83" s="384"/>
    </row>
    <row r="84" spans="1:49" s="163" customFormat="1" ht="44.25">
      <c r="A84" s="163" t="s">
        <v>35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0"/>
  <sheetViews>
    <sheetView zoomScale="30" workbookViewId="0">
      <selection activeCell="E6" sqref="E6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/>
      <c r="B1" s="18"/>
      <c r="C1" s="276" t="s">
        <v>1</v>
      </c>
      <c r="D1" s="271" t="s">
        <v>305</v>
      </c>
      <c r="E1" s="141"/>
      <c r="G1" s="58"/>
      <c r="J1" s="18"/>
    </row>
    <row r="2" spans="1:10" ht="45">
      <c r="A2" s="17" t="s">
        <v>154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2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155</v>
      </c>
      <c r="B8" s="92">
        <v>3397225</v>
      </c>
      <c r="C8" s="92">
        <v>3397225</v>
      </c>
      <c r="D8" s="92">
        <v>2935252</v>
      </c>
      <c r="E8" s="178">
        <f>SUM(D8-B8)</f>
        <v>-461973</v>
      </c>
      <c r="F8" s="342">
        <f>IF(ISBLANK(E8),"  ",IF(B8&gt;0,E8/B8,IF(E8&gt;0,1,0)))</f>
        <v>-0.13598539984840569</v>
      </c>
      <c r="G8" s="24"/>
      <c r="H8" s="24"/>
      <c r="I8" s="24"/>
      <c r="J8" s="24"/>
    </row>
    <row r="9" spans="1:10" ht="34.5">
      <c r="A9" s="153" t="s">
        <v>156</v>
      </c>
      <c r="B9" s="93">
        <v>0</v>
      </c>
      <c r="C9" s="93">
        <v>0</v>
      </c>
      <c r="D9" s="93">
        <v>96691</v>
      </c>
      <c r="E9" s="178">
        <f>SUM(D9-B9)</f>
        <v>96691</v>
      </c>
      <c r="F9" s="343">
        <f>IF(ISBLANK(E9),"  ",IF(B9&gt;0,E9/B9,IF(E9&gt;0,1,0)))</f>
        <v>1</v>
      </c>
      <c r="G9" s="24"/>
      <c r="H9" s="24"/>
      <c r="I9" s="24"/>
      <c r="J9" s="24"/>
    </row>
    <row r="10" spans="1:10" ht="34.5">
      <c r="A10" s="30" t="s">
        <v>157</v>
      </c>
      <c r="B10" s="93"/>
      <c r="C10" s="93"/>
      <c r="D10" s="93"/>
      <c r="E10" s="93"/>
      <c r="F10" s="343" t="str">
        <f t="shared" ref="F10:F60" si="0">IF(ISBLANK(E10),"  ",IF(C10&gt;0,E10/C10,IF(E10&gt;0,1,0)))</f>
        <v xml:space="preserve">  </v>
      </c>
      <c r="G10" s="24"/>
      <c r="H10" s="24"/>
      <c r="I10" s="24"/>
      <c r="J10" s="24"/>
    </row>
    <row r="11" spans="1:10" ht="34.5">
      <c r="A11" s="31" t="s">
        <v>158</v>
      </c>
      <c r="B11" s="93"/>
      <c r="C11" s="93"/>
      <c r="D11" s="93"/>
      <c r="E11" s="93"/>
      <c r="F11" s="343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159</v>
      </c>
      <c r="B12" s="93"/>
      <c r="C12" s="93"/>
      <c r="D12" s="93"/>
      <c r="E12" s="93"/>
      <c r="F12" s="343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160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161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162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163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164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165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166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167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168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169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170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4.5">
      <c r="A24" s="31" t="s">
        <v>171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5.25">
      <c r="A25" s="114" t="s">
        <v>172</v>
      </c>
      <c r="B25" s="116"/>
      <c r="C25" s="116"/>
      <c r="D25" s="116"/>
      <c r="E25" s="116"/>
      <c r="F25" s="354" t="str">
        <f t="shared" si="0"/>
        <v xml:space="preserve">  </v>
      </c>
      <c r="G25" s="24"/>
      <c r="H25" s="24"/>
    </row>
    <row r="26" spans="1:8" ht="34.5">
      <c r="A26" s="117" t="s">
        <v>132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5.25">
      <c r="A27" s="114" t="s">
        <v>31</v>
      </c>
      <c r="B27" s="116"/>
      <c r="C27" s="116"/>
      <c r="D27" s="116"/>
      <c r="E27" s="116"/>
      <c r="F27" s="354" t="str">
        <f t="shared" si="0"/>
        <v xml:space="preserve">  </v>
      </c>
      <c r="G27" s="24"/>
      <c r="H27" s="24"/>
    </row>
    <row r="28" spans="1:8" ht="34.5">
      <c r="A28" s="117" t="s">
        <v>132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34.5">
      <c r="A29" s="31" t="s">
        <v>279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8" ht="42.75" customHeight="1">
      <c r="A30" s="114" t="s">
        <v>33</v>
      </c>
      <c r="B30" s="94">
        <f>SUM(B8+B10+B26+B27+B29)</f>
        <v>3397225</v>
      </c>
      <c r="C30" s="94">
        <f>SUM(C8+C9+C10+C26+C27+C29)</f>
        <v>3397225</v>
      </c>
      <c r="D30" s="94">
        <f>SUM(D8+D9+D10+D26+D27+D29)</f>
        <v>3031943</v>
      </c>
      <c r="E30" s="94">
        <f>SUM(E8+E9+E10+E26+E27+E29)</f>
        <v>-365282</v>
      </c>
      <c r="F30" s="344">
        <f>IF(ISBLANK(E30),"  ",IF(B30&gt;0,E30/B30,IF(E30&gt;0,1,0)))</f>
        <v>-0.10752364061844594</v>
      </c>
      <c r="G30" s="24"/>
      <c r="H30" s="24"/>
    </row>
    <row r="31" spans="1:8" ht="42.75" customHeight="1">
      <c r="A31" s="114"/>
      <c r="B31" s="94"/>
      <c r="C31" s="94"/>
      <c r="D31" s="94"/>
      <c r="E31" s="94"/>
      <c r="F31" s="344" t="str">
        <f t="shared" si="0"/>
        <v xml:space="preserve">  </v>
      </c>
      <c r="G31" s="24"/>
      <c r="H31" s="24"/>
    </row>
    <row r="32" spans="1:8" ht="35.25">
      <c r="A32" s="130" t="s">
        <v>34</v>
      </c>
      <c r="B32" s="138"/>
      <c r="C32" s="138"/>
      <c r="D32" s="138"/>
      <c r="E32" s="138"/>
      <c r="F32" s="358" t="str">
        <f t="shared" si="0"/>
        <v xml:space="preserve">  </v>
      </c>
      <c r="G32" s="24"/>
      <c r="H32" s="24"/>
    </row>
    <row r="33" spans="1:8" ht="35.25">
      <c r="A33" s="33"/>
      <c r="B33" s="92"/>
      <c r="C33" s="92"/>
      <c r="D33" s="92"/>
      <c r="E33" s="148"/>
      <c r="F33" s="342" t="str">
        <f t="shared" si="0"/>
        <v xml:space="preserve">  </v>
      </c>
      <c r="G33" s="24"/>
      <c r="H33" s="24"/>
    </row>
    <row r="34" spans="1:8" ht="35.25">
      <c r="A34" s="130" t="s">
        <v>36</v>
      </c>
      <c r="B34" s="147"/>
      <c r="C34" s="138"/>
      <c r="D34" s="138"/>
      <c r="E34" s="120"/>
      <c r="F34" s="366" t="str">
        <f t="shared" si="0"/>
        <v xml:space="preserve">  </v>
      </c>
      <c r="G34" s="24"/>
      <c r="H34" s="24"/>
    </row>
    <row r="35" spans="1:8" ht="35.25">
      <c r="A35" s="132"/>
      <c r="B35" s="133"/>
      <c r="C35" s="133"/>
      <c r="D35" s="133"/>
      <c r="E35" s="133"/>
      <c r="F35" s="356" t="str">
        <f t="shared" si="0"/>
        <v xml:space="preserve">  </v>
      </c>
      <c r="G35" s="24"/>
      <c r="H35" s="24"/>
    </row>
    <row r="36" spans="1:8" ht="35.25">
      <c r="A36" s="137" t="s">
        <v>107</v>
      </c>
      <c r="B36" s="147"/>
      <c r="C36" s="147"/>
      <c r="D36" s="147"/>
      <c r="E36" s="147"/>
      <c r="F36" s="366" t="str">
        <f t="shared" si="0"/>
        <v xml:space="preserve">  </v>
      </c>
      <c r="G36" s="24"/>
      <c r="H36" s="24"/>
    </row>
    <row r="37" spans="1:8" ht="35.25">
      <c r="A37" s="30"/>
      <c r="B37" s="95"/>
      <c r="C37" s="95"/>
      <c r="D37" s="95"/>
      <c r="E37" s="95"/>
      <c r="F37" s="345" t="str">
        <f t="shared" si="0"/>
        <v xml:space="preserve">  </v>
      </c>
      <c r="G37" s="24"/>
      <c r="H37" s="24"/>
    </row>
    <row r="38" spans="1:8" ht="35.25">
      <c r="A38" s="130" t="s">
        <v>37</v>
      </c>
      <c r="B38" s="147"/>
      <c r="C38" s="147"/>
      <c r="D38" s="147"/>
      <c r="E38" s="147"/>
      <c r="F38" s="366" t="str">
        <f t="shared" si="0"/>
        <v xml:space="preserve">  </v>
      </c>
      <c r="G38" s="24"/>
      <c r="H38" s="24"/>
    </row>
    <row r="39" spans="1:8" ht="35.25">
      <c r="A39" s="132"/>
      <c r="B39" s="133"/>
      <c r="C39" s="133"/>
      <c r="D39" s="133"/>
      <c r="E39" s="133"/>
      <c r="F39" s="356" t="str">
        <f t="shared" si="0"/>
        <v xml:space="preserve">  </v>
      </c>
      <c r="G39" s="24"/>
      <c r="H39" s="24"/>
    </row>
    <row r="40" spans="1:8" ht="35.25">
      <c r="A40" s="130" t="s">
        <v>38</v>
      </c>
      <c r="B40" s="147"/>
      <c r="C40" s="147"/>
      <c r="D40" s="147"/>
      <c r="E40" s="147"/>
      <c r="F40" s="366" t="str">
        <f t="shared" si="0"/>
        <v xml:space="preserve">  </v>
      </c>
      <c r="G40" s="24"/>
      <c r="H40" s="24"/>
    </row>
    <row r="41" spans="1:8" ht="35.25">
      <c r="A41" s="33"/>
      <c r="B41" s="95"/>
      <c r="C41" s="95"/>
      <c r="D41" s="95"/>
      <c r="E41" s="95"/>
      <c r="F41" s="345" t="str">
        <f t="shared" si="0"/>
        <v xml:space="preserve">  </v>
      </c>
      <c r="G41" s="24"/>
      <c r="H41" s="24"/>
    </row>
    <row r="42" spans="1:8" ht="35.25">
      <c r="A42" s="130" t="s">
        <v>39</v>
      </c>
      <c r="B42" s="147">
        <f>SUM(B30+B34+B38+B40)</f>
        <v>3397225</v>
      </c>
      <c r="C42" s="147">
        <f>SUM(C30+C34+C38+C40)</f>
        <v>3397225</v>
      </c>
      <c r="D42" s="147">
        <f>SUM(D30+D34+D38+D40)</f>
        <v>3031943</v>
      </c>
      <c r="E42" s="147">
        <f>SUM(E30+E34+E38+E40)</f>
        <v>-365282</v>
      </c>
      <c r="F42" s="366">
        <f>IF(ISBLANK(E42),"  ",IF(B42&gt;0,E42/B42,IF(E42&gt;0,1,0)))</f>
        <v>-0.10752364061844594</v>
      </c>
      <c r="G42" s="24"/>
      <c r="H42" s="24"/>
    </row>
    <row r="43" spans="1:8" ht="35.25">
      <c r="A43" s="132"/>
      <c r="B43" s="133"/>
      <c r="C43" s="133"/>
      <c r="D43" s="133"/>
      <c r="E43" s="133"/>
      <c r="F43" s="356" t="str">
        <f t="shared" si="0"/>
        <v xml:space="preserve">  </v>
      </c>
      <c r="G43" s="24"/>
      <c r="H43" s="24"/>
    </row>
    <row r="44" spans="1:8" ht="35.25">
      <c r="A44" s="137" t="s">
        <v>40</v>
      </c>
      <c r="B44" s="147"/>
      <c r="C44" s="147"/>
      <c r="D44" s="147"/>
      <c r="E44" s="147"/>
      <c r="F44" s="366" t="str">
        <f t="shared" si="0"/>
        <v xml:space="preserve">  </v>
      </c>
      <c r="G44" s="24"/>
      <c r="H44" s="24"/>
    </row>
    <row r="45" spans="1:8" ht="34.5">
      <c r="A45" s="283" t="s">
        <v>41</v>
      </c>
      <c r="B45" s="285"/>
      <c r="C45" s="285"/>
      <c r="D45" s="285"/>
      <c r="E45" s="285"/>
      <c r="F45" s="389" t="str">
        <f t="shared" si="0"/>
        <v xml:space="preserve">  </v>
      </c>
      <c r="G45" s="24"/>
      <c r="H45" s="24"/>
    </row>
    <row r="46" spans="1:8" ht="35.25">
      <c r="A46" s="155" t="s">
        <v>42</v>
      </c>
      <c r="B46" s="284"/>
      <c r="C46" s="284"/>
      <c r="D46" s="284"/>
      <c r="E46" s="284"/>
      <c r="F46" s="390" t="str">
        <f t="shared" si="0"/>
        <v xml:space="preserve">  </v>
      </c>
      <c r="G46" s="24"/>
      <c r="H46" s="24"/>
    </row>
    <row r="47" spans="1:8" ht="35.25">
      <c r="A47" s="155" t="s">
        <v>43</v>
      </c>
      <c r="B47" s="284"/>
      <c r="C47" s="284"/>
      <c r="D47" s="284"/>
      <c r="E47" s="284"/>
      <c r="F47" s="390" t="str">
        <f t="shared" si="0"/>
        <v xml:space="preserve">  </v>
      </c>
      <c r="G47" s="24"/>
      <c r="H47" s="24"/>
    </row>
    <row r="48" spans="1:8" ht="34.5">
      <c r="A48" s="263" t="s">
        <v>44</v>
      </c>
      <c r="B48" s="264"/>
      <c r="C48" s="264"/>
      <c r="D48" s="264"/>
      <c r="E48" s="264"/>
      <c r="F48" s="382" t="str">
        <f t="shared" si="0"/>
        <v xml:space="preserve">  </v>
      </c>
      <c r="G48" s="24"/>
      <c r="H48" s="24"/>
    </row>
    <row r="49" spans="1:8" ht="34.5">
      <c r="A49" s="168" t="s">
        <v>45</v>
      </c>
      <c r="B49" s="169"/>
      <c r="C49" s="169"/>
      <c r="D49" s="169"/>
      <c r="E49" s="169"/>
      <c r="F49" s="372" t="str">
        <f t="shared" si="0"/>
        <v xml:space="preserve">  </v>
      </c>
      <c r="G49" s="24"/>
      <c r="H49" s="24"/>
    </row>
    <row r="50" spans="1:8" ht="34.5">
      <c r="A50" s="155" t="s">
        <v>74</v>
      </c>
      <c r="B50" s="154">
        <v>3396975</v>
      </c>
      <c r="C50" s="154">
        <v>3397225</v>
      </c>
      <c r="D50" s="154">
        <v>3031943</v>
      </c>
      <c r="E50" s="154">
        <f>SUM(D50-B50)</f>
        <v>-365032</v>
      </c>
      <c r="F50" s="367">
        <f>IF(ISBLANK(E50),"  ",IF(B50&gt;0,E50/B50,IF(E50&gt;0,1,0)))</f>
        <v>-0.10745795891933264</v>
      </c>
      <c r="G50" s="24"/>
      <c r="H50" s="24"/>
    </row>
    <row r="51" spans="1:8" ht="34.5">
      <c r="A51" s="156" t="s">
        <v>46</v>
      </c>
      <c r="B51" s="157"/>
      <c r="C51" s="157"/>
      <c r="D51" s="157"/>
      <c r="E51" s="157"/>
      <c r="F51" s="367" t="str">
        <f t="shared" si="0"/>
        <v xml:space="preserve">  </v>
      </c>
      <c r="G51" s="24"/>
      <c r="H51" s="24"/>
    </row>
    <row r="52" spans="1:8" ht="34.5">
      <c r="A52" s="158" t="s">
        <v>47</v>
      </c>
      <c r="B52" s="159"/>
      <c r="C52" s="159"/>
      <c r="D52" s="159"/>
      <c r="E52" s="159"/>
      <c r="F52" s="368" t="str">
        <f t="shared" si="0"/>
        <v xml:space="preserve">  </v>
      </c>
      <c r="G52" s="24"/>
      <c r="H52" s="24"/>
    </row>
    <row r="53" spans="1:8" ht="35.25">
      <c r="A53" s="282" t="s">
        <v>48</v>
      </c>
      <c r="B53" s="268">
        <f>SUM(B45:B52)</f>
        <v>3396975</v>
      </c>
      <c r="C53" s="268">
        <f>SUM(C45:C52)</f>
        <v>3397225</v>
      </c>
      <c r="D53" s="268">
        <f>SUM(D45:D52)</f>
        <v>3031943</v>
      </c>
      <c r="E53" s="268">
        <f>SUM(D53-B53)</f>
        <v>-365032</v>
      </c>
      <c r="F53" s="385">
        <f>IF(ISBLANK(E53),"  ",IF(B53&gt;0,E53/B53,IF(E53&gt;0,1,0)))</f>
        <v>-0.10745795891933264</v>
      </c>
      <c r="G53" s="24"/>
      <c r="H53" s="24"/>
    </row>
    <row r="54" spans="1:8" ht="34.5">
      <c r="A54" s="156" t="s">
        <v>49</v>
      </c>
      <c r="B54" s="159"/>
      <c r="C54" s="159"/>
      <c r="D54" s="159"/>
      <c r="E54" s="159"/>
      <c r="F54" s="368" t="str">
        <f t="shared" si="0"/>
        <v xml:space="preserve">  </v>
      </c>
      <c r="G54" s="24"/>
      <c r="H54" s="24"/>
    </row>
    <row r="55" spans="1:8" ht="34.5">
      <c r="A55" s="153" t="s">
        <v>50</v>
      </c>
      <c r="B55" s="160"/>
      <c r="C55" s="160"/>
      <c r="D55" s="160"/>
      <c r="E55" s="159"/>
      <c r="F55" s="369" t="str">
        <f t="shared" si="0"/>
        <v xml:space="preserve">  </v>
      </c>
      <c r="G55" s="24"/>
      <c r="H55" s="24"/>
    </row>
    <row r="56" spans="1:8" ht="35.25">
      <c r="A56" s="117" t="s">
        <v>51</v>
      </c>
      <c r="B56" s="116"/>
      <c r="C56" s="116"/>
      <c r="D56" s="116"/>
      <c r="E56" s="127"/>
      <c r="F56" s="354" t="str">
        <f t="shared" si="0"/>
        <v xml:space="preserve">  </v>
      </c>
      <c r="G56" s="24"/>
      <c r="H56" s="24"/>
    </row>
    <row r="57" spans="1:8" ht="34.5">
      <c r="A57" s="117" t="s">
        <v>173</v>
      </c>
      <c r="B57" s="93">
        <v>250</v>
      </c>
      <c r="C57" s="93">
        <v>0</v>
      </c>
      <c r="D57" s="93">
        <v>0</v>
      </c>
      <c r="E57" s="97">
        <v>0</v>
      </c>
      <c r="F57" s="343">
        <f>IF(ISBLANK(E57),"  ",IF(B57&gt;0,E57/B57,IF(E57&gt;0,1,0)))</f>
        <v>0</v>
      </c>
      <c r="G57" s="24"/>
      <c r="H57" s="24"/>
    </row>
    <row r="58" spans="1:8" ht="35.25">
      <c r="A58" s="114" t="s">
        <v>53</v>
      </c>
      <c r="B58" s="116">
        <f>SUM(B53:B57)</f>
        <v>3397225</v>
      </c>
      <c r="C58" s="116">
        <f>SUM(C53:C57)</f>
        <v>3397225</v>
      </c>
      <c r="D58" s="116">
        <f>SUM(D53:D57)</f>
        <v>3031943</v>
      </c>
      <c r="E58" s="127">
        <f>SUM(D58-B58)</f>
        <v>-365282</v>
      </c>
      <c r="F58" s="354">
        <f>IF(ISBLANK(E58),"  ",IF(B58&gt;0,E58/B58,IF(E58&gt;0,1,0)))</f>
        <v>-0.10752364061844594</v>
      </c>
      <c r="G58" s="24"/>
      <c r="H58" s="24"/>
    </row>
    <row r="59" spans="1:8" ht="34.5">
      <c r="A59" s="117"/>
      <c r="B59" s="93"/>
      <c r="C59" s="93"/>
      <c r="D59" s="93"/>
      <c r="E59" s="97"/>
      <c r="F59" s="343" t="str">
        <f t="shared" si="0"/>
        <v xml:space="preserve">  </v>
      </c>
      <c r="G59" s="24"/>
      <c r="H59" s="24"/>
    </row>
    <row r="60" spans="1:8" ht="35.25">
      <c r="A60" s="119" t="s">
        <v>54</v>
      </c>
      <c r="B60" s="92"/>
      <c r="C60" s="92"/>
      <c r="D60" s="92"/>
      <c r="E60" s="98"/>
      <c r="F60" s="342" t="str">
        <f t="shared" si="0"/>
        <v xml:space="preserve">  </v>
      </c>
      <c r="G60" s="24"/>
      <c r="H60" s="24"/>
    </row>
    <row r="61" spans="1:8" ht="34.5">
      <c r="A61" s="117" t="s">
        <v>55</v>
      </c>
      <c r="B61" s="118">
        <v>1578527</v>
      </c>
      <c r="C61" s="118">
        <v>1540951</v>
      </c>
      <c r="D61" s="118">
        <v>1443574</v>
      </c>
      <c r="E61" s="128">
        <f>SUM(D61-B61)</f>
        <v>-134953</v>
      </c>
      <c r="F61" s="361">
        <f t="shared" ref="F61:F78" si="1">IF(ISBLANK(E61),"  ",IF(B61&gt;0,E61/B61,IF(E61&gt;0,1,0)))</f>
        <v>-8.5492994418213938E-2</v>
      </c>
      <c r="G61" s="24"/>
      <c r="H61" s="24"/>
    </row>
    <row r="62" spans="1:8" ht="34.5">
      <c r="A62" s="279" t="s">
        <v>56</v>
      </c>
      <c r="B62" s="280">
        <v>5600</v>
      </c>
      <c r="C62" s="280">
        <v>58000</v>
      </c>
      <c r="D62" s="280">
        <v>54534</v>
      </c>
      <c r="E62" s="281">
        <f>SUM(D62-B62)</f>
        <v>48934</v>
      </c>
      <c r="F62" s="391">
        <f t="shared" si="1"/>
        <v>8.7382142857142853</v>
      </c>
      <c r="G62" s="24"/>
      <c r="H62" s="24"/>
    </row>
    <row r="63" spans="1:8" ht="34.5">
      <c r="A63" s="176" t="s">
        <v>57</v>
      </c>
      <c r="B63" s="177">
        <v>74662</v>
      </c>
      <c r="C63" s="177">
        <v>41284</v>
      </c>
      <c r="D63" s="177">
        <v>493328</v>
      </c>
      <c r="E63" s="167">
        <f>SUM(D63-B63)</f>
        <v>418666</v>
      </c>
      <c r="F63" s="371">
        <f t="shared" si="1"/>
        <v>5.6074843963461998</v>
      </c>
      <c r="G63" s="24"/>
      <c r="H63" s="24"/>
    </row>
    <row r="64" spans="1:8" ht="35.25">
      <c r="A64" s="265" t="s">
        <v>58</v>
      </c>
      <c r="B64" s="173">
        <f>SUM(B61:B63)</f>
        <v>1658789</v>
      </c>
      <c r="C64" s="173">
        <f>SUM(C61:C63)</f>
        <v>1640235</v>
      </c>
      <c r="D64" s="173">
        <f>SUM(D61:D63)</f>
        <v>1991436</v>
      </c>
      <c r="E64" s="174">
        <f>SUM(E61:E63)</f>
        <v>332647</v>
      </c>
      <c r="F64" s="378">
        <f t="shared" si="1"/>
        <v>0.20053605371147265</v>
      </c>
      <c r="G64" s="24"/>
      <c r="H64" s="24"/>
    </row>
    <row r="65" spans="1:8" ht="34.5">
      <c r="A65" s="150" t="s">
        <v>59</v>
      </c>
      <c r="B65" s="256">
        <v>38838</v>
      </c>
      <c r="C65" s="256">
        <v>55000</v>
      </c>
      <c r="D65" s="256">
        <v>20000</v>
      </c>
      <c r="E65" s="162">
        <f>SUM(D65-B65)</f>
        <v>-18838</v>
      </c>
      <c r="F65" s="369">
        <f t="shared" si="1"/>
        <v>-0.48504042432669037</v>
      </c>
      <c r="G65" s="24"/>
      <c r="H65" s="24"/>
    </row>
    <row r="66" spans="1:8" ht="34.5">
      <c r="A66" s="30" t="s">
        <v>60</v>
      </c>
      <c r="B66" s="92">
        <v>33238</v>
      </c>
      <c r="C66" s="92">
        <v>2278</v>
      </c>
      <c r="D66" s="92">
        <v>0</v>
      </c>
      <c r="E66" s="98">
        <f>SUM(D66-B66)</f>
        <v>-33238</v>
      </c>
      <c r="F66" s="342">
        <f t="shared" si="1"/>
        <v>-1</v>
      </c>
      <c r="G66" s="24"/>
      <c r="H66" s="24"/>
    </row>
    <row r="67" spans="1:8" ht="34.5">
      <c r="A67" s="117" t="s">
        <v>61</v>
      </c>
      <c r="B67" s="118">
        <v>31242</v>
      </c>
      <c r="C67" s="118">
        <v>24997</v>
      </c>
      <c r="D67" s="118">
        <v>11000</v>
      </c>
      <c r="E67" s="128">
        <f>SUM(D67-B67)</f>
        <v>-20242</v>
      </c>
      <c r="F67" s="361">
        <f t="shared" si="1"/>
        <v>-0.64790986492542091</v>
      </c>
      <c r="G67" s="24"/>
      <c r="H67" s="24"/>
    </row>
    <row r="68" spans="1:8" ht="35.25">
      <c r="A68" s="114" t="s">
        <v>62</v>
      </c>
      <c r="B68" s="116">
        <f>SUM(B65:B67)</f>
        <v>103318</v>
      </c>
      <c r="C68" s="116">
        <f>SUM(C65:C67)</f>
        <v>82275</v>
      </c>
      <c r="D68" s="116">
        <f>SUM(D65:D67)</f>
        <v>31000</v>
      </c>
      <c r="E68" s="127">
        <f>SUM(E65:E67)</f>
        <v>-72318</v>
      </c>
      <c r="F68" s="354">
        <f t="shared" si="1"/>
        <v>-0.69995547726436824</v>
      </c>
      <c r="G68" s="24"/>
      <c r="H68" s="24"/>
    </row>
    <row r="69" spans="1:8" ht="34.5">
      <c r="A69" s="126" t="s">
        <v>63</v>
      </c>
      <c r="B69" s="118">
        <v>5000</v>
      </c>
      <c r="C69" s="118">
        <v>1245</v>
      </c>
      <c r="D69" s="118">
        <v>0</v>
      </c>
      <c r="E69" s="128">
        <f>SUM(D69-B69)</f>
        <v>-5000</v>
      </c>
      <c r="F69" s="361">
        <f t="shared" si="1"/>
        <v>-1</v>
      </c>
      <c r="G69" s="24"/>
      <c r="H69" s="24"/>
    </row>
    <row r="70" spans="1:8" ht="34.5">
      <c r="A70" s="151" t="s">
        <v>64</v>
      </c>
      <c r="B70" s="166">
        <v>3294</v>
      </c>
      <c r="C70" s="166">
        <v>1665970</v>
      </c>
      <c r="D70" s="166">
        <v>1009507</v>
      </c>
      <c r="E70" s="166">
        <f>SUM(D70-B70)</f>
        <v>1006213</v>
      </c>
      <c r="F70" s="373">
        <f t="shared" si="1"/>
        <v>305.4684274438373</v>
      </c>
      <c r="G70" s="24"/>
      <c r="H70" s="24"/>
    </row>
    <row r="71" spans="1:8" ht="34.5">
      <c r="A71" s="151" t="s">
        <v>173</v>
      </c>
      <c r="B71" s="166">
        <v>250</v>
      </c>
      <c r="C71" s="166">
        <v>0</v>
      </c>
      <c r="D71" s="166">
        <v>0</v>
      </c>
      <c r="E71" s="166">
        <f>SUM(D71-B71)</f>
        <v>-250</v>
      </c>
      <c r="F71" s="373">
        <f t="shared" si="1"/>
        <v>-1</v>
      </c>
      <c r="G71" s="24"/>
      <c r="H71" s="24"/>
    </row>
    <row r="72" spans="1:8" ht="34.5">
      <c r="A72" s="176" t="s">
        <v>174</v>
      </c>
      <c r="B72" s="177">
        <v>1593685</v>
      </c>
      <c r="C72" s="177">
        <v>0</v>
      </c>
      <c r="D72" s="177">
        <v>0</v>
      </c>
      <c r="E72" s="177">
        <f>SUM(D72-B72)</f>
        <v>-1593685</v>
      </c>
      <c r="F72" s="371">
        <f t="shared" si="1"/>
        <v>-1</v>
      </c>
      <c r="G72" s="24"/>
      <c r="H72" s="24"/>
    </row>
    <row r="73" spans="1:8" ht="35.25">
      <c r="A73" s="114" t="s">
        <v>67</v>
      </c>
      <c r="B73" s="116">
        <f>SUM(B69:B72)</f>
        <v>1602229</v>
      </c>
      <c r="C73" s="116">
        <f>SUM(C69:C72)</f>
        <v>1667215</v>
      </c>
      <c r="D73" s="116">
        <f>SUM(D69:D72)</f>
        <v>1009507</v>
      </c>
      <c r="E73" s="127">
        <f>SUM(E69:E72)</f>
        <v>-592722</v>
      </c>
      <c r="F73" s="354">
        <f t="shared" si="1"/>
        <v>-0.3699358830728941</v>
      </c>
      <c r="G73" s="24"/>
      <c r="H73" s="24"/>
    </row>
    <row r="74" spans="1:8" ht="34.5">
      <c r="A74" s="117" t="s">
        <v>68</v>
      </c>
      <c r="B74" s="118">
        <v>32889</v>
      </c>
      <c r="C74" s="118">
        <v>7500</v>
      </c>
      <c r="D74" s="118">
        <v>0</v>
      </c>
      <c r="E74" s="128">
        <f>SUM(D74-B74)</f>
        <v>-32889</v>
      </c>
      <c r="F74" s="361">
        <f t="shared" si="1"/>
        <v>-1</v>
      </c>
      <c r="G74" s="24"/>
      <c r="H74" s="24"/>
    </row>
    <row r="75" spans="1:8" ht="34.5">
      <c r="A75" s="126" t="s">
        <v>69</v>
      </c>
      <c r="B75" s="128"/>
      <c r="C75" s="128"/>
      <c r="D75" s="128"/>
      <c r="E75" s="128"/>
      <c r="F75" s="361" t="str">
        <f t="shared" si="1"/>
        <v xml:space="preserve">  </v>
      </c>
      <c r="G75" s="24"/>
      <c r="H75" s="24"/>
    </row>
    <row r="76" spans="1:8" ht="35.25">
      <c r="A76" s="117" t="s">
        <v>70</v>
      </c>
      <c r="B76" s="116"/>
      <c r="C76" s="116"/>
      <c r="D76" s="116"/>
      <c r="E76" s="116"/>
      <c r="F76" s="361" t="str">
        <f t="shared" si="1"/>
        <v xml:space="preserve">  </v>
      </c>
      <c r="G76" s="24"/>
      <c r="H76" s="24"/>
    </row>
    <row r="77" spans="1:8" ht="35.25">
      <c r="A77" s="114" t="s">
        <v>71</v>
      </c>
      <c r="B77" s="116">
        <f>SUM(B74:B76)</f>
        <v>32889</v>
      </c>
      <c r="C77" s="116">
        <f>SUM(C74:C76)</f>
        <v>7500</v>
      </c>
      <c r="D77" s="116">
        <f>SUM(D74:D76)</f>
        <v>0</v>
      </c>
      <c r="E77" s="116">
        <f>SUM(E74:E76)</f>
        <v>-32889</v>
      </c>
      <c r="F77" s="354">
        <f t="shared" si="1"/>
        <v>-1</v>
      </c>
      <c r="G77" s="24"/>
      <c r="H77" s="24"/>
    </row>
    <row r="78" spans="1:8" ht="36" thickBot="1">
      <c r="A78" s="164" t="s">
        <v>53</v>
      </c>
      <c r="B78" s="165">
        <f>SUM(B64+B68+B73+B77)</f>
        <v>3397225</v>
      </c>
      <c r="C78" s="165">
        <f>SUM(C64+C68+C73+C77)</f>
        <v>3397225</v>
      </c>
      <c r="D78" s="165">
        <f>SUM(D64+D68+D73+D77)</f>
        <v>3031943</v>
      </c>
      <c r="E78" s="165">
        <f>SUM(E64+E68+E73+E77)</f>
        <v>-365282</v>
      </c>
      <c r="F78" s="374">
        <f t="shared" si="1"/>
        <v>-0.10752364061844594</v>
      </c>
      <c r="G78" s="24"/>
      <c r="H78" s="24"/>
    </row>
    <row r="79" spans="1:8" ht="34.5">
      <c r="A79" s="277"/>
      <c r="B79" s="278"/>
      <c r="C79" s="278"/>
      <c r="D79" s="278"/>
      <c r="E79" s="278"/>
      <c r="F79" s="392"/>
      <c r="G79" s="24"/>
      <c r="H79" s="24"/>
    </row>
    <row r="80" spans="1:8" ht="44.25">
      <c r="A80" s="262" t="s">
        <v>175</v>
      </c>
      <c r="B80" s="286"/>
      <c r="C80" s="286"/>
      <c r="D80" s="260"/>
      <c r="E80" s="260"/>
      <c r="F80" s="387"/>
      <c r="G80" s="24"/>
      <c r="H80" s="24"/>
    </row>
    <row r="81" spans="1:49" ht="44.25">
      <c r="A81" s="262" t="s">
        <v>176</v>
      </c>
      <c r="B81" s="286"/>
      <c r="C81" s="286"/>
      <c r="D81" s="260"/>
      <c r="E81" s="260"/>
      <c r="F81" s="387"/>
      <c r="G81" s="24"/>
      <c r="H81" s="24"/>
    </row>
    <row r="82" spans="1:49" ht="35.25">
      <c r="A82" s="259"/>
      <c r="B82" s="260"/>
      <c r="C82" s="260"/>
      <c r="D82" s="260"/>
      <c r="E82" s="260"/>
      <c r="F82" s="387"/>
      <c r="G82" s="24"/>
      <c r="H82" s="24"/>
    </row>
    <row r="83" spans="1:49" s="163" customFormat="1" ht="44.25">
      <c r="A83" s="262"/>
      <c r="B83" s="260"/>
      <c r="C83" s="260"/>
      <c r="D83" s="260"/>
      <c r="E83" s="260"/>
      <c r="F83" s="387"/>
    </row>
    <row r="84" spans="1:49" s="163" customFormat="1" ht="44.25">
      <c r="A84" s="261"/>
      <c r="B84" s="261"/>
      <c r="C84" s="261"/>
      <c r="D84" s="261"/>
      <c r="E84" s="261"/>
      <c r="F84" s="384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A87" s="179"/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F88" s="375"/>
    </row>
    <row r="89" spans="1:49" s="163" customFormat="1" ht="44.25">
      <c r="F89" s="375"/>
    </row>
    <row r="90" spans="1:49" s="163" customFormat="1" ht="44.25">
      <c r="F90" s="375"/>
    </row>
  </sheetData>
  <phoneticPr fontId="28" type="noConversion"/>
  <printOptions horizontalCentered="1"/>
  <pageMargins left="0.45" right="0.45" top="0.5" bottom="0.5" header="0.3" footer="0.3"/>
  <pageSetup scale="2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3"/>
  <sheetViews>
    <sheetView topLeftCell="A19" zoomScale="30" zoomScaleNormal="69" workbookViewId="0">
      <selection activeCell="B33" sqref="B33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2.109375" style="332" customWidth="1"/>
    <col min="7" max="7" width="8.88671875" style="16"/>
    <col min="8" max="8" width="19.109375" style="16" bestFit="1" customWidth="1"/>
    <col min="9" max="16384" width="8.88671875" style="16"/>
  </cols>
  <sheetData>
    <row r="1" spans="1:10" ht="45">
      <c r="A1" s="17" t="s">
        <v>0</v>
      </c>
      <c r="B1" s="276"/>
      <c r="D1" s="276" t="s">
        <v>1</v>
      </c>
      <c r="E1" s="271" t="s">
        <v>314</v>
      </c>
      <c r="F1" s="141"/>
      <c r="G1" s="332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 t="s">
        <v>35</v>
      </c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4.5">
      <c r="A6" s="30" t="s">
        <v>12</v>
      </c>
      <c r="B6" s="92"/>
      <c r="C6" s="92"/>
      <c r="D6" s="92"/>
      <c r="E6" s="178"/>
      <c r="F6" s="342"/>
      <c r="G6" s="24"/>
      <c r="H6" s="24"/>
      <c r="I6" s="24"/>
      <c r="J6" s="24"/>
    </row>
    <row r="7" spans="1:10" ht="34.5">
      <c r="A7" s="153" t="s">
        <v>13</v>
      </c>
      <c r="B7" s="93"/>
      <c r="C7" s="93"/>
      <c r="D7" s="93"/>
      <c r="E7" s="178"/>
      <c r="F7" s="343"/>
      <c r="G7" s="24"/>
      <c r="H7" s="24"/>
      <c r="I7" s="24"/>
      <c r="J7" s="24"/>
    </row>
    <row r="8" spans="1:10" ht="34.5">
      <c r="A8" s="252" t="s">
        <v>14</v>
      </c>
      <c r="B8" s="93">
        <f ca="1">SUM(BPCC!B8,BRCC!B8,Nunez!B8,Delgado!B8,LDCC!B8,SLCC!B8,Fletcher!B8,RPCC!B8,SOWELA!B8,LTC!B8,LCTCSBOS!B8)</f>
        <v>191889704</v>
      </c>
      <c r="C8" s="93">
        <f ca="1">SUM(BPCC!C8,BRCC!C8,Nunez!C8,Delgado!C8,LDCC!C8,SLCC!C8,Fletcher!C8,RPCC!C8,SOWELA!C8,LTC!C8,LCTCSBOS!C8)</f>
        <v>191889703.5</v>
      </c>
      <c r="D8" s="93">
        <f ca="1">SUM(BPCC!D8,BRCC!D8,Nunez!D8,Delgado!D8,LDCC!D8,SLCC!D8,Fletcher!D8,RPCC!D8,SOWELA!D8,LTC!D8,LCTCSBOS!D8)</f>
        <v>137878876</v>
      </c>
      <c r="E8" s="93">
        <f>D8-B8</f>
        <v>-54010828</v>
      </c>
      <c r="F8" s="343">
        <f>IF(ISBLANK(E8),"  ",IF(B8&gt;0,E8/B8,IF(E8&gt;0,1,0)))</f>
        <v>-0.2814680875217776</v>
      </c>
      <c r="G8" s="24"/>
      <c r="H8" s="24"/>
      <c r="I8" s="24"/>
      <c r="J8" s="24"/>
    </row>
    <row r="9" spans="1:10" ht="34.5">
      <c r="A9" s="415" t="s">
        <v>87</v>
      </c>
      <c r="B9" s="93">
        <f ca="1">SUM(BPCC!B9,BRCC!B9,Nunez!B9,Delgado!B9,LDCC!B9,SLCC!B9,Fletcher!B9,RPCC!B9,SOWELA!B9,LTC!B9,LCTCSBOS!B9)</f>
        <v>0</v>
      </c>
      <c r="C9" s="93">
        <f ca="1">SUM(BPCC!C9,BRCC!C9,Nunez!C9,Delgado!C9,LDCC!C9,SLCC!C9,Fletcher!C9,RPCC!C9,SOWELA!C9,LTC!C9,LCTCSBOS!C9)</f>
        <v>0</v>
      </c>
      <c r="D9" s="93">
        <f ca="1">SUM(BPCC!D9,BRCC!D9,Nunez!D9,Delgado!D9,LDCC!D9,SLCC!D9,Fletcher!D9,RPCC!D9,SOWELA!D9,LTC!D9,LCTCSBOS!D9)</f>
        <v>12171769</v>
      </c>
      <c r="E9" s="93">
        <f t="shared" ref="E9:E31" si="0">D9-B9</f>
        <v>12171769</v>
      </c>
      <c r="F9" s="343">
        <f t="shared" ref="F9:F31" si="1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 ca="1">SUM(B11:B25)</f>
        <v>16587415.850000001</v>
      </c>
      <c r="C10" s="93">
        <f ca="1">SUM(C11:C25)</f>
        <v>16797424</v>
      </c>
      <c r="D10" s="93">
        <f ca="1">SUM(D11:D25)</f>
        <v>16696906</v>
      </c>
      <c r="E10" s="93">
        <f t="shared" si="0"/>
        <v>109490.14999999851</v>
      </c>
      <c r="F10" s="343">
        <f t="shared" si="1"/>
        <v>6.6007961089369141E-3</v>
      </c>
      <c r="G10" s="24"/>
      <c r="H10" s="24"/>
      <c r="I10" s="24"/>
      <c r="J10" s="24"/>
    </row>
    <row r="11" spans="1:10" ht="34.5">
      <c r="A11" s="30" t="s">
        <v>16</v>
      </c>
      <c r="B11" s="93">
        <f ca="1">SUM(BPCC!B11,BRCC!B11,Nunez!B11,Delgado!B11,LDCC!B11,SLCC!B11,Fletcher!B11,RPCC!B11,SOWELA!B11,LTC!B11,LCTCSBOS!B11)</f>
        <v>0</v>
      </c>
      <c r="C11" s="93">
        <f ca="1">SUM(BPCC!C11,BRCC!C11,Nunez!C11,Delgado!C11,LDCC!C11,SLCC!C11,Fletcher!C11,RPCC!C11,SOWELA!C11,LTC!C11,LCTCSBOS!C11)</f>
        <v>0</v>
      </c>
      <c r="D11" s="93">
        <f ca="1">SUM(BPCC!D11,BRCC!D11,Nunez!D11,Delgado!D11,LDCC!D11,SLCC!D11,Fletcher!D11,RPCC!D11,SOWELA!D11,LTC!D11,LCTCSBOS!D11)</f>
        <v>1019313</v>
      </c>
      <c r="E11" s="93">
        <f t="shared" si="0"/>
        <v>1019313</v>
      </c>
      <c r="F11" s="343">
        <f t="shared" si="1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 ca="1">SUM(BPCC!B12,BRCC!B12,Nunez!B12,Delgado!B12,LDCC!B12,SLCC!B12,Fletcher!B12,RPCC!B12,SOWELA!B12,LTC!B12,LCTCSBOS!B12)+1</f>
        <v>6168675.8500000015</v>
      </c>
      <c r="C12" s="93">
        <f ca="1">SUM(BPCC!C12,BRCC!C12,Nunez!C12,Delgado!C12,LDCC!C12,SLCC!C12,Fletcher!C12,RPCC!C12,SOWELA!C12,LTC!C12,LCTCSBOS!C12)</f>
        <v>6360153</v>
      </c>
      <c r="D12" s="93">
        <f ca="1">SUM(BPCC!D12,BRCC!D12,Nunez!D12,Delgado!D12,LDCC!D12,SLCC!D12,Fletcher!D12,RPCC!D12,SOWELA!D12,LTC!D12,LCTCSBOS!D12)</f>
        <v>5502392</v>
      </c>
      <c r="E12" s="93">
        <f t="shared" si="0"/>
        <v>-666283.85000000149</v>
      </c>
      <c r="F12" s="343">
        <f t="shared" si="1"/>
        <v>-0.10801083833899318</v>
      </c>
      <c r="G12" s="24"/>
      <c r="H12" s="24"/>
      <c r="I12" s="24"/>
      <c r="J12" s="24"/>
    </row>
    <row r="13" spans="1:10" ht="34.5">
      <c r="A13" s="31" t="s">
        <v>18</v>
      </c>
      <c r="B13" s="93">
        <f ca="1">SUM(BPCC!B13,BRCC!B13,Nunez!B13,Delgado!B13,LDCC!B13,SLCC!B13,Fletcher!B13,RPCC!B13,SOWELA!B13,LTC!B13,LCTCSBOS!B13)</f>
        <v>0</v>
      </c>
      <c r="C13" s="93">
        <f ca="1">SUM(BPCC!C13,BRCC!C13,Nunez!C13,Delgado!C13,LDCC!C13,SLCC!C13,Fletcher!C13,RPCC!C13,SOWELA!C13,LTC!C13,LCTCSBOS!C13)</f>
        <v>0</v>
      </c>
      <c r="D13" s="93">
        <f ca="1">SUM(BPCC!D13,BRCC!D13,Nunez!D13,Delgado!D13,LDCC!D13,SLCC!D13,Fletcher!D13,RPCC!D13,SOWELA!D13,LTC!D13,LCTCSBOS!D13)</f>
        <v>0</v>
      </c>
      <c r="E13" s="93">
        <f t="shared" si="0"/>
        <v>0</v>
      </c>
      <c r="F13" s="343">
        <f t="shared" si="1"/>
        <v>0</v>
      </c>
      <c r="G13" s="24"/>
      <c r="H13" s="24"/>
      <c r="I13" s="24"/>
      <c r="J13" s="24"/>
    </row>
    <row r="14" spans="1:10" ht="34.5">
      <c r="A14" s="31" t="s">
        <v>19</v>
      </c>
      <c r="B14" s="93">
        <f ca="1">SUM(BPCC!B14,BRCC!B14,Nunez!B14,Delgado!B14,LDCC!B14,SLCC!B14,Fletcher!B14,RPCC!B14,SOWELA!B14,LTC!B14,LCTCSBOS!B14)</f>
        <v>176021</v>
      </c>
      <c r="C14" s="93">
        <f ca="1">SUM(BPCC!C14,BRCC!C14,Nunez!C14,Delgado!C14,LDCC!C14,SLCC!C14,Fletcher!C14,RPCC!C14,SOWELA!C14,LTC!C14,LCTCSBOS!C14)</f>
        <v>176021</v>
      </c>
      <c r="D14" s="93">
        <f ca="1">SUM(BPCC!D14,BRCC!D14,Nunez!D14,Delgado!D14,LDCC!D14,SLCC!D14,Fletcher!D14,RPCC!D14,SOWELA!D14,LTC!D14,LCTCSBOS!D14)</f>
        <v>175201</v>
      </c>
      <c r="E14" s="93">
        <f t="shared" si="0"/>
        <v>-820</v>
      </c>
      <c r="F14" s="343">
        <f t="shared" si="1"/>
        <v>-4.6585350611574759E-3</v>
      </c>
      <c r="G14" s="24"/>
      <c r="H14" s="24"/>
      <c r="I14" s="24"/>
      <c r="J14" s="24"/>
    </row>
    <row r="15" spans="1:10" ht="34.5">
      <c r="A15" s="31" t="s">
        <v>20</v>
      </c>
      <c r="B15" s="93">
        <f ca="1">SUM(BPCC!B15,BRCC!B15,Nunez!B15,Delgado!B15,LDCC!B15,SLCC!B15,Fletcher!B15,RPCC!B15,SOWELA!B15,LTC!B15,LCTCSBOS!B15)</f>
        <v>0</v>
      </c>
      <c r="C15" s="93">
        <f ca="1">SUM(BPCC!C15,BRCC!C15,Nunez!C15,Delgado!C15,LDCC!C15,SLCC!C15,Fletcher!C15,RPCC!C15,SOWELA!C15,LTC!C15,LCTCSBOS!C15)</f>
        <v>0</v>
      </c>
      <c r="D15" s="93">
        <f ca="1">SUM(BPCC!D15,BRCC!D15,Nunez!D15,Delgado!D15,LDCC!D15,SLCC!D15,Fletcher!D15,RPCC!D15,SOWELA!D15,LTC!D15,LCTCSBOS!D15)</f>
        <v>0</v>
      </c>
      <c r="E15" s="93">
        <f t="shared" si="0"/>
        <v>0</v>
      </c>
      <c r="F15" s="343">
        <f t="shared" si="1"/>
        <v>0</v>
      </c>
      <c r="G15" s="24"/>
      <c r="H15" s="24"/>
    </row>
    <row r="16" spans="1:10" ht="34.5">
      <c r="A16" s="31" t="s">
        <v>21</v>
      </c>
      <c r="B16" s="93">
        <f ca="1">SUM(BPCC!B16,BRCC!B16,Nunez!B16,Delgado!B16,LDCC!B16,SLCC!B16,Fletcher!B16,RPCC!B16,SOWELA!B16,LTC!B16,LCTCSBOS!B16)</f>
        <v>0</v>
      </c>
      <c r="C16" s="93">
        <f ca="1">SUM(BPCC!C16,BRCC!C16,Nunez!C16,Delgado!C16,LDCC!C16,SLCC!C16,Fletcher!C16,RPCC!C16,SOWELA!C16,LTC!C16,LCTCSBOS!C16)</f>
        <v>0</v>
      </c>
      <c r="D16" s="93">
        <f ca="1">SUM(BPCC!D16,BRCC!D16,Nunez!D16,Delgado!D16,LDCC!D16,SLCC!D16,Fletcher!D16,RPCC!D16,SOWELA!D16,LTC!D16,LCTCSBOS!D16)</f>
        <v>0</v>
      </c>
      <c r="E16" s="93">
        <f t="shared" si="0"/>
        <v>0</v>
      </c>
      <c r="F16" s="343">
        <f t="shared" si="1"/>
        <v>0</v>
      </c>
      <c r="G16" s="24"/>
      <c r="H16" s="24"/>
    </row>
    <row r="17" spans="1:8" ht="34.5">
      <c r="A17" s="31" t="s">
        <v>22</v>
      </c>
      <c r="B17" s="93">
        <f ca="1">SUM(BPCC!B17,BRCC!B17,Nunez!B17,Delgado!B17,LDCC!B17,SLCC!B17,Fletcher!B17,RPCC!B17,SOWELA!B17,LTC!B17,LCTCSBOS!B17)</f>
        <v>0</v>
      </c>
      <c r="C17" s="93">
        <f ca="1">SUM(BPCC!C17,BRCC!C17,Nunez!C17,Delgado!C17,LDCC!C17,SLCC!C17,Fletcher!C17,RPCC!C17,SOWELA!C17,LTC!C17,LCTCSBOS!C17)</f>
        <v>0</v>
      </c>
      <c r="D17" s="93">
        <f ca="1">SUM(BPCC!D17,BRCC!D17,Nunez!D17,Delgado!D17,LDCC!D17,SLCC!D17,Fletcher!D17,RPCC!D17,SOWELA!D17,LTC!D17,LCTCSBOS!D17)</f>
        <v>0</v>
      </c>
      <c r="E17" s="93">
        <f t="shared" si="0"/>
        <v>0</v>
      </c>
      <c r="F17" s="343">
        <f t="shared" si="1"/>
        <v>0</v>
      </c>
      <c r="G17" s="24"/>
      <c r="H17" s="24"/>
    </row>
    <row r="18" spans="1:8" ht="34.5">
      <c r="A18" s="31" t="s">
        <v>23</v>
      </c>
      <c r="B18" s="93">
        <f ca="1">SUM(BPCC!B18,BRCC!B18,Nunez!B18,Delgado!B18,LDCC!B18,SLCC!B18,Fletcher!B18,RPCC!B18,SOWELA!B18,LTC!B18,LCTCSBOS!B18)</f>
        <v>0</v>
      </c>
      <c r="C18" s="93">
        <f ca="1">SUM(BPCC!C18,BRCC!C18,Nunez!C18,Delgado!C18,LDCC!C18,SLCC!C18,Fletcher!C18,RPCC!C18,SOWELA!C18,LTC!C18,LCTCSBOS!C18)</f>
        <v>0</v>
      </c>
      <c r="D18" s="93">
        <f ca="1">SUM(BPCC!D18,BRCC!D18,Nunez!D18,Delgado!D18,LDCC!D18,SLCC!D18,Fletcher!D18,RPCC!D18,SOWELA!D18,LTC!D18,LCTCSBOS!D18)</f>
        <v>0</v>
      </c>
      <c r="E18" s="93">
        <f t="shared" si="0"/>
        <v>0</v>
      </c>
      <c r="F18" s="343">
        <f t="shared" si="1"/>
        <v>0</v>
      </c>
      <c r="G18" s="24"/>
      <c r="H18" s="24"/>
    </row>
    <row r="19" spans="1:8" ht="34.5">
      <c r="A19" s="31" t="s">
        <v>24</v>
      </c>
      <c r="B19" s="93">
        <f ca="1">SUM(BPCC!B19,BRCC!B19,Nunez!B19,Delgado!B19,LDCC!B19,SLCC!B19,Fletcher!B19,RPCC!B19,SOWELA!B19,LTC!B19,LCTCSBOS!B19)</f>
        <v>0</v>
      </c>
      <c r="C19" s="93">
        <f ca="1">SUM(BPCC!C19,BRCC!C19,Nunez!C19,Delgado!C19,LDCC!C19,SLCC!C19,Fletcher!C19,RPCC!C19,SOWELA!C19,LTC!C19,LCTCSBOS!C19)</f>
        <v>0</v>
      </c>
      <c r="D19" s="93">
        <f ca="1">SUM(BPCC!D19,BRCC!D19,Nunez!D19,Delgado!D19,LDCC!D19,SLCC!D19,Fletcher!D19,RPCC!D19,SOWELA!D19,LTC!D19,LCTCSBOS!D19)</f>
        <v>0</v>
      </c>
      <c r="E19" s="93">
        <f t="shared" si="0"/>
        <v>0</v>
      </c>
      <c r="F19" s="343">
        <f t="shared" si="1"/>
        <v>0</v>
      </c>
      <c r="G19" s="24"/>
      <c r="H19" s="24"/>
    </row>
    <row r="20" spans="1:8" ht="34.5">
      <c r="A20" s="31" t="s">
        <v>25</v>
      </c>
      <c r="B20" s="93">
        <f ca="1">SUM(BPCC!B20,BRCC!B20,Nunez!B20,Delgado!B20,LDCC!B20,SLCC!B20,Fletcher!B20,RPCC!B20,SOWELA!B20,LTC!B20,LCTCSBOS!B20)</f>
        <v>0</v>
      </c>
      <c r="C20" s="93">
        <f ca="1">SUM(BPCC!C20,BRCC!C20,Nunez!C20,Delgado!C20,LDCC!C20,SLCC!C20,Fletcher!C20,RPCC!C20,SOWELA!C20,LTC!C20,LCTCSBOS!C20)</f>
        <v>0</v>
      </c>
      <c r="D20" s="93">
        <f ca="1">SUM(BPCC!D20,BRCC!D20,Nunez!D20,Delgado!D20,LDCC!D20,SLCC!D20,Fletcher!D20,RPCC!D20,SOWELA!D20,LTC!D20,LCTCSBOS!D20)</f>
        <v>0</v>
      </c>
      <c r="E20" s="93">
        <f t="shared" si="0"/>
        <v>0</v>
      </c>
      <c r="F20" s="343">
        <f t="shared" si="1"/>
        <v>0</v>
      </c>
      <c r="G20" s="24"/>
      <c r="H20" s="24"/>
    </row>
    <row r="21" spans="1:8" ht="34.5">
      <c r="A21" s="31" t="s">
        <v>26</v>
      </c>
      <c r="B21" s="93">
        <f ca="1">SUM(BPCC!B21,BRCC!B21,Nunez!B21,Delgado!B21,LDCC!B21,SLCC!B21,Fletcher!B21,RPCC!B21,SOWELA!B21,LTC!B21,LCTCSBOS!B21)</f>
        <v>0</v>
      </c>
      <c r="C21" s="93">
        <f ca="1">SUM(BPCC!C21,BRCC!C21,Nunez!C21,Delgado!C21,LDCC!C21,SLCC!C21,Fletcher!C21,RPCC!C21,SOWELA!C21,LTC!C21,LCTCSBOS!C21)</f>
        <v>0</v>
      </c>
      <c r="D21" s="93">
        <f ca="1">SUM(BPCC!D21,BRCC!D21,Nunez!D21,Delgado!D21,LDCC!D21,SLCC!D21,Fletcher!D21,RPCC!D21,SOWELA!D21,LTC!D21,LCTCSBOS!D21)</f>
        <v>0</v>
      </c>
      <c r="E21" s="93">
        <f t="shared" si="0"/>
        <v>0</v>
      </c>
      <c r="F21" s="343">
        <f t="shared" si="1"/>
        <v>0</v>
      </c>
      <c r="G21" s="24"/>
      <c r="H21" s="24"/>
    </row>
    <row r="22" spans="1:8" ht="34.5">
      <c r="A22" s="31" t="s">
        <v>27</v>
      </c>
      <c r="B22" s="93">
        <f ca="1">SUM(BPCC!B22,BRCC!B22,Nunez!B22,Delgado!B22,LDCC!B22,SLCC!B22,Fletcher!B22,RPCC!B22,SOWELA!B22,LTC!B22,LCTCSBOS!B22)</f>
        <v>0</v>
      </c>
      <c r="C22" s="93">
        <f ca="1">SUM(BPCC!C22,BRCC!C22,Nunez!C22,Delgado!C22,LDCC!C22,SLCC!C22,Fletcher!C22,RPCC!C22,SOWELA!C22,LTC!C22,LCTCSBOS!C22)</f>
        <v>0</v>
      </c>
      <c r="D22" s="93">
        <f ca="1">SUM(BPCC!D22,BRCC!D22,Nunez!D22,Delgado!D22,LDCC!D22,SLCC!D22,Fletcher!D22,RPCC!D22,SOWELA!D22,LTC!D22,LCTCSBOS!D22)</f>
        <v>0</v>
      </c>
      <c r="E22" s="93">
        <f t="shared" si="0"/>
        <v>0</v>
      </c>
      <c r="F22" s="343">
        <f t="shared" si="1"/>
        <v>0</v>
      </c>
      <c r="G22" s="24"/>
      <c r="H22" s="24"/>
    </row>
    <row r="23" spans="1:8" ht="34.5">
      <c r="A23" s="117" t="s">
        <v>28</v>
      </c>
      <c r="B23" s="118">
        <f ca="1">SUM(BPCC!B23,BRCC!B23,Nunez!B23,Delgado!B23,LDCC!B23,SLCC!B23,Fletcher!B23,RPCC!B23,SOWELA!B23,LTC!B23,LCTCSBOS!B23)</f>
        <v>0</v>
      </c>
      <c r="C23" s="118">
        <f ca="1">SUM(BPCC!C23,BRCC!C23,Nunez!C23,Delgado!C23,LDCC!C23,SLCC!C23,Fletcher!C23,RPCC!C23,SOWELA!C23,LTC!C23,LCTCSBOS!C23)</f>
        <v>0</v>
      </c>
      <c r="D23" s="118">
        <f ca="1">SUM(BPCC!D23,BRCC!D23,Nunez!D23,Delgado!D23,LDCC!D23,SLCC!D23,Fletcher!D23,RPCC!D23,SOWELA!D23,LTC!D23,LCTCSBOS!D23)</f>
        <v>0</v>
      </c>
      <c r="E23" s="93">
        <f t="shared" si="0"/>
        <v>0</v>
      </c>
      <c r="F23" s="343">
        <f t="shared" si="1"/>
        <v>0</v>
      </c>
      <c r="G23" s="24"/>
      <c r="H23" s="24"/>
    </row>
    <row r="24" spans="1:8" ht="34.5">
      <c r="A24" s="117" t="s">
        <v>91</v>
      </c>
      <c r="B24" s="93">
        <f ca="1">SUM(BPCC!B24,BRCC!B24,Nunez!B24,Delgado!B24,LDCC!B24,SLCC!B24,Fletcher!B24,RPCC!B24,SOWELA!B24,LTC!B24,LCTCSBOS!B24)</f>
        <v>9981691</v>
      </c>
      <c r="C24" s="93">
        <f ca="1">SUM(BPCC!C24,BRCC!C24,Nunez!C24,Delgado!C24,LDCC!C24,SLCC!C24,Fletcher!C24,RPCC!C24,SOWELA!C24,LTC!C24,LCTCSBOS!C24)</f>
        <v>10000000</v>
      </c>
      <c r="D24" s="93">
        <f ca="1">SUM(BPCC!D24,BRCC!D24,Nunez!D24,Delgado!D24,LDCC!D24,SLCC!D24,Fletcher!D24,RPCC!D24,SOWELA!D24,LTC!D24,LCTCSBOS!D24)</f>
        <v>10000000</v>
      </c>
      <c r="E24" s="93">
        <f t="shared" si="0"/>
        <v>18309</v>
      </c>
      <c r="F24" s="343">
        <f t="shared" si="1"/>
        <v>1.8342583436012996E-3</v>
      </c>
      <c r="G24" s="24"/>
      <c r="H24" s="24"/>
    </row>
    <row r="25" spans="1:8" ht="34.5">
      <c r="A25" s="117" t="s">
        <v>80</v>
      </c>
      <c r="B25" s="118">
        <f ca="1">SUM(BPCC!B25,BRCC!B25,Nunez!B25,Delgado!B25,LDCC!B25,SLCC!B25,Fletcher!B25,RPCC!B25,SOWELA!B25,LTC!B25,LCTCSBOS!B25)</f>
        <v>261028</v>
      </c>
      <c r="C25" s="118">
        <f ca="1">SUM(BPCC!C25,BRCC!C25,Nunez!C25,Delgado!C25,LDCC!C25,SLCC!C25,Fletcher!C25,RPCC!C25,SOWELA!C25,LTC!C25,LCTCSBOS!C25)</f>
        <v>261250</v>
      </c>
      <c r="D25" s="118">
        <f ca="1">SUM(BPCC!D25,BRCC!D25,Nunez!D25,Delgado!D25,LDCC!D25,SLCC!D25,Fletcher!D25,RPCC!D25,SOWELA!D25,LTC!D25,LCTCSBOS!D25)</f>
        <v>0</v>
      </c>
      <c r="E25" s="93">
        <f t="shared" si="0"/>
        <v>-261028</v>
      </c>
      <c r="F25" s="343">
        <f t="shared" si="1"/>
        <v>-1</v>
      </c>
      <c r="G25" s="24"/>
      <c r="H25" s="24"/>
    </row>
    <row r="26" spans="1:8" ht="35.25">
      <c r="A26" s="114" t="s">
        <v>29</v>
      </c>
      <c r="B26" s="116">
        <f ca="1">SUM(BPCC!B26,BRCC!B26,Nunez!B26,Delgado!B26,LDCC!B26,SLCC!B26,Fletcher!B26,RPCC!B26,SOWELA!B26,LTC!B26,LCTCSBOS!B26)</f>
        <v>0</v>
      </c>
      <c r="C26" s="116">
        <f ca="1">SUM(BPCC!C26,BRCC!C26,Nunez!C26,Delgado!C26,LDCC!C26,SLCC!C26,Fletcher!C26,RPCC!C26,SOWELA!C26,LTC!C26,LCTCSBOS!C26)</f>
        <v>0</v>
      </c>
      <c r="D26" s="116">
        <f ca="1">SUM(BPCC!D26,BRCC!D26,Nunez!D26,Delgado!D26,LDCC!D26,SLCC!D26,Fletcher!D26,RPCC!D26,SOWELA!D26,LTC!D26,LCTCSBOS!D26)</f>
        <v>0</v>
      </c>
      <c r="E26" s="93">
        <f t="shared" si="0"/>
        <v>0</v>
      </c>
      <c r="F26" s="343">
        <f t="shared" si="1"/>
        <v>0</v>
      </c>
      <c r="G26" s="24"/>
      <c r="H26" s="24"/>
    </row>
    <row r="27" spans="1:8" ht="34.5">
      <c r="A27" s="117" t="s">
        <v>30</v>
      </c>
      <c r="B27" s="118">
        <f ca="1">SUM(BPCC!B27,BRCC!B27,Nunez!B27,Delgado!B27,LDCC!B27,SLCC!B27,Fletcher!B27,RPCC!B27,SOWELA!B27,LTC!B27,LCTCSBOS!B27)</f>
        <v>0</v>
      </c>
      <c r="C27" s="118">
        <f ca="1">SUM(BPCC!C27,BRCC!C27,Nunez!C27,Delgado!C27,LDCC!C27,SLCC!C27,Fletcher!C27,RPCC!C27,SOWELA!C27,LTC!C27,LCTCSBOS!C27)</f>
        <v>0</v>
      </c>
      <c r="D27" s="118">
        <f ca="1">SUM(BPCC!D27,BRCC!D27,Nunez!D27,Delgado!D27,LDCC!D27,SLCC!D27,Fletcher!D27,RPCC!D27,SOWELA!D27,LTC!D27,LCTCSBOS!D27)</f>
        <v>0</v>
      </c>
      <c r="E27" s="93">
        <f t="shared" si="0"/>
        <v>0</v>
      </c>
      <c r="F27" s="343">
        <f t="shared" si="1"/>
        <v>0</v>
      </c>
      <c r="G27" s="24"/>
      <c r="H27" s="24"/>
    </row>
    <row r="28" spans="1:8" ht="42.75" customHeight="1">
      <c r="A28" s="114" t="s">
        <v>31</v>
      </c>
      <c r="B28" s="116">
        <f ca="1">SUM(BPCC!B28,BRCC!B28,Nunez!B28,Delgado!B28,LDCC!B28,SLCC!B28,Fletcher!B28,RPCC!B28,SOWELA!B28,LTC!B28,LCTCSBOS!B28)</f>
        <v>0</v>
      </c>
      <c r="C28" s="116">
        <f ca="1">SUM(BPCC!C28,BRCC!C28,Nunez!C28,Delgado!C28,LDCC!C28,SLCC!C28,Fletcher!C28,RPCC!C28,SOWELA!C28,LTC!C28,LCTCSBOS!C28)</f>
        <v>0</v>
      </c>
      <c r="D28" s="116">
        <f ca="1">SUM(BPCC!D28,BRCC!D28,Nunez!D28,Delgado!D28,LDCC!D28,SLCC!D28,Fletcher!D28,RPCC!D28,SOWELA!D28,LTC!D28,LCTCSBOS!D28)</f>
        <v>0</v>
      </c>
      <c r="E28" s="93">
        <f t="shared" si="0"/>
        <v>0</v>
      </c>
      <c r="F28" s="343">
        <f t="shared" si="1"/>
        <v>0</v>
      </c>
      <c r="G28" s="24"/>
      <c r="H28" s="24"/>
    </row>
    <row r="29" spans="1:8" ht="42.75" customHeight="1">
      <c r="A29" s="279" t="s">
        <v>30</v>
      </c>
      <c r="B29" s="280">
        <f ca="1">SUM(BPCC!B29,BRCC!B29,Nunez!B29,Delgado!B29,LDCC!B29,SLCC!B29,Fletcher!B29,RPCC!B29,SOWELA!B29,LTC!B29,LCTCSBOS!B29)</f>
        <v>0</v>
      </c>
      <c r="C29" s="280">
        <f ca="1">SUM(BPCC!C29,BRCC!C29,Nunez!C29,Delgado!C29,LDCC!C29,SLCC!C29,Fletcher!C29,RPCC!C29,SOWELA!C29,LTC!C29,LCTCSBOS!C29)</f>
        <v>0</v>
      </c>
      <c r="D29" s="280">
        <f ca="1">SUM(BPCC!D29,BRCC!D29,Nunez!D29,Delgado!D29,LDCC!D29,SLCC!D29,Fletcher!D29,RPCC!D29,SOWELA!D29,LTC!D29,LCTCSBOS!D29)</f>
        <v>0</v>
      </c>
      <c r="E29" s="93">
        <f t="shared" si="0"/>
        <v>0</v>
      </c>
      <c r="F29" s="343">
        <f t="shared" si="1"/>
        <v>0</v>
      </c>
      <c r="G29" s="24"/>
      <c r="H29" s="24"/>
    </row>
    <row r="30" spans="1:8" ht="34.5">
      <c r="A30" s="416" t="s">
        <v>32</v>
      </c>
      <c r="B30" s="433">
        <f ca="1">SUM(BPCC!B30,BRCC!B30,Nunez!B30,Delgado!B30,LDCC!B30,SLCC!B30,Fletcher!B30,RPCC!B30,SOWELA!B30,LTC!B30,LCTCSBOS!B30)</f>
        <v>0</v>
      </c>
      <c r="C30" s="433">
        <f ca="1">SUM(BPCC!C30,BRCC!C30,Nunez!C30,Delgado!C30,LDCC!C30,SLCC!C30,Fletcher!C30,RPCC!C30,SOWELA!C30,LTC!C30,LCTCSBOS!C30)</f>
        <v>0</v>
      </c>
      <c r="D30" s="433">
        <f ca="1">SUM(BPCC!D30,BRCC!D30,Nunez!D30,Delgado!D30,LDCC!D30,SLCC!D30,Fletcher!D30,RPCC!D30,SOWELA!D30,LTC!D30,LCTCSBOS!D30)</f>
        <v>0</v>
      </c>
      <c r="E30" s="93">
        <f t="shared" si="0"/>
        <v>0</v>
      </c>
      <c r="F30" s="369">
        <f t="shared" si="1"/>
        <v>0</v>
      </c>
      <c r="G30" s="24"/>
      <c r="H30" s="24"/>
    </row>
    <row r="31" spans="1:8" ht="35.25">
      <c r="A31" s="417" t="s">
        <v>33</v>
      </c>
      <c r="B31" s="432">
        <f ca="1">SUM(B8:B10,B27:B30)</f>
        <v>208477119.84999999</v>
      </c>
      <c r="C31" s="432">
        <f ca="1">SUM(C8:C10,C27:C30)</f>
        <v>208687127.5</v>
      </c>
      <c r="D31" s="432">
        <f ca="1">SUM(D8,D10,D9,D27:D30)</f>
        <v>166747551</v>
      </c>
      <c r="E31" s="284">
        <f t="shared" si="0"/>
        <v>-41729568.849999994</v>
      </c>
      <c r="F31" s="399">
        <f t="shared" si="1"/>
        <v>-0.20016378238544624</v>
      </c>
      <c r="G31" s="24"/>
      <c r="H31" s="24"/>
    </row>
    <row r="32" spans="1:8" ht="35.25">
      <c r="A32" s="33"/>
      <c r="B32" s="92"/>
      <c r="C32" s="92"/>
      <c r="D32" s="92"/>
      <c r="E32" s="92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>
        <f ca="1">SUM(BPCC!B33,BRCC!B33,Nunez!B33,Delgado!B33,LDCC!B33,SLCC!B33,Fletcher!B33,RPCC!B33,SOWELA!B33,LTC!B33,LCTCSBOS!B33)</f>
        <v>-103603</v>
      </c>
      <c r="C33" s="138">
        <f ca="1">SUM(BPCC!C33,BRCC!C33,Nunez!C33,Delgado!C33,LDCC!C33,SLCC!C33,Fletcher!C33,RPCC!C33,SOWELA!C33,LTC!C33,LCTCSBOS!C33)</f>
        <v>0</v>
      </c>
      <c r="D33" s="138">
        <f ca="1">SUM(BPCC!D33,BRCC!D33,Nunez!D33,Delgado!D33,LDCC!D33,SLCC!D33,Fletcher!D33,RPCC!D33,SOWELA!D33,LTC!D33,LCTCSBOS!D33)</f>
        <v>0</v>
      </c>
      <c r="E33" s="401">
        <f>D33-B33</f>
        <v>103603</v>
      </c>
      <c r="F33" s="399">
        <f>IF(ISBLANK(E33),"  ",IF(B33&gt;0,E33/B33,IF(E33&gt;0,1,0)))</f>
        <v>1</v>
      </c>
      <c r="G33" s="24"/>
      <c r="H33" s="24"/>
    </row>
    <row r="34" spans="1:8" ht="35.25">
      <c r="A34" s="132" t="s">
        <v>35</v>
      </c>
      <c r="B34" s="133"/>
      <c r="C34" s="140"/>
      <c r="D34" s="140"/>
      <c r="E34" s="120"/>
      <c r="F34" s="345" t="str">
        <f>IF(ISBLANK(E34),"  ",IF(C34&gt;0,E34/C34,IF(E34&gt;0,1,0)))</f>
        <v xml:space="preserve">  </v>
      </c>
      <c r="G34" s="24"/>
      <c r="H34" s="24"/>
    </row>
    <row r="35" spans="1:8" ht="35.25">
      <c r="A35" s="130" t="s">
        <v>36</v>
      </c>
      <c r="B35" s="147">
        <f ca="1">SUM(BPCC!B35,BRCC!B35,Nunez!B35,Delgado!B35,LDCC!B35,SLCC!B35,Fletcher!B35,RPCC!B35,SOWELA!B35,LTC!B35,LCTCSBOS!B35)</f>
        <v>0</v>
      </c>
      <c r="C35" s="147">
        <f ca="1">SUM(BPCC!C35,BRCC!C35,Nunez!C35,Delgado!C35,LDCC!C35,SLCC!C35,Fletcher!C35,RPCC!C35,SOWELA!C35,LTC!C35,LCTCSBOS!C35)</f>
        <v>0</v>
      </c>
      <c r="D35" s="147">
        <f ca="1">SUM(BPCC!D35,BRCC!D35,Nunez!D35,Delgado!D35,LDCC!D35,SLCC!D35,Fletcher!D35,RPCC!D35,SOWELA!D35,LTC!D35,LCTCSBOS!D35)</f>
        <v>0</v>
      </c>
      <c r="E35" s="401">
        <f>D35-B35</f>
        <v>0</v>
      </c>
      <c r="F35" s="399">
        <f>IF(ISBLANK(E35),"  ",IF(B35&gt;0,E35/B35,IF(E35&gt;0,1,0)))</f>
        <v>0</v>
      </c>
      <c r="G35" s="24"/>
      <c r="H35" s="24"/>
    </row>
    <row r="36" spans="1:8" ht="35.25">
      <c r="A36" s="33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7" t="s">
        <v>88</v>
      </c>
      <c r="B37" s="147">
        <f ca="1">SUM(BPCC!B37,BRCC!B37,Nunez!B37,Delgado!B37,LDCC!B37,SLCC!B37,Fletcher!B37,RPCC!B37,SOWELA!B37,LTC!B37,LCTCSBOS!B37)</f>
        <v>0</v>
      </c>
      <c r="C37" s="147">
        <f ca="1">SUM(BPCC!C37,BRCC!C37,Nunez!C37,Delgado!C37,LDCC!C37,SLCC!C37,Fletcher!C37,RPCC!C37,SOWELA!C37,LTC!C37,LCTCSBOS!C37)</f>
        <v>0</v>
      </c>
      <c r="D37" s="147">
        <f ca="1">SUM(BPCC!D37,BRCC!D37,Nunez!D37,Delgado!D37,LDCC!D37,SLCC!D37,Fletcher!D37,RPCC!D37,SOWELA!D37,LTC!D37,LCTCSBOS!D37)</f>
        <v>26560680</v>
      </c>
      <c r="E37" s="401">
        <f>D37-B37</f>
        <v>26560680</v>
      </c>
      <c r="F37" s="399">
        <f>IF(ISBLANK(E37),"  ",IF(B37&gt;0,E37/B37,IF(E37&gt;0,1,0)))</f>
        <v>1</v>
      </c>
      <c r="G37" s="24"/>
      <c r="H37" s="24"/>
    </row>
    <row r="38" spans="1:8" ht="35.25">
      <c r="A38" s="139" t="s">
        <v>35</v>
      </c>
      <c r="B38" s="133"/>
      <c r="C38" s="133"/>
      <c r="D38" s="133"/>
      <c r="E38" s="95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7" t="s">
        <v>37</v>
      </c>
      <c r="B39" s="147">
        <f ca="1">SUM(BPCC!B39,BRCC!B39,Nunez!B39,Delgado!B39,LDCC!B39,SLCC!B39,Fletcher!B39,RPCC!B39,SOWELA!B39,LTC!B39,LCTCSBOS!B39)</f>
        <v>72149345.790000007</v>
      </c>
      <c r="C39" s="147">
        <f ca="1">SUM(BPCC!C39,BRCC!C39,Nunez!C39,Delgado!C39,LDCC!C39,SLCC!C39,Fletcher!C39,RPCC!C39,SOWELA!C39,LTC!C39,LCTCSBOS!C39)</f>
        <v>76910389.861195892</v>
      </c>
      <c r="D39" s="147">
        <f ca="1">SUM(BPCC!D39,BRCC!D39,Nunez!D39,Delgado!D39,LDCC!D39,SLCC!D39,Fletcher!D39,RPCC!D39,SOWELA!D39,LTC!D39,LCTCSBOS!D39)</f>
        <v>80835590</v>
      </c>
      <c r="E39" s="401">
        <f>D39-B39</f>
        <v>8686244.2099999934</v>
      </c>
      <c r="F39" s="399">
        <f>IF(ISBLANK(E39),"  ",IF(B39&gt;0,E39/B39,IF(E39&gt;0,1,0)))</f>
        <v>0.12039255678467868</v>
      </c>
      <c r="G39" s="24"/>
      <c r="H39" s="24"/>
    </row>
    <row r="40" spans="1:8" ht="35.25">
      <c r="A40" s="119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>
        <f ca="1">SUM(BPCC!B41,BRCC!B41,Nunez!B41,Delgado!B41,LDCC!B41,SLCC!B41,Fletcher!B41,RPCC!B41,SOWELA!B41,LTC!B41,LCTCSBOS!B41)</f>
        <v>0</v>
      </c>
      <c r="C41" s="147">
        <f ca="1">SUM(BPCC!C41,BRCC!C41,Nunez!C41,Delgado!C41,LDCC!C41,SLCC!C41,Fletcher!C41,RPCC!C41,SOWELA!C41,LTC!C41,LCTCSBOS!C41)</f>
        <v>0</v>
      </c>
      <c r="D41" s="147">
        <f ca="1">SUM(BPCC!D41,BRCC!D41,Nunez!D41,Delgado!D41,LDCC!D41,SLCC!D41,Fletcher!D41,RPCC!D41,SOWELA!D41,LTC!D41,LCTCSBOS!D41)</f>
        <v>0</v>
      </c>
      <c r="E41" s="401">
        <f>D41-B41</f>
        <v>0</v>
      </c>
      <c r="F41" s="399">
        <f>IF(ISBLANK(E41),"  ",IF(B41&gt;0,E41/B41,IF(E41&gt;0,1,0)))</f>
        <v>0</v>
      </c>
      <c r="G41" s="24"/>
      <c r="H41" s="24"/>
    </row>
    <row r="42" spans="1:8" ht="35.25">
      <c r="A42" s="132"/>
      <c r="B42" s="133"/>
      <c r="C42" s="133"/>
      <c r="D42" s="133"/>
      <c r="E42" s="95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294" t="s">
        <v>75</v>
      </c>
      <c r="B43" s="147">
        <f ca="1">SUM(BPCC!B42,BRCC!B42,Nunez!B42,Delgado!B42,LDCC!B42,SLCC!B42,Fletcher!B42,RPCC!B42,SOWELA!B42,LTC!B42,LCTCSBOS!B42)</f>
        <v>0</v>
      </c>
      <c r="C43" s="147">
        <f ca="1">SUM(BPCC!C42,BRCC!C42,Nunez!C42,Delgado!C42,LDCC!C42,SLCC!C42,Fletcher!C42,RPCC!C42,SOWELA!C42,LTC!C42,LCTCSBOS!C42)</f>
        <v>0</v>
      </c>
      <c r="D43" s="147">
        <f ca="1">SUM(BPCC!D42,BRCC!D42,Nunez!D42,Delgado!D42,LDCC!D42,SLCC!D42,Fletcher!D42,RPCC!D42,SOWELA!D42,LTC!D42,LCTCSBOS!D42)</f>
        <v>0</v>
      </c>
      <c r="E43" s="401">
        <f>D43-B43</f>
        <v>0</v>
      </c>
      <c r="F43" s="399">
        <f>IF(ISBLANK(E43),"  ",IF(B43&gt;0,E43/B43,IF(E43&gt;0,1,0)))</f>
        <v>0</v>
      </c>
      <c r="G43" s="24"/>
      <c r="H43" s="24"/>
    </row>
    <row r="44" spans="1:8" ht="35.25">
      <c r="A44" s="33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30" t="s">
        <v>39</v>
      </c>
      <c r="B45" s="147">
        <f>SUM(B43,B41,B39,B35,B33,B31)-4</f>
        <v>280522858.63999999</v>
      </c>
      <c r="C45" s="147">
        <f>SUM(C43,C41,C39,C35,C33,C31)+1</f>
        <v>285597518.36119592</v>
      </c>
      <c r="D45" s="147">
        <f>SUM(D43,D41,D39,D35,D37,D33,D31)</f>
        <v>274143821</v>
      </c>
      <c r="E45" s="401">
        <f>D45-B45</f>
        <v>-6379037.6399999857</v>
      </c>
      <c r="F45" s="399">
        <f>IF(ISBLANK(E45),"  ",IF(B45&gt;0,E45/B45,IF(E45&gt;0,1,0)))</f>
        <v>-2.2739814041986214E-2</v>
      </c>
      <c r="G45" s="24"/>
      <c r="H45" s="24"/>
    </row>
    <row r="46" spans="1:8" ht="35.25">
      <c r="A46" s="132"/>
      <c r="B46" s="133"/>
      <c r="C46" s="133"/>
      <c r="D46" s="133"/>
      <c r="E46" s="95"/>
      <c r="F46" s="345" t="str">
        <f>IF(ISBLANK(E46),"  ",IF(C46&gt;0,E46/C46,IF(E46&gt;0,1,0)))</f>
        <v xml:space="preserve">  </v>
      </c>
      <c r="G46" s="24"/>
      <c r="H46" s="24"/>
    </row>
    <row r="47" spans="1:8" ht="34.5">
      <c r="A47" s="176"/>
      <c r="B47" s="177"/>
      <c r="C47" s="177"/>
      <c r="D47" s="177"/>
      <c r="E47" s="177"/>
      <c r="F47" s="371" t="str">
        <f>IF(ISBLANK(E47),"  ",IF(C47&gt;0,E47/C47,IF(E47&gt;0,1,0)))</f>
        <v xml:space="preserve">  </v>
      </c>
      <c r="G47" s="24"/>
      <c r="H47" s="24"/>
    </row>
    <row r="48" spans="1:8" ht="35.25">
      <c r="A48" s="137" t="s">
        <v>40</v>
      </c>
      <c r="B48" s="429"/>
      <c r="C48" s="429"/>
      <c r="D48" s="429"/>
      <c r="E48" s="429"/>
      <c r="F48" s="382" t="str">
        <f>IF(ISBLANK(E48),"  ",IF(C48&gt;0,E48/C48,IF(E48&gt;0,1,0)))</f>
        <v xml:space="preserve">  </v>
      </c>
      <c r="G48" s="24"/>
      <c r="H48" s="24"/>
    </row>
    <row r="49" spans="1:8" ht="34.5">
      <c r="A49" s="430" t="s">
        <v>41</v>
      </c>
      <c r="B49" s="431">
        <f ca="1">SUM(BPCC!B46,BRCC!B47,Nunez!B47,Delgado!B47,LDCC!B47,SLCC!B47,Fletcher!B47,RPCC!B47,SOWELA!B47,LTC!B47,LCTCSBOS!B47)</f>
        <v>141326252.41</v>
      </c>
      <c r="C49" s="431">
        <f ca="1">SUM(BPCC!C46,BRCC!C47,Nunez!C47,Delgado!C47,LDCC!C47,SLCC!C47,Fletcher!C47,RPCC!C47,SOWELA!C47,LTC!C47,LCTCSBOS!C47)</f>
        <v>142631198.59</v>
      </c>
      <c r="D49" s="431">
        <f ca="1">SUM(BPCC!D46,BRCC!D47,Nunez!D47,Delgado!D47,LDCC!D47,SLCC!D47,Fletcher!D47,RPCC!D47,SOWELA!D47,LTC!D47,LCTCSBOS!D47)</f>
        <v>138363732.90000001</v>
      </c>
      <c r="E49" s="93">
        <f t="shared" ref="E49:E62" si="2">D49-B49</f>
        <v>-2962519.5099999905</v>
      </c>
      <c r="F49" s="343">
        <f t="shared" ref="F49:F62" si="3">IF(ISBLANK(E49),"  ",IF(B49&gt;0,E49/B49,IF(E49&gt;0,1,0)))</f>
        <v>-2.0962273176291821E-2</v>
      </c>
      <c r="G49" s="24"/>
      <c r="H49" s="24"/>
    </row>
    <row r="50" spans="1:8" ht="34.5">
      <c r="A50" s="150" t="s">
        <v>42</v>
      </c>
      <c r="B50" s="254">
        <f ca="1">SUM(BPCC!B47,BRCC!B48,Nunez!B48,Delgado!B48,LDCC!B48,SLCC!B48,Fletcher!B48,RPCC!B48,SOWELA!B48,LTC!B48,LCTCSBOS!B48)</f>
        <v>0</v>
      </c>
      <c r="C50" s="254">
        <f ca="1">SUM(BPCC!C47,BRCC!C48,Nunez!C48,Delgado!C48,LDCC!C48,SLCC!C48,Fletcher!C48,RPCC!C48,SOWELA!C48,LTC!C48,LCTCSBOS!C48)</f>
        <v>0</v>
      </c>
      <c r="D50" s="254">
        <f ca="1">SUM(BPCC!D47,BRCC!D48,Nunez!D48,Delgado!D48,LDCC!D48,SLCC!D48,Fletcher!D48,RPCC!D48,SOWELA!D48,LTC!D48,LCTCSBOS!D48)</f>
        <v>0</v>
      </c>
      <c r="E50" s="93">
        <f t="shared" si="2"/>
        <v>0</v>
      </c>
      <c r="F50" s="343">
        <f t="shared" si="3"/>
        <v>0</v>
      </c>
      <c r="G50" s="24"/>
      <c r="H50" s="24"/>
    </row>
    <row r="51" spans="1:8" ht="34.5">
      <c r="A51" s="155" t="s">
        <v>43</v>
      </c>
      <c r="B51" s="154">
        <f ca="1">SUM(BPCC!B48,BRCC!B49,Nunez!B49,Delgado!B49,LDCC!B49,SLCC!B49,Fletcher!B49,RPCC!B49,SOWELA!B49,LTC!B49,LCTCSBOS!B49)</f>
        <v>413574</v>
      </c>
      <c r="C51" s="154">
        <f ca="1">SUM(BPCC!C48,BRCC!C49,Nunez!C49,Delgado!C49,LDCC!C49,SLCC!C49,Fletcher!C49,RPCC!C49,SOWELA!C49,LTC!C49,LCTCSBOS!C49)</f>
        <v>378253</v>
      </c>
      <c r="D51" s="154">
        <f ca="1">SUM(BPCC!D48,BRCC!D49,Nunez!D49,Delgado!D49,LDCC!D49,SLCC!D49,Fletcher!D49,RPCC!D49,SOWELA!D49,LTC!D49,LCTCSBOS!D49)</f>
        <v>492248</v>
      </c>
      <c r="E51" s="93">
        <f t="shared" si="2"/>
        <v>78674</v>
      </c>
      <c r="F51" s="343">
        <f t="shared" si="3"/>
        <v>0.19022955988529261</v>
      </c>
      <c r="G51" s="24"/>
      <c r="H51" s="24"/>
    </row>
    <row r="52" spans="1:8" ht="34.5">
      <c r="A52" s="155" t="s">
        <v>44</v>
      </c>
      <c r="B52" s="154">
        <f ca="1">SUM(BPCC!B49,BRCC!B50,Nunez!B50,Delgado!B50,LDCC!B50,SLCC!B50,Fletcher!B50,RPCC!B50,SOWELA!B50,LTC!B50,LCTCSBOS!B50)</f>
        <v>20308246.52</v>
      </c>
      <c r="C52" s="154">
        <f ca="1">SUM(BPCC!C49,BRCC!C50,Nunez!C50,Delgado!C50,LDCC!C50,SLCC!C50,Fletcher!C50,RPCC!C50,SOWELA!C50,LTC!C50,LCTCSBOS!C50)</f>
        <v>21875127.52</v>
      </c>
      <c r="D52" s="154">
        <f ca="1">SUM(BPCC!D49,BRCC!D50,Nunez!D50,Delgado!D50,LDCC!D50,SLCC!D50,Fletcher!D50,RPCC!D50,SOWELA!D50,LTC!D50,LCTCSBOS!D50)</f>
        <v>20924865.780000001</v>
      </c>
      <c r="E52" s="93">
        <f t="shared" si="2"/>
        <v>616619.26000000164</v>
      </c>
      <c r="F52" s="343">
        <f t="shared" si="3"/>
        <v>3.0362998567736593E-2</v>
      </c>
      <c r="G52" s="24"/>
      <c r="H52" s="24"/>
    </row>
    <row r="53" spans="1:8" ht="34.5">
      <c r="A53" s="168" t="s">
        <v>45</v>
      </c>
      <c r="B53" s="169">
        <f ca="1">SUM(BPCC!B50,BRCC!B51,Nunez!B51,Delgado!B51,LDCC!B51,SLCC!B51,Fletcher!B51,RPCC!B51,SOWELA!B51,LTC!B51,LCTCSBOS!B51)</f>
        <v>18880614.210000001</v>
      </c>
      <c r="C53" s="169">
        <f ca="1">SUM(BPCC!C50,BRCC!C51,Nunez!C51,Delgado!C51,LDCC!C51,SLCC!C51,Fletcher!C51,RPCC!C51,SOWELA!C51,LTC!C51,LCTCSBOS!C51)</f>
        <v>19785065.950000003</v>
      </c>
      <c r="D53" s="169">
        <f ca="1">SUM(BPCC!D50,BRCC!D51,Nunez!D51,Delgado!D51,LDCC!D51,SLCC!D51,Fletcher!D51,RPCC!D51,SOWELA!D51,LTC!D51,LCTCSBOS!D51)</f>
        <v>18654869.219999999</v>
      </c>
      <c r="E53" s="93">
        <f t="shared" si="2"/>
        <v>-225744.99000000209</v>
      </c>
      <c r="F53" s="343">
        <f t="shared" si="3"/>
        <v>-1.1956443126751546E-2</v>
      </c>
      <c r="G53" s="24"/>
      <c r="H53" s="24"/>
    </row>
    <row r="54" spans="1:8" ht="34.5">
      <c r="A54" s="263" t="s">
        <v>74</v>
      </c>
      <c r="B54" s="264">
        <f ca="1">SUM(BPCC!B51,BRCC!B52,Nunez!B52,Delgado!B52,LDCC!B52,SLCC!B52,Fletcher!B52,RPCC!B52,SOWELA!B52,LTC!B52,LCTCSBOS!B52)</f>
        <v>57621273.609999999</v>
      </c>
      <c r="C54" s="264">
        <f ca="1">SUM(BPCC!C51,BRCC!C52,Nunez!C52,Delgado!C52,LDCC!C52,SLCC!C52,Fletcher!C52,RPCC!C52,SOWELA!C52,LTC!C52,LCTCSBOS!C52)</f>
        <v>57430146.920000002</v>
      </c>
      <c r="D54" s="264">
        <f ca="1">SUM(BPCC!D51,BRCC!D52,Nunez!D52,Delgado!D52,LDCC!D52,SLCC!D52,Fletcher!D52,RPCC!D52,SOWELA!D52,LTC!D52,LCTCSBOS!D52)</f>
        <v>54646281.68</v>
      </c>
      <c r="E54" s="93">
        <f t="shared" si="2"/>
        <v>-2974991.9299999997</v>
      </c>
      <c r="F54" s="343">
        <f t="shared" si="3"/>
        <v>-5.1630096726700929E-2</v>
      </c>
      <c r="G54" s="24"/>
      <c r="H54" s="24"/>
    </row>
    <row r="55" spans="1:8" ht="34.5">
      <c r="A55" s="168" t="s">
        <v>46</v>
      </c>
      <c r="B55" s="169">
        <f ca="1">SUM(BPCC!B52,BRCC!B53,Nunez!B53,Delgado!B53,LDCC!B53,SLCC!B53,Fletcher!B53,RPCC!B53,SOWELA!B53,LTC!B53,LCTCSBOS!B53)</f>
        <v>2489192</v>
      </c>
      <c r="C55" s="169">
        <f ca="1">SUM(BPCC!C52,BRCC!C53,Nunez!C53,Delgado!C53,LDCC!C53,SLCC!C53,Fletcher!C53,RPCC!C53,SOWELA!C53,LTC!C53,LCTCSBOS!C53)</f>
        <v>1890463</v>
      </c>
      <c r="D55" s="169">
        <f ca="1">SUM(BPCC!D52,BRCC!D53,Nunez!D53,Delgado!D53,LDCC!D53,SLCC!D53,Fletcher!D53,RPCC!D53,SOWELA!D53,LTC!D53,LCTCSBOS!D53)</f>
        <v>2212915</v>
      </c>
      <c r="E55" s="93">
        <f t="shared" si="2"/>
        <v>-276277</v>
      </c>
      <c r="F55" s="343">
        <f t="shared" si="3"/>
        <v>-0.11099063471198686</v>
      </c>
      <c r="G55" s="24"/>
      <c r="H55" s="24"/>
    </row>
    <row r="56" spans="1:8" ht="34.5">
      <c r="A56" s="155" t="s">
        <v>47</v>
      </c>
      <c r="B56" s="154">
        <f ca="1">SUM(BPCC!B53,BRCC!B54,Nunez!B54,Delgado!B54,LDCC!B54,SLCC!B54,Fletcher!B54,RPCC!B54,SOWELA!B54,LTC!B54,LCTCSBOS!B54)</f>
        <v>33385148.645</v>
      </c>
      <c r="C56" s="154">
        <f ca="1">SUM(BPCC!C53,BRCC!C54,Nunez!C54,Delgado!C54,LDCC!C54,SLCC!C54,Fletcher!C54,RPCC!C54,SOWELA!C54,LTC!C54,LCTCSBOS!C54)</f>
        <v>35328382.644999996</v>
      </c>
      <c r="D56" s="154">
        <f ca="1">SUM(BPCC!D53,BRCC!D54,Nunez!D54,Delgado!D54,LDCC!D54,SLCC!D54,Fletcher!D54,RPCC!D54,SOWELA!D54,LTC!D54,LCTCSBOS!D54)</f>
        <v>31490871.420000002</v>
      </c>
      <c r="E56" s="93">
        <f t="shared" si="2"/>
        <v>-1894277.2249999978</v>
      </c>
      <c r="F56" s="343">
        <f t="shared" si="3"/>
        <v>-5.674011654531598E-2</v>
      </c>
      <c r="G56" s="24"/>
      <c r="H56" s="24"/>
    </row>
    <row r="57" spans="1:8" ht="35.25">
      <c r="A57" s="282" t="s">
        <v>48</v>
      </c>
      <c r="B57" s="268">
        <f ca="1">SUM(B49:B56)</f>
        <v>274424301.39499998</v>
      </c>
      <c r="C57" s="268">
        <f ca="1">SUM(C49:C56)</f>
        <v>279318637.625</v>
      </c>
      <c r="D57" s="268">
        <f ca="1">SUM(D49:D56)+9</f>
        <v>266785793</v>
      </c>
      <c r="E57" s="94">
        <f t="shared" si="2"/>
        <v>-7638508.3949999809</v>
      </c>
      <c r="F57" s="344">
        <f t="shared" si="3"/>
        <v>-2.7834664627624538E-2</v>
      </c>
      <c r="G57" s="24"/>
      <c r="H57" s="24"/>
    </row>
    <row r="58" spans="1:8" ht="34.5">
      <c r="A58" s="158" t="s">
        <v>49</v>
      </c>
      <c r="B58" s="159">
        <f ca="1">SUM(BPCC!B55,BRCC!B56,Nunez!B56,Delgado!B56,LDCC!B56,SLCC!B56,Fletcher!B56,RPCC!B56,SOWELA!B56,LTC!B56,LCTCSBOS!B56)</f>
        <v>0</v>
      </c>
      <c r="C58" s="159">
        <f ca="1">SUM(BPCC!C55,BRCC!C56,Nunez!C56,Delgado!C56,LDCC!C56,SLCC!C56,Fletcher!C56,RPCC!C56,SOWELA!C56,LTC!C56,LCTCSBOS!C56)</f>
        <v>0</v>
      </c>
      <c r="D58" s="159">
        <f ca="1">SUM(BPCC!D55,BRCC!D56,Nunez!D56,Delgado!D56,LDCC!D56,SLCC!D56,Fletcher!D56,RPCC!D56,SOWELA!D56,LTC!D56,LCTCSBOS!D56)</f>
        <v>0</v>
      </c>
      <c r="E58" s="93">
        <f t="shared" si="2"/>
        <v>0</v>
      </c>
      <c r="F58" s="343">
        <f t="shared" si="3"/>
        <v>0</v>
      </c>
      <c r="G58" s="24"/>
      <c r="H58" s="24"/>
    </row>
    <row r="59" spans="1:8" ht="34.5">
      <c r="A59" s="156" t="s">
        <v>50</v>
      </c>
      <c r="B59" s="157">
        <f ca="1">SUM(BPCC!B56,BRCC!B57,Nunez!B57,Delgado!B57,LDCC!B57,SLCC!B57,Fletcher!B57,RPCC!B57,SOWELA!B57,LTC!B57,LCTCSBOS!B57)</f>
        <v>4443040.7</v>
      </c>
      <c r="C59" s="157">
        <f ca="1">SUM(BPCC!C56,BRCC!C57,Nunez!C57,Delgado!C57,LDCC!C57,SLCC!C57,Fletcher!C57,RPCC!C57,SOWELA!C57,LTC!C57,LCTCSBOS!C57)</f>
        <v>4601393.25</v>
      </c>
      <c r="D59" s="157">
        <f ca="1">SUM(BPCC!D56,BRCC!D57,Nunez!D57,Delgado!D57,LDCC!D57,SLCC!D57,Fletcher!D57,RPCC!D57,SOWELA!D57,LTC!D57,LCTCSBOS!D57)</f>
        <v>6044040</v>
      </c>
      <c r="E59" s="93">
        <f t="shared" si="2"/>
        <v>1600999.2999999998</v>
      </c>
      <c r="F59" s="343">
        <f t="shared" si="3"/>
        <v>0.36033865276093457</v>
      </c>
      <c r="G59" s="24"/>
      <c r="H59" s="24"/>
    </row>
    <row r="60" spans="1:8" ht="34.5">
      <c r="A60" s="156" t="s">
        <v>51</v>
      </c>
      <c r="B60" s="157">
        <f ca="1">SUM(BPCC!B57,BRCC!B58,Nunez!B58,Delgado!B58,LDCC!B58,SLCC!B58,Fletcher!B58,RPCC!B58,SOWELA!B58,LTC!B58,LCTCSBOS!B58)</f>
        <v>1260739</v>
      </c>
      <c r="C60" s="157">
        <f ca="1">SUM(BPCC!C57,BRCC!C58,Nunez!C58,Delgado!C58,LDCC!C58,SLCC!C58,Fletcher!C58,RPCC!C58,SOWELA!C58,LTC!C58,LCTCSBOS!C58)</f>
        <v>1282479</v>
      </c>
      <c r="D60" s="157">
        <f ca="1">SUM(BPCC!D57,BRCC!D58,Nunez!D58,Delgado!D58,LDCC!D58,SLCC!D58,Fletcher!D58,RPCC!D58,SOWELA!D58,LTC!D58,LCTCSBOS!D58)</f>
        <v>983488</v>
      </c>
      <c r="E60" s="93">
        <f t="shared" si="2"/>
        <v>-277251</v>
      </c>
      <c r="F60" s="343">
        <f t="shared" si="3"/>
        <v>-0.2199114963525361</v>
      </c>
      <c r="G60" s="24"/>
      <c r="H60" s="24"/>
    </row>
    <row r="61" spans="1:8" ht="34.5">
      <c r="A61" s="434" t="s">
        <v>52</v>
      </c>
      <c r="B61" s="435">
        <f ca="1">SUM(BPCC!B58,BRCC!B59,Nunez!B59,Delgado!B59,LDCC!B59,SLCC!B59,Fletcher!B59,RPCC!B59,SOWELA!B59,LTC!B59,LCTCSBOS!B59)</f>
        <v>394778</v>
      </c>
      <c r="C61" s="435">
        <f ca="1">SUM(BPCC!C58,BRCC!C59,Nunez!C59,Delgado!C59,LDCC!C59,SLCC!C59,Fletcher!C59,RPCC!C59,SOWELA!C59,LTC!C59,LCTCSBOS!C59)</f>
        <v>395000</v>
      </c>
      <c r="D61" s="435">
        <f ca="1">SUM(BPCC!D58,BRCC!D59,Nunez!D59,Delgado!D59,LDCC!D59,SLCC!D59,Fletcher!D59,RPCC!D59,SOWELA!D59,LTC!D59,LCTCSBOS!D59)</f>
        <v>330500</v>
      </c>
      <c r="E61" s="93">
        <f t="shared" si="2"/>
        <v>-64278</v>
      </c>
      <c r="F61" s="343">
        <f t="shared" si="3"/>
        <v>-0.16282062323635055</v>
      </c>
      <c r="G61" s="24"/>
      <c r="H61" s="24"/>
    </row>
    <row r="62" spans="1:8" ht="35.25">
      <c r="A62" s="172" t="s">
        <v>53</v>
      </c>
      <c r="B62" s="295">
        <f>SUM(B57:B61)</f>
        <v>280522859.09499997</v>
      </c>
      <c r="C62" s="295">
        <f>SUM(C57:C61)+8</f>
        <v>285597517.875</v>
      </c>
      <c r="D62" s="295">
        <f>SUM(D57:D61)</f>
        <v>274143821</v>
      </c>
      <c r="E62" s="94">
        <f t="shared" si="2"/>
        <v>-6379038.094999969</v>
      </c>
      <c r="F62" s="344">
        <f t="shared" si="3"/>
        <v>-2.2739815627074039E-2</v>
      </c>
      <c r="G62" s="24"/>
      <c r="H62" s="24"/>
    </row>
    <row r="63" spans="1:8" ht="34.5">
      <c r="A63" s="117"/>
      <c r="B63" s="118"/>
      <c r="C63" s="118"/>
      <c r="D63" s="118"/>
      <c r="E63" s="128"/>
      <c r="F63" s="361" t="str">
        <f>IF(ISBLANK(E63),"  ",IF(C63&gt;0,E63/C63,IF(E63&gt;0,1,0)))</f>
        <v xml:space="preserve">  </v>
      </c>
      <c r="G63" s="24"/>
      <c r="H63" s="24"/>
    </row>
    <row r="64" spans="1:8" ht="35.25">
      <c r="A64" s="119" t="s">
        <v>54</v>
      </c>
      <c r="B64" s="92"/>
      <c r="C64" s="92"/>
      <c r="D64" s="92"/>
      <c r="E64" s="396"/>
      <c r="F64" s="342" t="str">
        <f>IF(ISBLANK(E64),"  ",IF(C64&gt;0,E64/C64,IF(E64&gt;0,1,0)))</f>
        <v xml:space="preserve">  </v>
      </c>
      <c r="G64" s="24"/>
      <c r="H64" s="24"/>
    </row>
    <row r="65" spans="1:8" ht="34.5">
      <c r="A65" s="117" t="s">
        <v>55</v>
      </c>
      <c r="B65" s="118">
        <f ca="1">SUM(BPCC!B62,BRCC!B63,Nunez!B63,Delgado!B63,LDCC!B63,SLCC!B63,Fletcher!B63,RPCC!B63,SOWELA!B63,LTC!B63,LCTCSBOS!B63)</f>
        <v>155817770.42000002</v>
      </c>
      <c r="C65" s="118">
        <f ca="1">SUM(BPCC!C62,BRCC!C63,Nunez!C63,Delgado!C63,LDCC!C63,SLCC!C63,Fletcher!C63,RPCC!C63,SOWELA!C63,LTC!C63,LCTCSBOS!C63)</f>
        <v>158464671.44</v>
      </c>
      <c r="D65" s="118">
        <f ca="1">SUM(BPCC!D62,BRCC!D63,Nunez!D63,Delgado!D63,LDCC!D63,SLCC!D63,Fletcher!D63,RPCC!D63,SOWELA!D63,LTC!D63,LCTCSBOS!D63)</f>
        <v>155033675.11000001</v>
      </c>
      <c r="E65" s="93">
        <f t="shared" ref="E65:E82" si="4">D65-B65</f>
        <v>-784095.31000000238</v>
      </c>
      <c r="F65" s="343">
        <f t="shared" ref="F65:F82" si="5">IF(ISBLANK(E65),"  ",IF(B65&gt;0,E65/B65,IF(E65&gt;0,1,0)))</f>
        <v>-5.0321302113777366E-3</v>
      </c>
      <c r="G65" s="24"/>
      <c r="H65" s="24"/>
    </row>
    <row r="66" spans="1:8" ht="34.5">
      <c r="A66" s="279" t="s">
        <v>56</v>
      </c>
      <c r="B66" s="280">
        <f ca="1">SUM(BPCC!B63,BRCC!B64,Nunez!B64,Delgado!B64,LDCC!B64,SLCC!B64,Fletcher!B64,RPCC!B64,SOWELA!B64,LTC!B64,LCTCSBOS!B64)</f>
        <v>4289150.43</v>
      </c>
      <c r="C66" s="280">
        <f ca="1">SUM(BPCC!C63,BRCC!C64,Nunez!C64,Delgado!C64,LDCC!C64,SLCC!C64,Fletcher!C64,RPCC!C64,SOWELA!C64,LTC!C64,LCTCSBOS!C64)</f>
        <v>4577536.26</v>
      </c>
      <c r="D66" s="280">
        <f ca="1">SUM(BPCC!D63,BRCC!D64,Nunez!D64,Delgado!D64,LDCC!D64,SLCC!D64,Fletcher!D64,RPCC!D64,SOWELA!D64,LTC!D64,LCTCSBOS!D64)</f>
        <v>3819526</v>
      </c>
      <c r="E66" s="93">
        <f t="shared" si="4"/>
        <v>-469624.4299999997</v>
      </c>
      <c r="F66" s="343">
        <f t="shared" si="5"/>
        <v>-0.10949124719787451</v>
      </c>
      <c r="G66" s="24"/>
      <c r="H66" s="24"/>
    </row>
    <row r="67" spans="1:8" ht="34.5">
      <c r="A67" s="176" t="s">
        <v>57</v>
      </c>
      <c r="B67" s="177">
        <f ca="1">SUM(BPCC!B64,BRCC!B65,Nunez!B65,Delgado!B65,LDCC!B65,SLCC!B65,Fletcher!B65,RPCC!B65,SOWELA!B65,LTC!B65,LCTCSBOS!B65)</f>
        <v>46985467.32</v>
      </c>
      <c r="C67" s="177">
        <f ca="1">SUM(BPCC!C64,BRCC!C65,Nunez!C65,Delgado!C65,LDCC!C65,SLCC!C65,Fletcher!C65,RPCC!C65,SOWELA!C65,LTC!C65,LCTCSBOS!C65)</f>
        <v>47586421.470000006</v>
      </c>
      <c r="D67" s="177">
        <f ca="1">SUM(BPCC!D64,BRCC!D65,Nunez!D65,Delgado!D65,LDCC!D65,SLCC!D65,Fletcher!D65,RPCC!D65,SOWELA!D65,LTC!D65,LCTCSBOS!D65)</f>
        <v>47125630.390000001</v>
      </c>
      <c r="E67" s="93">
        <f t="shared" si="4"/>
        <v>140163.0700000003</v>
      </c>
      <c r="F67" s="343">
        <f t="shared" si="5"/>
        <v>2.9831153757693498E-3</v>
      </c>
      <c r="G67" s="24"/>
      <c r="H67" s="24"/>
    </row>
    <row r="68" spans="1:8" ht="35.25">
      <c r="A68" s="114" t="s">
        <v>58</v>
      </c>
      <c r="B68" s="116">
        <f ca="1">SUM(B65:B67)</f>
        <v>207092388.17000002</v>
      </c>
      <c r="C68" s="116">
        <f ca="1">SUM(C65:C67)</f>
        <v>210628629.16999999</v>
      </c>
      <c r="D68" s="116">
        <f ca="1">SUM(D65:D67)</f>
        <v>205978831.5</v>
      </c>
      <c r="E68" s="94">
        <f t="shared" si="4"/>
        <v>-1113556.6700000167</v>
      </c>
      <c r="F68" s="344">
        <f t="shared" si="5"/>
        <v>-5.3771009153939031E-3</v>
      </c>
      <c r="G68" s="24"/>
      <c r="H68" s="24"/>
    </row>
    <row r="69" spans="1:8" ht="34.5">
      <c r="A69" s="279" t="s">
        <v>59</v>
      </c>
      <c r="B69" s="280">
        <f ca="1">SUM(BPCC!B66,BRCC!B67,Nunez!B67,Delgado!B67,LDCC!B67,SLCC!B67,Fletcher!B67,RPCC!B67,SOWELA!B67,LTC!B67,LCTCSBOS!B67)</f>
        <v>1592540.3499999999</v>
      </c>
      <c r="C69" s="280">
        <f ca="1">SUM(BPCC!C66,BRCC!C67,Nunez!C67,Delgado!C67,LDCC!C67,SLCC!C67,Fletcher!C67,RPCC!C67,SOWELA!C67,LTC!C67,LCTCSBOS!C67)</f>
        <v>1913151.8299999998</v>
      </c>
      <c r="D69" s="280">
        <f ca="1">SUM(BPCC!D66,BRCC!D67,Nunez!D67,Delgado!D67,LDCC!D67,SLCC!D67,Fletcher!D67,RPCC!D67,SOWELA!D67,LTC!D67,LCTCSBOS!D67)</f>
        <v>1345898.17</v>
      </c>
      <c r="E69" s="93">
        <f t="shared" si="4"/>
        <v>-246642.17999999993</v>
      </c>
      <c r="F69" s="343">
        <f t="shared" si="5"/>
        <v>-0.15487342597002327</v>
      </c>
      <c r="G69" s="24"/>
      <c r="H69" s="24"/>
    </row>
    <row r="70" spans="1:8" ht="34.5">
      <c r="A70" s="176" t="s">
        <v>60</v>
      </c>
      <c r="B70" s="177">
        <f ca="1">SUM(BPCC!B67,BRCC!B68,Nunez!B68,Delgado!B68,LDCC!B68,SLCC!B68,Fletcher!B68,RPCC!B68,SOWELA!B68,LTC!B68,LCTCSBOS!B68)</f>
        <v>33337623.294999998</v>
      </c>
      <c r="C70" s="177">
        <f ca="1">SUM(BPCC!C67,BRCC!C68,Nunez!C68,Delgado!C68,LDCC!C68,SLCC!C68,Fletcher!C68,RPCC!C68,SOWELA!C68,LTC!C68,LCTCSBOS!C68)</f>
        <v>33276047.704999998</v>
      </c>
      <c r="D70" s="177">
        <f ca="1">SUM(BPCC!D67,BRCC!D68,Nunez!D68,Delgado!D68,LDCC!D68,SLCC!D68,Fletcher!D68,RPCC!D68,SOWELA!D68,LTC!D68,LCTCSBOS!D68)</f>
        <v>29577600.98</v>
      </c>
      <c r="E70" s="93">
        <f t="shared" si="4"/>
        <v>-3760022.3149999976</v>
      </c>
      <c r="F70" s="343">
        <f t="shared" si="5"/>
        <v>-0.112786154001684</v>
      </c>
      <c r="G70" s="24"/>
      <c r="H70" s="24"/>
    </row>
    <row r="71" spans="1:8" ht="34.5">
      <c r="A71" s="151" t="s">
        <v>61</v>
      </c>
      <c r="B71" s="254">
        <f ca="1">SUM(BPCC!B68,BRCC!B69,Nunez!B69,Delgado!B69,LDCC!B69,SLCC!B69,Fletcher!B69,RPCC!B69,SOWELA!B69,LTC!B69,LCTCSBOS!B69)</f>
        <v>8144390.9900000002</v>
      </c>
      <c r="C71" s="254">
        <f ca="1">SUM(BPCC!C68,BRCC!C69,Nunez!C69,Delgado!C69,LDCC!C69,SLCC!C69,Fletcher!C69,RPCC!C69,SOWELA!C69,LTC!C69,LCTCSBOS!C69)</f>
        <v>8216709.2599999998</v>
      </c>
      <c r="D71" s="254">
        <f ca="1">SUM(BPCC!D68,BRCC!D69,Nunez!D69,Delgado!D69,LDCC!D69,SLCC!D69,Fletcher!D69,RPCC!D69,SOWELA!D69,LTC!D69,LCTCSBOS!D69)</f>
        <v>6526153.1699999999</v>
      </c>
      <c r="E71" s="93">
        <f t="shared" si="4"/>
        <v>-1618237.8200000003</v>
      </c>
      <c r="F71" s="343">
        <f t="shared" si="5"/>
        <v>-0.19869353300780077</v>
      </c>
      <c r="G71" s="24"/>
      <c r="H71" s="24"/>
    </row>
    <row r="72" spans="1:8" ht="35.25">
      <c r="A72" s="400" t="s">
        <v>62</v>
      </c>
      <c r="B72" s="173">
        <f ca="1">SUM(B69:B71)</f>
        <v>43074554.634999998</v>
      </c>
      <c r="C72" s="173">
        <f ca="1">SUM(C69:C71)</f>
        <v>43405908.794999994</v>
      </c>
      <c r="D72" s="173">
        <f ca="1">SUM(D69:D71)</f>
        <v>37449652.32</v>
      </c>
      <c r="E72" s="94">
        <f t="shared" si="4"/>
        <v>-5624902.3149999976</v>
      </c>
      <c r="F72" s="344">
        <f t="shared" si="5"/>
        <v>-0.1305852692538233</v>
      </c>
      <c r="G72" s="24"/>
      <c r="H72" s="24"/>
    </row>
    <row r="73" spans="1:8" ht="34.5">
      <c r="A73" s="30" t="s">
        <v>63</v>
      </c>
      <c r="B73" s="92">
        <f ca="1">SUM(BPCC!B70,BRCC!B71,Nunez!B71,Delgado!B71,LDCC!B71,SLCC!B71,Fletcher!B71,RPCC!B71,SOWELA!B71,LTC!B71,LCTCSBOS!B71)</f>
        <v>3694976.94</v>
      </c>
      <c r="C73" s="92">
        <f ca="1">SUM(BPCC!C70,BRCC!C71,Nunez!C71,Delgado!C71,LDCC!C71,SLCC!C71,Fletcher!C71,RPCC!C71,SOWELA!C71,LTC!C71,LCTCSBOS!C71)</f>
        <v>3936291.21</v>
      </c>
      <c r="D73" s="92">
        <f ca="1">SUM(BPCC!D70,BRCC!D71,Nunez!D71,Delgado!D71,LDCC!D71,SLCC!D71,Fletcher!D71,RPCC!D71,SOWELA!D71,LTC!D71,LCTCSBOS!D71)</f>
        <v>3486056</v>
      </c>
      <c r="E73" s="93">
        <f t="shared" si="4"/>
        <v>-208920.93999999994</v>
      </c>
      <c r="F73" s="343">
        <f t="shared" si="5"/>
        <v>-5.6541879257303279E-2</v>
      </c>
      <c r="G73" s="24"/>
      <c r="H73" s="24"/>
    </row>
    <row r="74" spans="1:8" ht="34.5">
      <c r="A74" s="117" t="s">
        <v>64</v>
      </c>
      <c r="B74" s="118">
        <f ca="1">SUM(BPCC!B71,BRCC!B72,Nunez!B72,Delgado!B72,LDCC!B72,SLCC!B72,Fletcher!B72,RPCC!B72,SOWELA!B72,LTC!B72,LCTCSBOS!B72)</f>
        <v>15510242.25</v>
      </c>
      <c r="C74" s="118">
        <f ca="1">SUM(BPCC!C71,BRCC!C72,Nunez!C72,Delgado!C72,LDCC!C72,SLCC!C72,Fletcher!C72,RPCC!C72,SOWELA!C72,LTC!C72,LCTCSBOS!C72)</f>
        <v>16762325.050000001</v>
      </c>
      <c r="D74" s="118">
        <f ca="1">SUM(BPCC!D71,BRCC!D72,Nunez!D72,Delgado!D72,LDCC!D72,SLCC!D72,Fletcher!D72,RPCC!D72,SOWELA!D72,LTC!D72,LCTCSBOS!D72)</f>
        <v>17059884.719999999</v>
      </c>
      <c r="E74" s="93">
        <f t="shared" si="4"/>
        <v>1549642.4699999988</v>
      </c>
      <c r="F74" s="343">
        <f t="shared" si="5"/>
        <v>9.9910913383702879E-2</v>
      </c>
      <c r="G74" s="24"/>
      <c r="H74" s="24"/>
    </row>
    <row r="75" spans="1:8" ht="34.5">
      <c r="A75" s="117" t="s">
        <v>65</v>
      </c>
      <c r="B75" s="118">
        <f ca="1">SUM(BPCC!B72,BRCC!B73,Nunez!B73,Delgado!B73,LDCC!B73,SLCC!B73,Fletcher!B73,RPCC!B73,SOWELA!B73,LTC!B73,LCTCSBOS!B73)</f>
        <v>0</v>
      </c>
      <c r="C75" s="118">
        <f ca="1">SUM(BPCC!C72,BRCC!C73,Nunez!C73,Delgado!C73,LDCC!C73,SLCC!C73,Fletcher!C73,RPCC!C73,SOWELA!C73,LTC!C73,LCTCSBOS!C73)</f>
        <v>0</v>
      </c>
      <c r="D75" s="118">
        <f ca="1">SUM(BPCC!D72,BRCC!D73,Nunez!D73,Delgado!D73,LDCC!D73,SLCC!D73,Fletcher!D73,RPCC!D73,SOWELA!D73,LTC!D73,LCTCSBOS!D73)</f>
        <v>0</v>
      </c>
      <c r="E75" s="93">
        <f t="shared" si="4"/>
        <v>0</v>
      </c>
      <c r="F75" s="343">
        <f t="shared" si="5"/>
        <v>0</v>
      </c>
      <c r="G75" s="24"/>
      <c r="H75" s="24"/>
    </row>
    <row r="76" spans="1:8" ht="34.5">
      <c r="A76" s="126" t="s">
        <v>66</v>
      </c>
      <c r="B76" s="118">
        <f ca="1">SUM(BPCC!B73,BRCC!B74,Nunez!B74,Delgado!B74,LDCC!B74,SLCC!B74,Fletcher!B74,RPCC!B74,SOWELA!B74,LTC!B74,LCTCSBOS!B74)</f>
        <v>4653207.7</v>
      </c>
      <c r="C76" s="118">
        <f ca="1">SUM(BPCC!C73,BRCC!C74,Nunez!C74,Delgado!C74,LDCC!C74,SLCC!C74,Fletcher!C74,RPCC!C74,SOWELA!C74,LTC!C74,LCTCSBOS!C74)</f>
        <v>4693904.25</v>
      </c>
      <c r="D76" s="118">
        <f ca="1">SUM(BPCC!D73,BRCC!D74,Nunez!D74,Delgado!D74,LDCC!D74,SLCC!D74,Fletcher!D74,RPCC!D74,SOWELA!D74,LTC!D74,LCTCSBOS!D74)</f>
        <v>6132653</v>
      </c>
      <c r="E76" s="93">
        <f t="shared" si="4"/>
        <v>1479445.2999999998</v>
      </c>
      <c r="F76" s="343">
        <f t="shared" si="5"/>
        <v>0.31794095501045433</v>
      </c>
      <c r="G76" s="24"/>
      <c r="H76" s="37"/>
    </row>
    <row r="77" spans="1:8" ht="35.25">
      <c r="A77" s="265" t="s">
        <v>67</v>
      </c>
      <c r="B77" s="174">
        <f ca="1">SUM(B73:B76)</f>
        <v>23858426.890000001</v>
      </c>
      <c r="C77" s="174">
        <f ca="1">SUM(C73:C76)</f>
        <v>25392520.510000002</v>
      </c>
      <c r="D77" s="174">
        <f ca="1">SUM(D73:D76)</f>
        <v>26678593.719999999</v>
      </c>
      <c r="E77" s="94">
        <f t="shared" si="4"/>
        <v>2820166.8299999982</v>
      </c>
      <c r="F77" s="344">
        <f t="shared" si="5"/>
        <v>0.1182042237320366</v>
      </c>
      <c r="G77" s="24"/>
      <c r="H77" s="24"/>
    </row>
    <row r="78" spans="1:8" ht="34.5">
      <c r="A78" s="151" t="s">
        <v>68</v>
      </c>
      <c r="B78" s="166">
        <f ca="1">SUM(BPCC!B75,BRCC!B76,Nunez!B76,Delgado!B77,LDCC!B76,SLCC!B76,Fletcher!B76,RPCC!B76,SOWELA!B76,LTC!B76,LCTCSBOS!B76)</f>
        <v>5601028.8999999994</v>
      </c>
      <c r="C78" s="166">
        <f ca="1">SUM(BPCC!C75,BRCC!C76,Nunez!C76,Delgado!C77,LDCC!C76,SLCC!C76,Fletcher!C76,RPCC!C76,SOWELA!C76,LTC!C76,LCTCSBOS!C76)</f>
        <v>5277673.8999999994</v>
      </c>
      <c r="D78" s="166">
        <f ca="1">SUM(BPCC!D75,BRCC!D76,Nunez!D76,Delgado!D77,LDCC!D76,SLCC!D76,Fletcher!D76,RPCC!D76,SOWELA!D76,LTC!D76,LCTCSBOS!D76)</f>
        <v>3207588</v>
      </c>
      <c r="E78" s="93">
        <f t="shared" si="4"/>
        <v>-2393440.8999999994</v>
      </c>
      <c r="F78" s="343">
        <f t="shared" si="5"/>
        <v>-0.42732164799221078</v>
      </c>
      <c r="G78" s="24"/>
      <c r="H78" s="24"/>
    </row>
    <row r="79" spans="1:8" ht="34.5">
      <c r="A79" s="176" t="s">
        <v>69</v>
      </c>
      <c r="B79" s="177">
        <f ca="1">SUM(BPCC!B76,BRCC!B77,Nunez!B77,Delgado!B78,LDCC!B77,SLCC!B77,Fletcher!B77,RPCC!B77,SOWELA!B77,LTC!B77,LCTCSBOS!B77)</f>
        <v>726525</v>
      </c>
      <c r="C79" s="177">
        <f ca="1">SUM(BPCC!C76,BRCC!C77,Nunez!C77,Delgado!C78,LDCC!C77,SLCC!C77,Fletcher!C77,RPCC!C77,SOWELA!C77,LTC!C77,LCTCSBOS!C77)</f>
        <v>636348</v>
      </c>
      <c r="D79" s="177">
        <f ca="1">SUM(BPCC!D76,BRCC!D77,Nunez!D77,Delgado!D78,LDCC!D77,SLCC!D77,Fletcher!D77,RPCC!D77,SOWELA!D77,LTC!D77,LCTCSBOS!D77)</f>
        <v>577967</v>
      </c>
      <c r="E79" s="93">
        <f t="shared" si="4"/>
        <v>-148558</v>
      </c>
      <c r="F79" s="343">
        <f t="shared" si="5"/>
        <v>-0.2044774784074877</v>
      </c>
      <c r="G79" s="24"/>
      <c r="H79" s="24"/>
    </row>
    <row r="80" spans="1:8" ht="34.5">
      <c r="A80" s="279" t="s">
        <v>70</v>
      </c>
      <c r="B80" s="280">
        <f ca="1">SUM(BPCC!B77,BRCC!B78,Nunez!B78,Delgado!B79,LDCC!B78,SLCC!B78,Fletcher!B78,RPCC!B78,SOWELA!B78,LTC!B78,LCTCSBOS!B78)</f>
        <v>169935.5</v>
      </c>
      <c r="C80" s="280">
        <f ca="1">SUM(BPCC!C77,BRCC!C78,Nunez!C78,Delgado!C79,LDCC!C78,SLCC!C78,Fletcher!C78,RPCC!C78,SOWELA!C78,LTC!C78,LCTCSBOS!C78)</f>
        <v>256429.5</v>
      </c>
      <c r="D80" s="280">
        <f ca="1">SUM(BPCC!D77,BRCC!D78,Nunez!D78,Delgado!D79,LDCC!D78,SLCC!D78,Fletcher!D78,RPCC!D78,SOWELA!D78,LTC!D78,LCTCSBOS!D78)</f>
        <v>251177.46</v>
      </c>
      <c r="E80" s="93">
        <f t="shared" si="4"/>
        <v>81241.959999999992</v>
      </c>
      <c r="F80" s="343">
        <f t="shared" si="5"/>
        <v>0.47807526973469339</v>
      </c>
      <c r="G80" s="24"/>
      <c r="H80" s="24"/>
    </row>
    <row r="81" spans="1:49" ht="35.25">
      <c r="A81" s="119" t="s">
        <v>71</v>
      </c>
      <c r="B81" s="120">
        <f>SUM(B78:B80)</f>
        <v>6497489.3999999994</v>
      </c>
      <c r="C81" s="120">
        <f>SUM(C78:C80)</f>
        <v>6170451.3999999994</v>
      </c>
      <c r="D81" s="120">
        <f>SUM(D78:D80)</f>
        <v>4036732.46</v>
      </c>
      <c r="E81" s="94">
        <f t="shared" si="4"/>
        <v>-2460756.9399999995</v>
      </c>
      <c r="F81" s="344">
        <f t="shared" si="5"/>
        <v>-0.37872427156248994</v>
      </c>
      <c r="G81" s="24"/>
      <c r="H81" s="24"/>
    </row>
    <row r="82" spans="1:49" ht="36" thickBot="1">
      <c r="A82" s="164" t="s">
        <v>53</v>
      </c>
      <c r="B82" s="165">
        <f>+B81+B77+B72+B68</f>
        <v>280522859.09500003</v>
      </c>
      <c r="C82" s="165">
        <f>+C81+C77+C72+C68+8</f>
        <v>285597517.875</v>
      </c>
      <c r="D82" s="165">
        <f>+D81+D77+D72+D68+11</f>
        <v>274143821</v>
      </c>
      <c r="E82" s="441">
        <f t="shared" si="4"/>
        <v>-6379038.0950000286</v>
      </c>
      <c r="F82" s="348">
        <f t="shared" si="5"/>
        <v>-2.2739815627074247E-2</v>
      </c>
      <c r="G82" s="24"/>
      <c r="H82" s="24"/>
    </row>
    <row r="83" spans="1:49" ht="44.25">
      <c r="A83" s="262"/>
      <c r="B83" s="260"/>
      <c r="C83" s="260"/>
      <c r="D83" s="260"/>
      <c r="E83" s="422"/>
      <c r="F83" s="392"/>
      <c r="G83" s="24"/>
      <c r="H83" s="24"/>
    </row>
    <row r="84" spans="1:49" ht="44.25">
      <c r="A84" s="423" t="s">
        <v>99</v>
      </c>
      <c r="B84" s="422"/>
      <c r="C84" s="422"/>
      <c r="D84" s="422"/>
      <c r="E84" s="422"/>
      <c r="F84" s="392"/>
      <c r="G84" s="24"/>
      <c r="H84" s="24"/>
    </row>
    <row r="85" spans="1:49" ht="44.25">
      <c r="A85" s="262" t="s">
        <v>72</v>
      </c>
      <c r="B85" s="260"/>
      <c r="C85" s="260"/>
      <c r="D85" s="260"/>
      <c r="E85" s="260"/>
      <c r="F85" s="387"/>
      <c r="G85" s="24"/>
      <c r="H85" s="24"/>
    </row>
    <row r="86" spans="1:49" s="413" customFormat="1" ht="44.25">
      <c r="A86" s="262"/>
      <c r="B86" s="286"/>
      <c r="C86" s="286"/>
      <c r="D86" s="278"/>
      <c r="E86" s="278"/>
      <c r="F86" s="392"/>
      <c r="G86" s="412"/>
      <c r="H86" s="412"/>
    </row>
    <row r="87" spans="1:49" s="411" customFormat="1" ht="44.25">
      <c r="A87" s="262"/>
      <c r="B87" s="286"/>
      <c r="C87" s="286"/>
      <c r="D87" s="286"/>
      <c r="E87" s="286"/>
      <c r="F87" s="414"/>
      <c r="G87" s="113"/>
      <c r="H87" s="113"/>
    </row>
    <row r="88" spans="1:49" s="411" customFormat="1" ht="44.25">
      <c r="F88" s="317"/>
    </row>
    <row r="89" spans="1:49" s="163" customFormat="1" ht="44.25">
      <c r="B89" s="179"/>
      <c r="C89" s="179"/>
      <c r="D89" s="179"/>
      <c r="E89" s="179"/>
      <c r="F89" s="376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</row>
    <row r="90" spans="1:49" s="163" customFormat="1" ht="44.25">
      <c r="A90" s="179"/>
      <c r="B90" s="179"/>
      <c r="C90" s="179"/>
      <c r="D90" s="179"/>
      <c r="E90" s="179"/>
      <c r="F90" s="376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</row>
    <row r="91" spans="1:49" s="163" customFormat="1" ht="44.25">
      <c r="F91" s="375"/>
    </row>
    <row r="92" spans="1:49" s="163" customFormat="1" ht="44.25">
      <c r="F92" s="375"/>
    </row>
    <row r="93" spans="1:49" s="163" customFormat="1" ht="44.25">
      <c r="F93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topLeftCell="A58" zoomScale="30" zoomScaleNormal="30" workbookViewId="0">
      <selection activeCell="C6" sqref="C6"/>
    </sheetView>
  </sheetViews>
  <sheetFormatPr defaultRowHeight="15"/>
  <cols>
    <col min="1" max="1" width="135" style="14" customWidth="1"/>
    <col min="2" max="5" width="30.33203125" style="14" customWidth="1"/>
    <col min="6" max="6" width="45.5546875" style="321" customWidth="1"/>
    <col min="7" max="7" width="8.88671875" style="14"/>
    <col min="8" max="8" width="12.6640625" style="14" bestFit="1" customWidth="1"/>
    <col min="9" max="9" width="8.88671875" style="14"/>
    <col min="10" max="10" width="19.109375" style="14" bestFit="1" customWidth="1"/>
    <col min="11" max="12" width="8.88671875" style="14"/>
    <col min="13" max="13" width="21.21875" style="14" bestFit="1" customWidth="1"/>
    <col min="14" max="16384" width="8.88671875" style="14"/>
  </cols>
  <sheetData>
    <row r="1" spans="1:10" ht="45">
      <c r="A1" s="38" t="s">
        <v>0</v>
      </c>
      <c r="B1" s="39"/>
      <c r="C1" s="39"/>
      <c r="D1" s="40"/>
      <c r="E1" s="453"/>
      <c r="F1" s="453"/>
    </row>
    <row r="2" spans="1:10" ht="45">
      <c r="A2" s="38" t="s">
        <v>2</v>
      </c>
      <c r="B2" s="39"/>
      <c r="C2" s="40" t="s">
        <v>1</v>
      </c>
      <c r="D2" s="303" t="s">
        <v>315</v>
      </c>
      <c r="E2" s="303"/>
      <c r="F2" s="71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customHeight="1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 customHeight="1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 customHeight="1">
      <c r="A6" s="55" t="s">
        <v>12</v>
      </c>
      <c r="B6" s="59"/>
      <c r="C6" s="59"/>
      <c r="D6" s="59"/>
      <c r="E6" s="59"/>
      <c r="F6" s="308"/>
    </row>
    <row r="7" spans="1:10" ht="35.25" customHeight="1">
      <c r="A7" s="55" t="s">
        <v>13</v>
      </c>
      <c r="B7" s="59"/>
      <c r="C7" s="59"/>
      <c r="D7" s="59"/>
      <c r="E7" s="59"/>
      <c r="F7" s="309"/>
      <c r="J7" s="39"/>
    </row>
    <row r="8" spans="1:10" ht="34.5" customHeight="1">
      <c r="A8" s="56" t="s">
        <v>14</v>
      </c>
      <c r="B8" s="79">
        <f ca="1">'Total 4YR'!B8+'Total 2YR'!B8</f>
        <v>1011239814</v>
      </c>
      <c r="C8" s="79">
        <f ca="1">'Total 4YR'!C8+'Total 2YR'!C8</f>
        <v>1011297360.5</v>
      </c>
      <c r="D8" s="79">
        <f ca="1">'Total 4YR'!D8+'Total 2YR'!D8</f>
        <v>712475110</v>
      </c>
      <c r="E8" s="79">
        <f>D8-B8</f>
        <v>-298764704</v>
      </c>
      <c r="F8" s="310">
        <f>IF(ISBLANK(E8),"  ",IF(B8&gt;0,E8/B8,IF(E8&gt;0,1,0)))</f>
        <v>-0.29544396874389678</v>
      </c>
    </row>
    <row r="9" spans="1:10" ht="34.5" customHeight="1">
      <c r="A9" s="56" t="s">
        <v>87</v>
      </c>
      <c r="B9" s="79">
        <f ca="1">'Total 4YR'!B9+'Total 2YR'!B9</f>
        <v>0</v>
      </c>
      <c r="C9" s="79">
        <f ca="1">'Total 4YR'!C9+'Total 2YR'!C9</f>
        <v>0</v>
      </c>
      <c r="D9" s="79">
        <f ca="1">'Total 4YR'!D9+'Total 2YR'!D9</f>
        <v>64502997</v>
      </c>
      <c r="E9" s="79">
        <f>D9-B9</f>
        <v>64502997</v>
      </c>
      <c r="F9" s="310">
        <f>IF(ISBLANK(E9),"  ",IF(B9&gt;0,E9/B9,IF(E9&gt;0,1,0)))</f>
        <v>1</v>
      </c>
    </row>
    <row r="10" spans="1:10" ht="34.5" customHeight="1">
      <c r="A10" s="57" t="s">
        <v>15</v>
      </c>
      <c r="B10" s="80">
        <f ca="1">SUM(B11:B25)</f>
        <v>47186198.850000001</v>
      </c>
      <c r="C10" s="80">
        <f ca="1">SUM(C11:C25)</f>
        <v>48413357</v>
      </c>
      <c r="D10" s="80">
        <f ca="1">SUM(D11:D25)</f>
        <v>44952667</v>
      </c>
      <c r="E10" s="79">
        <f>B10-C10</f>
        <v>-1227158.1499999985</v>
      </c>
      <c r="F10" s="310">
        <f>IF(ISBLANK(E10),"  ",IF(B10&gt;0,E10/B10,IF(E10&gt;0,1,0)))</f>
        <v>-2.600671764006688E-2</v>
      </c>
    </row>
    <row r="11" spans="1:10" ht="34.5" customHeight="1">
      <c r="A11" s="60" t="s">
        <v>16</v>
      </c>
      <c r="B11" s="81">
        <f ca="1">'Total 4YR'!B11+'Total 2YR'!B11</f>
        <v>0</v>
      </c>
      <c r="C11" s="81">
        <f ca="1">'Total 4YR'!C11+'Total 2YR'!C11</f>
        <v>0</v>
      </c>
      <c r="D11" s="81">
        <f ca="1">'Total 4YR'!D11+'Total 2YR'!D11</f>
        <v>5456654</v>
      </c>
      <c r="E11" s="79">
        <f t="shared" ref="E11:E25" si="0">D11-B11</f>
        <v>5456654</v>
      </c>
      <c r="F11" s="310">
        <f t="shared" ref="F11:F25" si="1">IF(ISBLANK(E11),"  ",IF(B11&gt;0,E11/B11,IF(E11&gt;0,1,0)))</f>
        <v>1</v>
      </c>
    </row>
    <row r="12" spans="1:10" ht="34.5" customHeight="1">
      <c r="A12" s="57" t="s">
        <v>17</v>
      </c>
      <c r="B12" s="81">
        <f ca="1">'Total 4YR'!B12+'Total 2YR'!B12</f>
        <v>39558613.850000001</v>
      </c>
      <c r="C12" s="444">
        <f ca="1">'Total 4YR'!C12+'Total 2YR'!C12</f>
        <v>40785772</v>
      </c>
      <c r="D12" s="81">
        <f ca="1">'Total 4YR'!D12+'Total 2YR'!D12</f>
        <v>35285208</v>
      </c>
      <c r="E12" s="79">
        <f t="shared" si="0"/>
        <v>-4273405.8500000015</v>
      </c>
      <c r="F12" s="310">
        <f t="shared" si="1"/>
        <v>-0.10802718887481952</v>
      </c>
    </row>
    <row r="13" spans="1:10" ht="34.5" customHeight="1">
      <c r="A13" s="57" t="s">
        <v>18</v>
      </c>
      <c r="B13" s="81">
        <f ca="1">'Total 4YR'!B13+'Total 2YR'!B13</f>
        <v>0</v>
      </c>
      <c r="C13" s="81">
        <f ca="1">'Total 4YR'!C13+'Total 2YR'!C13</f>
        <v>0</v>
      </c>
      <c r="D13" s="81">
        <f ca="1">'Total 4YR'!D13+'Total 2YR'!D13</f>
        <v>0</v>
      </c>
      <c r="E13" s="79">
        <f t="shared" si="0"/>
        <v>0</v>
      </c>
      <c r="F13" s="310">
        <f t="shared" si="1"/>
        <v>0</v>
      </c>
    </row>
    <row r="14" spans="1:10" ht="34.5" customHeight="1">
      <c r="A14" s="57" t="s">
        <v>19</v>
      </c>
      <c r="B14" s="81">
        <f ca="1">'Total 4YR'!B14+'Total 2YR'!B14</f>
        <v>704085</v>
      </c>
      <c r="C14" s="81">
        <f ca="1">'Total 4YR'!C14+'Total 2YR'!C14</f>
        <v>704085</v>
      </c>
      <c r="D14" s="81">
        <f ca="1">'Total 4YR'!D14+'Total 2YR'!D14</f>
        <v>700805</v>
      </c>
      <c r="E14" s="79">
        <f t="shared" si="0"/>
        <v>-3280</v>
      </c>
      <c r="F14" s="310">
        <f t="shared" si="1"/>
        <v>-4.6585284447190328E-3</v>
      </c>
    </row>
    <row r="15" spans="1:10" ht="34.5" customHeight="1">
      <c r="A15" s="57" t="s">
        <v>20</v>
      </c>
      <c r="B15" s="81">
        <f ca="1">'Total 4YR'!B15+'Total 2YR'!B15</f>
        <v>0</v>
      </c>
      <c r="C15" s="81">
        <f ca="1">'Total 4YR'!C15+'Total 2YR'!C15</f>
        <v>0</v>
      </c>
      <c r="D15" s="81">
        <f ca="1">'Total 4YR'!D15+'Total 2YR'!D15</f>
        <v>0</v>
      </c>
      <c r="E15" s="79">
        <f t="shared" si="0"/>
        <v>0</v>
      </c>
      <c r="F15" s="310">
        <f t="shared" si="1"/>
        <v>0</v>
      </c>
    </row>
    <row r="16" spans="1:10" ht="34.5" customHeight="1">
      <c r="A16" s="57" t="s">
        <v>21</v>
      </c>
      <c r="B16" s="81">
        <f ca="1">'Total 4YR'!B16+'Total 2YR'!B16</f>
        <v>50000</v>
      </c>
      <c r="C16" s="81">
        <f ca="1">'Total 4YR'!C16+'Total 2YR'!C16</f>
        <v>50000</v>
      </c>
      <c r="D16" s="81">
        <f ca="1">'Total 4YR'!D16+'Total 2YR'!D16</f>
        <v>50000</v>
      </c>
      <c r="E16" s="79">
        <f t="shared" si="0"/>
        <v>0</v>
      </c>
      <c r="F16" s="310">
        <f t="shared" si="1"/>
        <v>0</v>
      </c>
    </row>
    <row r="17" spans="1:13" ht="34.5" customHeight="1">
      <c r="A17" s="57" t="s">
        <v>22</v>
      </c>
      <c r="B17" s="81">
        <f ca="1">'Total 4YR'!B17+'Total 2YR'!B17</f>
        <v>0</v>
      </c>
      <c r="C17" s="81">
        <f ca="1">'Total 4YR'!C17+'Total 2YR'!C17</f>
        <v>0</v>
      </c>
      <c r="D17" s="81">
        <f ca="1">'Total 4YR'!D17+'Total 2YR'!D17</f>
        <v>0</v>
      </c>
      <c r="E17" s="79">
        <f t="shared" si="0"/>
        <v>0</v>
      </c>
      <c r="F17" s="310">
        <f t="shared" si="1"/>
        <v>0</v>
      </c>
    </row>
    <row r="18" spans="1:13" ht="34.5" customHeight="1">
      <c r="A18" s="57" t="s">
        <v>23</v>
      </c>
      <c r="B18" s="81">
        <f ca="1">'Total 4YR'!B18+'Total 2YR'!B18</f>
        <v>750000</v>
      </c>
      <c r="C18" s="81">
        <f ca="1">'Total 4YR'!C18+'Total 2YR'!C18</f>
        <v>750000</v>
      </c>
      <c r="D18" s="81">
        <f ca="1">'Total 4YR'!D18+'Total 2YR'!D18</f>
        <v>750000</v>
      </c>
      <c r="E18" s="79">
        <f t="shared" si="0"/>
        <v>0</v>
      </c>
      <c r="F18" s="310">
        <f t="shared" si="1"/>
        <v>0</v>
      </c>
    </row>
    <row r="19" spans="1:13" ht="34.5" customHeight="1">
      <c r="A19" s="57" t="s">
        <v>24</v>
      </c>
      <c r="B19" s="81">
        <f ca="1">'Total 4YR'!B19+'Total 2YR'!B19</f>
        <v>2900000</v>
      </c>
      <c r="C19" s="81">
        <f ca="1">'Total 4YR'!C19+'Total 2YR'!C19</f>
        <v>2900000</v>
      </c>
      <c r="D19" s="81">
        <f ca="1">'Total 4YR'!D19+'Total 2YR'!D19</f>
        <v>2500000</v>
      </c>
      <c r="E19" s="79">
        <f t="shared" si="0"/>
        <v>-400000</v>
      </c>
      <c r="F19" s="310">
        <f t="shared" si="1"/>
        <v>-0.13793103448275862</v>
      </c>
    </row>
    <row r="20" spans="1:13" ht="34.5" customHeight="1">
      <c r="A20" s="57" t="s">
        <v>25</v>
      </c>
      <c r="B20" s="81">
        <f ca="1">'Total 4YR'!B20+'Total 2YR'!B20</f>
        <v>210000</v>
      </c>
      <c r="C20" s="81">
        <f ca="1">'Total 4YR'!C20+'Total 2YR'!C20</f>
        <v>210000</v>
      </c>
      <c r="D20" s="81">
        <f ca="1">'Total 4YR'!D20+'Total 2YR'!D20</f>
        <v>210000</v>
      </c>
      <c r="E20" s="79">
        <f t="shared" si="0"/>
        <v>0</v>
      </c>
      <c r="F20" s="310">
        <f t="shared" si="1"/>
        <v>0</v>
      </c>
    </row>
    <row r="21" spans="1:13" ht="34.5" customHeight="1">
      <c r="A21" s="57" t="s">
        <v>26</v>
      </c>
      <c r="B21" s="81">
        <f ca="1">'Total 4YR'!B21+'Total 2YR'!B21</f>
        <v>0</v>
      </c>
      <c r="C21" s="81">
        <f ca="1">'Total 4YR'!C21+'Total 2YR'!C21</f>
        <v>0</v>
      </c>
      <c r="D21" s="81">
        <f ca="1">'Total 4YR'!D21+'Total 2YR'!D21</f>
        <v>0</v>
      </c>
      <c r="E21" s="79">
        <f t="shared" si="0"/>
        <v>0</v>
      </c>
      <c r="F21" s="310">
        <f t="shared" si="1"/>
        <v>0</v>
      </c>
    </row>
    <row r="22" spans="1:13" ht="34.5" customHeight="1">
      <c r="A22" s="57" t="s">
        <v>27</v>
      </c>
      <c r="B22" s="81">
        <f ca="1">'Total 4YR'!B22+'Total 2YR'!B22</f>
        <v>0</v>
      </c>
      <c r="C22" s="81">
        <f ca="1">'Total 4YR'!C22+'Total 2YR'!C22</f>
        <v>0</v>
      </c>
      <c r="D22" s="81">
        <f ca="1">'Total 4YR'!D22+'Total 2YR'!D22</f>
        <v>0</v>
      </c>
      <c r="E22" s="79">
        <f t="shared" si="0"/>
        <v>0</v>
      </c>
      <c r="F22" s="310">
        <f t="shared" si="1"/>
        <v>0</v>
      </c>
    </row>
    <row r="23" spans="1:13" ht="34.5" customHeight="1">
      <c r="A23" s="61" t="s">
        <v>28</v>
      </c>
      <c r="B23" s="81">
        <f ca="1">'Total 4YR'!B23+'Total 2YR'!B23</f>
        <v>0</v>
      </c>
      <c r="C23" s="81">
        <f ca="1">'Total 4YR'!C23+'Total 2YR'!C23</f>
        <v>0</v>
      </c>
      <c r="D23" s="81">
        <f ca="1">'Total 4YR'!D23+'Total 2YR'!D23</f>
        <v>0</v>
      </c>
      <c r="E23" s="79">
        <f t="shared" si="0"/>
        <v>0</v>
      </c>
      <c r="F23" s="310">
        <f t="shared" si="1"/>
        <v>0</v>
      </c>
    </row>
    <row r="24" spans="1:13" ht="34.5" customHeight="1">
      <c r="A24" s="61" t="s">
        <v>91</v>
      </c>
      <c r="B24" s="81">
        <f ca="1">'Total 4YR'!B24+'Total 2YR'!B24</f>
        <v>0</v>
      </c>
      <c r="C24" s="81">
        <f ca="1">'Total 4YR'!C24+'Total 2YR'!C24</f>
        <v>0</v>
      </c>
      <c r="D24" s="81">
        <f ca="1">'Total 4YR'!D24+'Total 2YR'!D24</f>
        <v>0</v>
      </c>
      <c r="E24" s="79">
        <f t="shared" si="0"/>
        <v>0</v>
      </c>
      <c r="F24" s="310">
        <f t="shared" si="1"/>
        <v>0</v>
      </c>
      <c r="M24" s="48"/>
    </row>
    <row r="25" spans="1:13" ht="34.5" customHeight="1">
      <c r="A25" s="61" t="s">
        <v>80</v>
      </c>
      <c r="B25" s="81">
        <f ca="1">'Total 4YR'!B25+'Total 2YR'!B25</f>
        <v>3013500</v>
      </c>
      <c r="C25" s="444">
        <f ca="1">'Total 4YR'!C25+'Total 2YR'!C25</f>
        <v>3013500</v>
      </c>
      <c r="D25" s="81">
        <f ca="1">'Total 4YR'!D25+'Total 2YR'!D25</f>
        <v>0</v>
      </c>
      <c r="E25" s="79">
        <f t="shared" si="0"/>
        <v>-3013500</v>
      </c>
      <c r="F25" s="310">
        <f t="shared" si="1"/>
        <v>-1</v>
      </c>
      <c r="M25" s="443"/>
    </row>
    <row r="26" spans="1:13" ht="35.25" customHeight="1">
      <c r="A26" s="62" t="s">
        <v>29</v>
      </c>
      <c r="B26" s="81"/>
      <c r="C26" s="81"/>
      <c r="D26" s="81"/>
      <c r="E26" s="81"/>
      <c r="F26" s="311" t="str">
        <f>IF(ISBLANK(E26),"  ",IF(C26&gt;0,E26/C26,IF(E26&gt;0,1,0)))</f>
        <v xml:space="preserve">  </v>
      </c>
    </row>
    <row r="27" spans="1:13" ht="34.5" customHeight="1">
      <c r="A27" s="60" t="s">
        <v>30</v>
      </c>
      <c r="B27" s="79">
        <f ca="1">'Total 4YR'!B27+'Total 2YR'!B27</f>
        <v>0</v>
      </c>
      <c r="C27" s="79">
        <f ca="1">'Total 4YR'!C27+'Total 2YR'!C27</f>
        <v>0</v>
      </c>
      <c r="D27" s="79">
        <f ca="1">'Total 4YR'!D27+'Total 2YR'!D27</f>
        <v>0</v>
      </c>
      <c r="E27" s="79">
        <f>D27-B27</f>
        <v>0</v>
      </c>
      <c r="F27" s="310">
        <f>IF(ISBLANK(E27),"  ",IF(B27&gt;0,E27/B27,IF(E27&gt;0,1,0)))</f>
        <v>0</v>
      </c>
    </row>
    <row r="28" spans="1:13" ht="35.25" customHeight="1">
      <c r="A28" s="63" t="s">
        <v>31</v>
      </c>
      <c r="B28" s="81"/>
      <c r="C28" s="81"/>
      <c r="D28" s="81"/>
      <c r="E28" s="81"/>
      <c r="F28" s="311" t="str">
        <f>IF(ISBLANK(E28),"  ",IF(C28&gt;0,E28/C28,IF(E28&gt;0,1,0)))</f>
        <v xml:space="preserve">  </v>
      </c>
    </row>
    <row r="29" spans="1:13" ht="34.5" customHeight="1">
      <c r="A29" s="60" t="s">
        <v>30</v>
      </c>
      <c r="B29" s="82">
        <f ca="1">'Total 4YR'!B29+'Total 2YR'!B29</f>
        <v>0</v>
      </c>
      <c r="C29" s="82">
        <f ca="1">'Total 4YR'!C29+'Total 2YR'!C29</f>
        <v>0</v>
      </c>
      <c r="D29" s="82">
        <f ca="1">'Total 4YR'!D29+'Total 2YR'!D29</f>
        <v>0</v>
      </c>
      <c r="E29" s="79">
        <f>D29-B29</f>
        <v>0</v>
      </c>
      <c r="F29" s="310">
        <f>IF(ISBLANK(E29),"  ",IF(B29&gt;0,E29/B29,IF(E29&gt;0,1,0)))</f>
        <v>0</v>
      </c>
    </row>
    <row r="30" spans="1:13" ht="34.5" customHeight="1">
      <c r="A30" s="57" t="s">
        <v>32</v>
      </c>
      <c r="B30" s="81">
        <f ca="1">'Total 4YR'!B30+'Total 2YR'!B30</f>
        <v>0</v>
      </c>
      <c r="C30" s="81">
        <f ca="1">'Total 4YR'!C30+'Total 2YR'!C30</f>
        <v>0</v>
      </c>
      <c r="D30" s="81">
        <f ca="1">'Total 4YR'!D30+'Total 2YR'!D30</f>
        <v>0</v>
      </c>
      <c r="E30" s="79">
        <f>D30-B30</f>
        <v>0</v>
      </c>
      <c r="F30" s="310">
        <f>IF(ISBLANK(E30),"  ",IF(B30&gt;0,E30/B30,IF(E30&gt;0,1,0)))</f>
        <v>0</v>
      </c>
    </row>
    <row r="31" spans="1:13" ht="35.25" customHeight="1">
      <c r="A31" s="63" t="s">
        <v>33</v>
      </c>
      <c r="B31" s="83">
        <f ca="1">SUM(B8:B10,B27:B30)</f>
        <v>1058426012.85</v>
      </c>
      <c r="C31" s="83">
        <f ca="1">SUM(C8:C10,C27:C30)</f>
        <v>1059710717.5</v>
      </c>
      <c r="D31" s="83">
        <f ca="1">SUM(D8:D10,D27:D30)</f>
        <v>821930774</v>
      </c>
      <c r="E31" s="85">
        <f>D31-B31</f>
        <v>-236495238.85000002</v>
      </c>
      <c r="F31" s="312">
        <f>IF(ISBLANK(E31),"  ",IF(B31&gt;0,E31/B31,IF(E31&gt;0,1,0)))</f>
        <v>-0.2234405012526049</v>
      </c>
    </row>
    <row r="32" spans="1:13" ht="35.25" customHeight="1">
      <c r="A32" s="63"/>
      <c r="B32" s="81"/>
      <c r="C32" s="81"/>
      <c r="D32" s="81"/>
      <c r="E32" s="81"/>
      <c r="F32" s="311" t="str">
        <f>IF(ISBLANK(E32),"  ",IF(C32&gt;0,E32/C32,IF(E32&gt;0,1,0)))</f>
        <v xml:space="preserve">  </v>
      </c>
    </row>
    <row r="33" spans="1:6" ht="35.25" customHeight="1">
      <c r="A33" s="62" t="s">
        <v>34</v>
      </c>
      <c r="B33" s="84">
        <f ca="1">'Total 4YR'!B33+'Total 2YR'!B33</f>
        <v>-167005</v>
      </c>
      <c r="C33" s="84">
        <f ca="1">'Total 4YR'!C33+'Total 2YR'!C33</f>
        <v>0</v>
      </c>
      <c r="D33" s="84">
        <f ca="1">'Total 4YR'!D33+'Total 2YR'!D33</f>
        <v>0</v>
      </c>
      <c r="E33" s="85">
        <f>D33-B33</f>
        <v>167005</v>
      </c>
      <c r="F33" s="312">
        <f>IF(ISBLANK(E33),"  ",IF(B33&gt;0,E33/B33,IF(E33&gt;0,1,0)))</f>
        <v>1</v>
      </c>
    </row>
    <row r="34" spans="1:6" ht="35.25" customHeight="1">
      <c r="A34" s="57" t="s">
        <v>35</v>
      </c>
      <c r="B34" s="83"/>
      <c r="C34" s="83"/>
      <c r="D34" s="83"/>
      <c r="E34" s="83"/>
      <c r="F34" s="313" t="str">
        <f>IF(ISBLANK(E34),"  ",IF(C34&gt;0,E34/C34,IF(E34&gt;0,1,0)))</f>
        <v xml:space="preserve">  </v>
      </c>
    </row>
    <row r="35" spans="1:6" ht="35.25" customHeight="1">
      <c r="A35" s="64" t="s">
        <v>36</v>
      </c>
      <c r="B35" s="85">
        <f ca="1">'Total 4YR'!B35+'Total 2YR'!B35</f>
        <v>19976620</v>
      </c>
      <c r="C35" s="85">
        <f ca="1">'Total 4YR'!C35+'Total 2YR'!C35</f>
        <v>20108000</v>
      </c>
      <c r="D35" s="85">
        <f ca="1">'Total 4YR'!D35+'Total 2YR'!D35</f>
        <v>8898439</v>
      </c>
      <c r="E35" s="85">
        <f>D35-B35</f>
        <v>-11078181</v>
      </c>
      <c r="F35" s="312">
        <f>IF(ISBLANK(E35),"  ",IF(B35&gt;0,E35/B35,IF(E35&gt;0,1,0)))</f>
        <v>-0.55455732751586606</v>
      </c>
    </row>
    <row r="36" spans="1:6" ht="35.25" customHeight="1">
      <c r="A36" s="57"/>
      <c r="B36" s="83"/>
      <c r="C36" s="83"/>
      <c r="D36" s="83"/>
      <c r="E36" s="83"/>
      <c r="F36" s="313" t="str">
        <f>IF(ISBLANK(E36),"  ",IF(C36&gt;0,E36/C36,IF(E36&gt;0,1,0)))</f>
        <v xml:space="preserve">  </v>
      </c>
    </row>
    <row r="37" spans="1:6" ht="35.25" customHeight="1">
      <c r="A37" s="64" t="s">
        <v>88</v>
      </c>
      <c r="B37" s="85">
        <f ca="1">'Total 4YR'!B37+'Total 2YR'!B37</f>
        <v>0</v>
      </c>
      <c r="C37" s="85">
        <f ca="1">'Total 4YR'!C37+'Total 2YR'!C37</f>
        <v>0</v>
      </c>
      <c r="D37" s="85">
        <f ca="1">'Total 4YR'!D37+'Total 2YR'!D37</f>
        <v>154106706</v>
      </c>
      <c r="E37" s="85">
        <f>D37-B37</f>
        <v>154106706</v>
      </c>
      <c r="F37" s="312">
        <f>IF(ISBLANK(E37),"  ",IF(B37&gt;0,E37/B37,IF(E37&gt;0,1,0)))</f>
        <v>1</v>
      </c>
    </row>
    <row r="38" spans="1:6" ht="35.25" customHeight="1">
      <c r="A38" s="57" t="s">
        <v>35</v>
      </c>
      <c r="B38" s="83"/>
      <c r="C38" s="83"/>
      <c r="D38" s="83"/>
      <c r="E38" s="83"/>
      <c r="F38" s="313" t="str">
        <f>IF(ISBLANK(E38),"  ",IF(C38&gt;0,E38/C38,IF(E38&gt;0,1,0)))</f>
        <v xml:space="preserve">  </v>
      </c>
    </row>
    <row r="39" spans="1:6" ht="35.25" customHeight="1">
      <c r="A39" s="62" t="s">
        <v>37</v>
      </c>
      <c r="B39" s="84">
        <f ca="1">'Total 4YR'!B39+'Total 2YR'!B39</f>
        <v>637920441.99000001</v>
      </c>
      <c r="C39" s="84">
        <f ca="1">'Total 4YR'!C39+'Total 2YR'!C39</f>
        <v>668892148.86119592</v>
      </c>
      <c r="D39" s="84">
        <f ca="1">'Total 4YR'!D39+'Total 2YR'!D39</f>
        <v>712572446</v>
      </c>
      <c r="E39" s="85">
        <f>D39-B39</f>
        <v>74652004.00999999</v>
      </c>
      <c r="F39" s="312">
        <f>IF(ISBLANK(E39),"  ",IF(B39&gt;0,E39/B39,IF(E39&gt;0,1,0)))</f>
        <v>0.11702400345899282</v>
      </c>
    </row>
    <row r="40" spans="1:6" ht="35.25" customHeight="1">
      <c r="A40" s="57" t="s">
        <v>35</v>
      </c>
      <c r="B40" s="83"/>
      <c r="C40" s="83"/>
      <c r="D40" s="83"/>
      <c r="E40" s="83"/>
      <c r="F40" s="313" t="str">
        <f>IF(ISBLANK(E40),"  ",IF(C40&gt;0,E40/C40,IF(E40&gt;0,1,0)))</f>
        <v xml:space="preserve">  </v>
      </c>
    </row>
    <row r="41" spans="1:6" ht="35.25" customHeight="1">
      <c r="A41" s="62" t="s">
        <v>38</v>
      </c>
      <c r="B41" s="84">
        <f ca="1">'Total 4YR'!B41+'Total 2YR'!B41</f>
        <v>651</v>
      </c>
      <c r="C41" s="84">
        <f ca="1">'Total 4YR'!C41+'Total 2YR'!C41</f>
        <v>0</v>
      </c>
      <c r="D41" s="84">
        <f ca="1">'Total 4YR'!D41+'Total 2YR'!D41</f>
        <v>0</v>
      </c>
      <c r="E41" s="85">
        <f>D41-B41</f>
        <v>-651</v>
      </c>
      <c r="F41" s="312">
        <f>IF(ISBLANK(E41),"  ",IF(B41&gt;0,E41/B41,IF(E41&gt;0,1,0)))</f>
        <v>-1</v>
      </c>
    </row>
    <row r="42" spans="1:6" ht="34.5" customHeight="1">
      <c r="A42" s="57"/>
      <c r="B42" s="81"/>
      <c r="C42" s="81"/>
      <c r="D42" s="81"/>
      <c r="E42" s="81"/>
      <c r="F42" s="311" t="str">
        <f>IF(ISBLANK(E42),"  ",IF(C42&gt;0,E42/C42,IF(E42&gt;0,1,0)))</f>
        <v xml:space="preserve">  </v>
      </c>
    </row>
    <row r="43" spans="1:6" ht="35.25" customHeight="1">
      <c r="A43" s="55" t="s">
        <v>75</v>
      </c>
      <c r="B43" s="86">
        <f ca="1">'Total 4YR'!B43+'Total 2YR'!B43</f>
        <v>0</v>
      </c>
      <c r="C43" s="86">
        <f ca="1">'Total 4YR'!C43+'Total 2YR'!C43</f>
        <v>0</v>
      </c>
      <c r="D43" s="86">
        <f ca="1">'Total 4YR'!D43+'Total 2YR'!D43</f>
        <v>0</v>
      </c>
      <c r="E43" s="85">
        <f>D43-B43</f>
        <v>0</v>
      </c>
      <c r="F43" s="312">
        <f>IF(ISBLANK(E43),"  ",IF(B43&gt;0,E43/B43,IF(E43&gt;0,1,0)))</f>
        <v>0</v>
      </c>
    </row>
    <row r="44" spans="1:6" ht="34.5" customHeight="1">
      <c r="A44" s="65"/>
      <c r="B44" s="87"/>
      <c r="C44" s="87"/>
      <c r="D44" s="87"/>
      <c r="E44" s="87"/>
      <c r="F44" s="314" t="str">
        <f>IF(ISBLANK(E44),"  ",IF(C44&gt;0,E44/C44,IF(E44&gt;0,1,0)))</f>
        <v xml:space="preserve">  </v>
      </c>
    </row>
    <row r="45" spans="1:6" ht="34.5" customHeight="1">
      <c r="A45" s="100" t="s">
        <v>39</v>
      </c>
      <c r="B45" s="109">
        <f>SUM(B43,B41,B39,B35,B33,B31)</f>
        <v>1716156720.8400002</v>
      </c>
      <c r="C45" s="109">
        <f>SUM(C43,C41,C39,C35,C33,C31)+1</f>
        <v>1748710867.361196</v>
      </c>
      <c r="D45" s="109">
        <f>D43+D41+D39+D37+D35+D31</f>
        <v>1697508365</v>
      </c>
      <c r="E45" s="85">
        <f>D45-B45</f>
        <v>-18648355.840000153</v>
      </c>
      <c r="F45" s="312">
        <f>IF(ISBLANK(E45),"  ",IF(B45&gt;0,E45/B45,IF(E45&gt;0,1,0)))</f>
        <v>-1.0866347818672656E-2</v>
      </c>
    </row>
    <row r="46" spans="1:6" ht="35.25" customHeight="1">
      <c r="A46" s="449"/>
      <c r="B46" s="450"/>
      <c r="C46" s="450"/>
      <c r="D46" s="450"/>
      <c r="E46" s="88"/>
      <c r="F46" s="451" t="str">
        <f>IF(ISBLANK(E46),"  ",IF(C46&gt;0,E46/C46,IF(E46&gt;0,1,0)))</f>
        <v xml:space="preserve">  </v>
      </c>
    </row>
    <row r="47" spans="1:6" ht="34.5" customHeight="1">
      <c r="A47" s="60"/>
      <c r="B47" s="82"/>
      <c r="C47" s="82"/>
      <c r="D47" s="82"/>
      <c r="E47" s="82"/>
      <c r="F47" s="452" t="str">
        <f>IF(ISBLANK(E47),"  ",IF(C47&gt;0,E47/C47,IF(E47&gt;0,1,0)))</f>
        <v xml:space="preserve">  </v>
      </c>
    </row>
    <row r="48" spans="1:6" ht="34.5" customHeight="1">
      <c r="A48" s="62" t="s">
        <v>40</v>
      </c>
      <c r="B48" s="82"/>
      <c r="C48" s="82"/>
      <c r="D48" s="82"/>
      <c r="E48" s="79"/>
      <c r="F48" s="310" t="str">
        <f>IF(ISBLANK(E48),"  ",IF(C48&gt;0,E48/C48,IF(E48&gt;0,1,0)))</f>
        <v xml:space="preserve">  </v>
      </c>
    </row>
    <row r="49" spans="1:6" ht="34.5" customHeight="1">
      <c r="A49" s="57" t="s">
        <v>41</v>
      </c>
      <c r="B49" s="81">
        <f ca="1">'Total 4YR'!B49+'Total 2YR'!B49</f>
        <v>751235621.59000003</v>
      </c>
      <c r="C49" s="81">
        <f ca="1">'Total 4YR'!C49+'Total 2YR'!C49</f>
        <v>790324403.59000003</v>
      </c>
      <c r="D49" s="81">
        <f ca="1">'Total 4YR'!D49+'Total 2YR'!D49</f>
        <v>769609505.37146425</v>
      </c>
      <c r="E49" s="79">
        <f>D49-B49</f>
        <v>18373883.781464219</v>
      </c>
      <c r="F49" s="310">
        <f t="shared" ref="F49:F62" si="2">IF(ISBLANK(E49),"  ",IF(B49&gt;0,E49/B49,IF(E49&gt;0,1,0)))</f>
        <v>2.4458216907467266E-2</v>
      </c>
    </row>
    <row r="50" spans="1:6" ht="34.5" customHeight="1">
      <c r="A50" s="57" t="s">
        <v>42</v>
      </c>
      <c r="B50" s="81">
        <f ca="1">'Total 4YR'!B50+'Total 2YR'!B50</f>
        <v>104487630.13</v>
      </c>
      <c r="C50" s="81">
        <f ca="1">'Total 4YR'!C50+'Total 2YR'!C50</f>
        <v>101075529</v>
      </c>
      <c r="D50" s="81">
        <f ca="1">'Total 4YR'!D50+'Total 2YR'!D50</f>
        <v>98714733.716817394</v>
      </c>
      <c r="E50" s="79">
        <f t="shared" ref="E50:E62" si="3">D50-B50</f>
        <v>-5772896.4131826013</v>
      </c>
      <c r="F50" s="310">
        <f t="shared" si="2"/>
        <v>-5.5249567877079402E-2</v>
      </c>
    </row>
    <row r="51" spans="1:6" ht="34.5" customHeight="1">
      <c r="A51" s="57" t="s">
        <v>43</v>
      </c>
      <c r="B51" s="81">
        <f ca="1">'Total 4YR'!B51+'Total 2YR'!B51</f>
        <v>19034471</v>
      </c>
      <c r="C51" s="81">
        <f ca="1">'Total 4YR'!C51+'Total 2YR'!C51</f>
        <v>17467734</v>
      </c>
      <c r="D51" s="80">
        <f ca="1">'Total 4YR'!D51+'Total 2YR'!D51</f>
        <v>13059118.210000001</v>
      </c>
      <c r="E51" s="79">
        <f t="shared" si="3"/>
        <v>-5975352.7899999991</v>
      </c>
      <c r="F51" s="310">
        <f t="shared" si="2"/>
        <v>-0.31392271369138647</v>
      </c>
    </row>
    <row r="52" spans="1:6" ht="34.5" customHeight="1">
      <c r="A52" s="57" t="s">
        <v>44</v>
      </c>
      <c r="B52" s="81">
        <f ca="1">'Total 4YR'!B52+'Total 2YR'!B52</f>
        <v>176518810.69000003</v>
      </c>
      <c r="C52" s="81">
        <f ca="1">'Total 4YR'!C52+'Total 2YR'!C52</f>
        <v>181509261.52000001</v>
      </c>
      <c r="D52" s="89">
        <f ca="1">'Total 4YR'!D52+'Total 2YR'!D52</f>
        <v>175444393.69874588</v>
      </c>
      <c r="E52" s="79">
        <f t="shared" si="3"/>
        <v>-1074416.9912541509</v>
      </c>
      <c r="F52" s="310">
        <f t="shared" si="2"/>
        <v>-6.0866996953714333E-3</v>
      </c>
    </row>
    <row r="53" spans="1:6" ht="34.5" customHeight="1">
      <c r="A53" s="57" t="s">
        <v>45</v>
      </c>
      <c r="B53" s="81">
        <f ca="1">'Total 4YR'!B53+'Total 2YR'!B53</f>
        <v>83872534.890000001</v>
      </c>
      <c r="C53" s="81">
        <f ca="1">'Total 4YR'!C53+'Total 2YR'!C53</f>
        <v>89497585.950000003</v>
      </c>
      <c r="D53" s="81">
        <f ca="1">'Total 4YR'!D53+'Total 2YR'!D53</f>
        <v>84045852.134672821</v>
      </c>
      <c r="E53" s="79">
        <f t="shared" si="3"/>
        <v>173317.24467281997</v>
      </c>
      <c r="F53" s="310">
        <f t="shared" si="2"/>
        <v>2.0664362284999252E-3</v>
      </c>
    </row>
    <row r="54" spans="1:6" ht="34.5" customHeight="1">
      <c r="A54" s="57" t="s">
        <v>74</v>
      </c>
      <c r="B54" s="81">
        <f ca="1">'Total 4YR'!B54+'Total 2YR'!B54</f>
        <v>220126412.02000001</v>
      </c>
      <c r="C54" s="81">
        <f ca="1">'Total 4YR'!C54+'Total 2YR'!C54</f>
        <v>221712247.03</v>
      </c>
      <c r="D54" s="81">
        <f ca="1">'Total 4YR'!D54+'Total 2YR'!D54</f>
        <v>213027300.99771148</v>
      </c>
      <c r="E54" s="79">
        <f t="shared" si="3"/>
        <v>-7099111.0222885311</v>
      </c>
      <c r="F54" s="310">
        <f t="shared" si="2"/>
        <v>-3.2250155522652715E-2</v>
      </c>
    </row>
    <row r="55" spans="1:6" ht="35.25" customHeight="1">
      <c r="A55" s="65" t="s">
        <v>46</v>
      </c>
      <c r="B55" s="81">
        <f ca="1">'Total 4YR'!B55+'Total 2YR'!B55</f>
        <v>99855691.180000007</v>
      </c>
      <c r="C55" s="81">
        <f ca="1">'Total 4YR'!C55+'Total 2YR'!C55</f>
        <v>95190158</v>
      </c>
      <c r="D55" s="81">
        <f ca="1">'Total 4YR'!D55+'Total 2YR'!D55</f>
        <v>104130462</v>
      </c>
      <c r="E55" s="79">
        <f t="shared" si="3"/>
        <v>4274770.8199999928</v>
      </c>
      <c r="F55" s="310">
        <f t="shared" si="2"/>
        <v>4.2809486064187219E-2</v>
      </c>
    </row>
    <row r="56" spans="1:6" ht="34.5" customHeight="1">
      <c r="A56" s="57" t="s">
        <v>47</v>
      </c>
      <c r="B56" s="81">
        <f ca="1">'Total 4YR'!B56+'Total 2YR'!B56</f>
        <v>209208197.13499999</v>
      </c>
      <c r="C56" s="81">
        <f ca="1">'Total 4YR'!C56+'Total 2YR'!C56</f>
        <v>204661233.64499998</v>
      </c>
      <c r="D56" s="81">
        <f ca="1">'Total 4YR'!D56+'Total 2YR'!D56</f>
        <v>196595201.06502634</v>
      </c>
      <c r="E56" s="79">
        <f t="shared" si="3"/>
        <v>-12612996.069973648</v>
      </c>
      <c r="F56" s="310">
        <f t="shared" si="2"/>
        <v>-6.0289205885343991E-2</v>
      </c>
    </row>
    <row r="57" spans="1:6" ht="34.5" customHeight="1">
      <c r="A57" s="63" t="s">
        <v>48</v>
      </c>
      <c r="B57" s="83">
        <f ca="1">SUM(B49:B56)</f>
        <v>1664339368.6350002</v>
      </c>
      <c r="C57" s="83">
        <f ca="1">SUM(C49:C56)</f>
        <v>1701438152.7350001</v>
      </c>
      <c r="D57" s="83">
        <f ca="1">SUM(D49:D56)</f>
        <v>1654626567.194438</v>
      </c>
      <c r="E57" s="85">
        <f t="shared" si="3"/>
        <v>-9712801.4405622482</v>
      </c>
      <c r="F57" s="312">
        <f t="shared" si="2"/>
        <v>-5.8358298935920474E-3</v>
      </c>
    </row>
    <row r="58" spans="1:6" ht="34.5" customHeight="1">
      <c r="A58" s="57" t="s">
        <v>49</v>
      </c>
      <c r="B58" s="81">
        <f ca="1">'Total 4YR'!B58+'Total 2YR'!B58</f>
        <v>0</v>
      </c>
      <c r="C58" s="81">
        <f ca="1">'Total 4YR'!C58+'Total 2YR'!C58</f>
        <v>0</v>
      </c>
      <c r="D58" s="81">
        <f ca="1">'Total 4YR'!D58+'Total 2YR'!D58</f>
        <v>0</v>
      </c>
      <c r="E58" s="79">
        <f t="shared" si="3"/>
        <v>0</v>
      </c>
      <c r="F58" s="310">
        <f t="shared" si="2"/>
        <v>0</v>
      </c>
    </row>
    <row r="59" spans="1:6" ht="34.5" customHeight="1">
      <c r="A59" s="57" t="s">
        <v>50</v>
      </c>
      <c r="B59" s="81">
        <f ca="1">'Total 4YR'!B59+'Total 2YR'!B59</f>
        <v>7664827.04</v>
      </c>
      <c r="C59" s="81">
        <f ca="1">'Total 4YR'!C59+'Total 2YR'!C59</f>
        <v>9516217.5899999999</v>
      </c>
      <c r="D59" s="81">
        <f ca="1">'Total 4YR'!D59+'Total 2YR'!D59</f>
        <v>10478859</v>
      </c>
      <c r="E59" s="79">
        <f t="shared" si="3"/>
        <v>2814031.96</v>
      </c>
      <c r="F59" s="310">
        <f t="shared" si="2"/>
        <v>0.36713574165660495</v>
      </c>
    </row>
    <row r="60" spans="1:6" ht="35.25" customHeight="1">
      <c r="A60" s="103" t="s">
        <v>51</v>
      </c>
      <c r="B60" s="80">
        <f ca="1">'Total 4YR'!B60+'Total 2YR'!B60</f>
        <v>39878238</v>
      </c>
      <c r="C60" s="80">
        <f ca="1">'Total 4YR'!C60+'Total 2YR'!C60</f>
        <v>35907738</v>
      </c>
      <c r="D60" s="80">
        <f ca="1">'Total 4YR'!D60+'Total 2YR'!D60</f>
        <v>30744323</v>
      </c>
      <c r="E60" s="79">
        <f t="shared" si="3"/>
        <v>-9133915</v>
      </c>
      <c r="F60" s="310">
        <f t="shared" si="2"/>
        <v>-0.22904509973585091</v>
      </c>
    </row>
    <row r="61" spans="1:6" ht="34.5" customHeight="1">
      <c r="A61" s="437" t="s">
        <v>52</v>
      </c>
      <c r="B61" s="438">
        <f ca="1">'Total 4YR'!B61+'Total 2YR'!B61</f>
        <v>4274284.37</v>
      </c>
      <c r="C61" s="438">
        <f ca="1">'Total 4YR'!C61+'Total 2YR'!C61</f>
        <v>1853752</v>
      </c>
      <c r="D61" s="438">
        <f ca="1">'Total 4YR'!D61+'Total 2YR'!D61</f>
        <v>1658606</v>
      </c>
      <c r="E61" s="79">
        <f t="shared" si="3"/>
        <v>-2615678.37</v>
      </c>
      <c r="F61" s="310">
        <f t="shared" si="2"/>
        <v>-0.61195703036482807</v>
      </c>
    </row>
    <row r="62" spans="1:6" ht="35.25" customHeight="1">
      <c r="A62" s="106" t="s">
        <v>53</v>
      </c>
      <c r="B62" s="110">
        <f>SUM(B57:B61)+3</f>
        <v>1716156721.0450001</v>
      </c>
      <c r="C62" s="110">
        <f>SUM(C57:C61)+7</f>
        <v>1748715867.325</v>
      </c>
      <c r="D62" s="110">
        <f>SUM(D57:D61)+10</f>
        <v>1697508365.194438</v>
      </c>
      <c r="E62" s="85">
        <f t="shared" si="3"/>
        <v>-18648355.850562096</v>
      </c>
      <c r="F62" s="312">
        <f t="shared" si="2"/>
        <v>-1.0866347823529054E-2</v>
      </c>
    </row>
    <row r="63" spans="1:6" ht="34.5" customHeight="1">
      <c r="A63" s="107"/>
      <c r="B63" s="108"/>
      <c r="C63" s="108"/>
      <c r="D63" s="108"/>
      <c r="E63" s="108"/>
      <c r="F63" s="439" t="str">
        <f>IF(ISBLANK(E63),"  ",IF(C63&gt;0,E63/C63,IF(E63&gt;0,1,0)))</f>
        <v xml:space="preserve">  </v>
      </c>
    </row>
    <row r="64" spans="1:6" ht="34.5" customHeight="1">
      <c r="A64" s="62" t="s">
        <v>54</v>
      </c>
      <c r="B64" s="82"/>
      <c r="C64" s="82"/>
      <c r="D64" s="82"/>
      <c r="E64" s="79"/>
      <c r="F64" s="310" t="str">
        <f>IF(ISBLANK(E64),"  ",IF(C64&gt;0,E64/C64,IF(E64&gt;0,1,0)))</f>
        <v xml:space="preserve">  </v>
      </c>
    </row>
    <row r="65" spans="1:6" ht="34.5" customHeight="1">
      <c r="A65" s="57" t="s">
        <v>55</v>
      </c>
      <c r="B65" s="81">
        <f ca="1">'Total 4YR'!B65+'Total 2YR'!B65</f>
        <v>943190828.53999996</v>
      </c>
      <c r="C65" s="81">
        <f ca="1">'Total 4YR'!C65+'Total 2YR'!C65</f>
        <v>967201219.75999999</v>
      </c>
      <c r="D65" s="81">
        <f ca="1">'Total 4YR'!D65+'Total 2YR'!D65</f>
        <v>940484545.26307702</v>
      </c>
      <c r="E65" s="79">
        <f t="shared" ref="E65:E82" si="4">D65-B65</f>
        <v>-2706283.2769229412</v>
      </c>
      <c r="F65" s="310">
        <f t="shared" ref="F65:F82" si="5">IF(ISBLANK(E65),"  ",IF(B65&gt;0,E65/B65,IF(E65&gt;0,1,0)))</f>
        <v>-2.8692849792783686E-3</v>
      </c>
    </row>
    <row r="66" spans="1:6" ht="35.25" customHeight="1">
      <c r="A66" s="65" t="s">
        <v>56</v>
      </c>
      <c r="B66" s="87">
        <f ca="1">'Total 4YR'!B66+'Total 2YR'!B66</f>
        <v>45115092.689999998</v>
      </c>
      <c r="C66" s="87">
        <f ca="1">'Total 4YR'!C66+'Total 2YR'!C66</f>
        <v>44397954.219999999</v>
      </c>
      <c r="D66" s="87">
        <f ca="1">'Total 4YR'!D66+'Total 2YR'!D66</f>
        <v>42300611</v>
      </c>
      <c r="E66" s="79">
        <f t="shared" si="4"/>
        <v>-2814481.6899999976</v>
      </c>
      <c r="F66" s="310">
        <f t="shared" si="5"/>
        <v>-6.2384482047708231E-2</v>
      </c>
    </row>
    <row r="67" spans="1:6" ht="34.5" customHeight="1">
      <c r="A67" s="57" t="s">
        <v>57</v>
      </c>
      <c r="B67" s="81">
        <f ca="1">'Total 4YR'!B67+'Total 2YR'!B67</f>
        <v>276752372.92000002</v>
      </c>
      <c r="C67" s="81">
        <f ca="1">'Total 4YR'!C67+'Total 2YR'!C67</f>
        <v>292170934.89999998</v>
      </c>
      <c r="D67" s="81">
        <f ca="1">'Total 4YR'!D67+'Total 2YR'!D67</f>
        <v>289561389.59971923</v>
      </c>
      <c r="E67" s="79">
        <f t="shared" si="4"/>
        <v>12809016.67971921</v>
      </c>
      <c r="F67" s="310">
        <f t="shared" si="5"/>
        <v>4.6283312929070619E-2</v>
      </c>
    </row>
    <row r="68" spans="1:6" ht="34.5" customHeight="1">
      <c r="A68" s="63" t="s">
        <v>58</v>
      </c>
      <c r="B68" s="83">
        <f ca="1">SUM(B65:B67)</f>
        <v>1265058294.1500001</v>
      </c>
      <c r="C68" s="83">
        <f ca="1">SUM(C65:C67)</f>
        <v>1303770108.8800001</v>
      </c>
      <c r="D68" s="83">
        <f ca="1">SUM(D65:D67)</f>
        <v>1272346545.8627963</v>
      </c>
      <c r="E68" s="85">
        <f t="shared" si="4"/>
        <v>7288251.7127962112</v>
      </c>
      <c r="F68" s="312">
        <f t="shared" si="5"/>
        <v>5.7611983151284176E-3</v>
      </c>
    </row>
    <row r="69" spans="1:6" ht="34.5" customHeight="1">
      <c r="A69" s="57" t="s">
        <v>59</v>
      </c>
      <c r="B69" s="81">
        <f ca="1">'Total 4YR'!B69+'Total 2YR'!B69</f>
        <v>10669712.549999999</v>
      </c>
      <c r="C69" s="81">
        <f ca="1">'Total 4YR'!C69+'Total 2YR'!C69</f>
        <v>10893894.4</v>
      </c>
      <c r="D69" s="81">
        <f ca="1">'Total 4YR'!D69+'Total 2YR'!D69</f>
        <v>9006401.1699999999</v>
      </c>
      <c r="E69" s="79">
        <f t="shared" si="4"/>
        <v>-1663311.379999999</v>
      </c>
      <c r="F69" s="310">
        <f t="shared" si="5"/>
        <v>-0.15589092697722201</v>
      </c>
    </row>
    <row r="70" spans="1:6" ht="35.25" customHeight="1">
      <c r="A70" s="57" t="s">
        <v>60</v>
      </c>
      <c r="B70" s="81">
        <f ca="1">'Total 4YR'!B70+'Total 2YR'!B70</f>
        <v>140968310.94499999</v>
      </c>
      <c r="C70" s="81">
        <f ca="1">'Total 4YR'!C70+'Total 2YR'!C70</f>
        <v>142162602.23500001</v>
      </c>
      <c r="D70" s="81">
        <f ca="1">'Total 4YR'!D70+'Total 2YR'!D70</f>
        <v>137497567.97999999</v>
      </c>
      <c r="E70" s="79">
        <f t="shared" si="4"/>
        <v>-3470742.9650000036</v>
      </c>
      <c r="F70" s="310">
        <f t="shared" si="5"/>
        <v>-2.4620731721430245E-2</v>
      </c>
    </row>
    <row r="71" spans="1:6" ht="34.5" customHeight="1">
      <c r="A71" s="57" t="s">
        <v>61</v>
      </c>
      <c r="B71" s="81">
        <f ca="1">'Total 4YR'!B71+'Total 2YR'!B71</f>
        <v>44013325.450000003</v>
      </c>
      <c r="C71" s="81">
        <f ca="1">'Total 4YR'!C71+'Total 2YR'!C71</f>
        <v>38015000.439999998</v>
      </c>
      <c r="D71" s="81">
        <f ca="1">'Total 4YR'!D71+'Total 2YR'!D71</f>
        <v>35506422.170000002</v>
      </c>
      <c r="E71" s="79">
        <f t="shared" si="4"/>
        <v>-8506903.2800000012</v>
      </c>
      <c r="F71" s="310">
        <f t="shared" si="5"/>
        <v>-0.19328017578821691</v>
      </c>
    </row>
    <row r="72" spans="1:6" ht="34.5" customHeight="1">
      <c r="A72" s="63" t="s">
        <v>62</v>
      </c>
      <c r="B72" s="83">
        <f ca="1">SUM(B69:B71)</f>
        <v>195651348.94499999</v>
      </c>
      <c r="C72" s="83">
        <f ca="1">SUM(C69:C71)</f>
        <v>191071497.07500002</v>
      </c>
      <c r="D72" s="83">
        <f ca="1">SUM(D69:D71)</f>
        <v>182010391.31999999</v>
      </c>
      <c r="E72" s="85">
        <f t="shared" si="4"/>
        <v>-13640957.625</v>
      </c>
      <c r="F72" s="312">
        <f t="shared" si="5"/>
        <v>-6.972074406108307E-2</v>
      </c>
    </row>
    <row r="73" spans="1:6" ht="34.5" customHeight="1">
      <c r="A73" s="57" t="s">
        <v>63</v>
      </c>
      <c r="B73" s="81">
        <f ca="1">'Total 4YR'!B73+'Total 2YR'!B73</f>
        <v>13533128.510000002</v>
      </c>
      <c r="C73" s="81">
        <f ca="1">'Total 4YR'!C73+'Total 2YR'!C73</f>
        <v>13466825.640000001</v>
      </c>
      <c r="D73" s="81">
        <f ca="1">'Total 4YR'!D73+'Total 2YR'!D73</f>
        <v>11334069</v>
      </c>
      <c r="E73" s="79">
        <f t="shared" si="4"/>
        <v>-2199059.5100000016</v>
      </c>
      <c r="F73" s="310">
        <f t="shared" si="5"/>
        <v>-0.16249454133056196</v>
      </c>
    </row>
    <row r="74" spans="1:6" ht="34.5" customHeight="1">
      <c r="A74" s="57" t="s">
        <v>64</v>
      </c>
      <c r="B74" s="81">
        <f ca="1">'Total 4YR'!B74+'Total 2YR'!B74</f>
        <v>171171437.56</v>
      </c>
      <c r="C74" s="81">
        <f ca="1">'Total 4YR'!C74+'Total 2YR'!C74</f>
        <v>163626954.05000001</v>
      </c>
      <c r="D74" s="81">
        <f ca="1">'Total 4YR'!D74+'Total 2YR'!D74</f>
        <v>164460432.72</v>
      </c>
      <c r="E74" s="79">
        <f t="shared" si="4"/>
        <v>-6711004.8400000036</v>
      </c>
      <c r="F74" s="310">
        <f t="shared" si="5"/>
        <v>-3.9206335681136191E-2</v>
      </c>
    </row>
    <row r="75" spans="1:6" ht="35.25" customHeight="1">
      <c r="A75" s="57" t="s">
        <v>65</v>
      </c>
      <c r="B75" s="81">
        <f ca="1">'Total 4YR'!B75+'Total 2YR'!B75</f>
        <v>56911</v>
      </c>
      <c r="C75" s="81">
        <f ca="1">'Total 4YR'!C75+'Total 2YR'!C75</f>
        <v>75542</v>
      </c>
      <c r="D75" s="81">
        <f ca="1">'Total 4YR'!D75+'Total 2YR'!D75</f>
        <v>75542</v>
      </c>
      <c r="E75" s="79">
        <f t="shared" si="4"/>
        <v>18631</v>
      </c>
      <c r="F75" s="310">
        <f t="shared" si="5"/>
        <v>0.32737080704960375</v>
      </c>
    </row>
    <row r="76" spans="1:6" ht="34.5" customHeight="1">
      <c r="A76" s="57" t="s">
        <v>66</v>
      </c>
      <c r="B76" s="81">
        <f ca="1">'Total 4YR'!B76+'Total 2YR'!B76</f>
        <v>30606690.039999999</v>
      </c>
      <c r="C76" s="81">
        <f ca="1">'Total 4YR'!C76+'Total 2YR'!C76</f>
        <v>29997202.59</v>
      </c>
      <c r="D76" s="81">
        <f ca="1">'Total 4YR'!D76+'Total 2YR'!D76</f>
        <v>29727865</v>
      </c>
      <c r="E76" s="79">
        <f t="shared" si="4"/>
        <v>-878825.03999999911</v>
      </c>
      <c r="F76" s="310">
        <f t="shared" si="5"/>
        <v>-2.8713494953275225E-2</v>
      </c>
    </row>
    <row r="77" spans="1:6" ht="34.5" customHeight="1">
      <c r="A77" s="63" t="s">
        <v>67</v>
      </c>
      <c r="B77" s="83">
        <f ca="1">SUM(B73:B76)</f>
        <v>215368167.10999998</v>
      </c>
      <c r="C77" s="83">
        <f ca="1">SUM(C73:C76)</f>
        <v>207166524.28</v>
      </c>
      <c r="D77" s="83">
        <f ca="1">SUM(D73:D76)</f>
        <v>205597908.72</v>
      </c>
      <c r="E77" s="85">
        <f t="shared" si="4"/>
        <v>-9770258.3899999857</v>
      </c>
      <c r="F77" s="312">
        <f t="shared" si="5"/>
        <v>-4.5365378370935364E-2</v>
      </c>
    </row>
    <row r="78" spans="1:6" ht="34.5" customHeight="1">
      <c r="A78" s="69" t="s">
        <v>68</v>
      </c>
      <c r="B78" s="81">
        <f ca="1">'Total 4YR'!B78+'Total 2YR'!B78</f>
        <v>21646437.109999999</v>
      </c>
      <c r="C78" s="81">
        <f ca="1">'Total 4YR'!C78+'Total 2YR'!C78</f>
        <v>29063748.59</v>
      </c>
      <c r="D78" s="81">
        <f ca="1">'Total 4YR'!D78+'Total 2YR'!D78</f>
        <v>21608177</v>
      </c>
      <c r="E78" s="79">
        <f t="shared" si="4"/>
        <v>-38260.109999999404</v>
      </c>
      <c r="F78" s="310">
        <f t="shared" si="5"/>
        <v>-1.7675014971551318E-3</v>
      </c>
    </row>
    <row r="79" spans="1:6" ht="35.25" customHeight="1">
      <c r="A79" s="69" t="s">
        <v>69</v>
      </c>
      <c r="B79" s="80">
        <f ca="1">'Total 4YR'!B79+'Total 2YR'!B79</f>
        <v>13581237.220000001</v>
      </c>
      <c r="C79" s="80">
        <f ca="1">'Total 4YR'!C79+'Total 2YR'!C79</f>
        <v>14934429</v>
      </c>
      <c r="D79" s="80">
        <f ca="1">'Total 4YR'!D79+'Total 2YR'!D79</f>
        <v>12299682</v>
      </c>
      <c r="E79" s="79">
        <f t="shared" si="4"/>
        <v>-1281555.2200000007</v>
      </c>
      <c r="F79" s="310">
        <f t="shared" si="5"/>
        <v>-9.4362185067554588E-2</v>
      </c>
    </row>
    <row r="80" spans="1:6" ht="35.25" customHeight="1">
      <c r="A80" s="103" t="s">
        <v>70</v>
      </c>
      <c r="B80" s="80">
        <f ca="1">'Total 4YR'!B80+'Total 2YR'!B80</f>
        <v>4851232.5</v>
      </c>
      <c r="C80" s="80">
        <f ca="1">'Total 4YR'!C80+'Total 2YR'!C80</f>
        <v>2709552.5</v>
      </c>
      <c r="D80" s="80">
        <f ca="1">'Total 4YR'!D80+'Total 2YR'!D80</f>
        <v>3645647.46</v>
      </c>
      <c r="E80" s="79">
        <f t="shared" si="4"/>
        <v>-1205585.04</v>
      </c>
      <c r="F80" s="310">
        <f t="shared" si="5"/>
        <v>-0.24851108249295412</v>
      </c>
    </row>
    <row r="81" spans="1:6" ht="38.25" customHeight="1">
      <c r="A81" s="32" t="s">
        <v>71</v>
      </c>
      <c r="B81" s="94">
        <f>SUM(B78:B80)</f>
        <v>40078906.829999998</v>
      </c>
      <c r="C81" s="94">
        <f>SUM(C78:C80)</f>
        <v>46707730.090000004</v>
      </c>
      <c r="D81" s="94">
        <f>SUM(D78:D80)</f>
        <v>37553506.460000001</v>
      </c>
      <c r="E81" s="85">
        <f t="shared" si="4"/>
        <v>-2525400.3699999973</v>
      </c>
      <c r="F81" s="312">
        <f t="shared" si="5"/>
        <v>-6.3010709865711112E-2</v>
      </c>
    </row>
    <row r="82" spans="1:6" ht="36" thickBot="1">
      <c r="A82" s="440" t="s">
        <v>53</v>
      </c>
      <c r="B82" s="441">
        <f>+B81+B77+B72+B68+4</f>
        <v>1716156721.0350001</v>
      </c>
      <c r="C82" s="441">
        <f>+C81+C77+C72+C68+7</f>
        <v>1748715867.3250003</v>
      </c>
      <c r="D82" s="441">
        <f>+D81+D77+D72+D68+13</f>
        <v>1697508365.3627963</v>
      </c>
      <c r="E82" s="85">
        <f t="shared" si="4"/>
        <v>-18648355.672203779</v>
      </c>
      <c r="F82" s="461">
        <f t="shared" si="5"/>
        <v>-1.0866347719663452E-2</v>
      </c>
    </row>
    <row r="83" spans="1:6" s="448" customFormat="1" ht="52.5" customHeight="1">
      <c r="A83" s="445"/>
      <c r="B83" s="446"/>
      <c r="C83" s="446"/>
      <c r="D83" s="446"/>
      <c r="E83" s="446"/>
      <c r="F83" s="447"/>
    </row>
    <row r="84" spans="1:6" s="448" customFormat="1" ht="52.5" customHeight="1">
      <c r="A84" s="73" t="s">
        <v>99</v>
      </c>
      <c r="B84" s="446"/>
      <c r="C84" s="446"/>
      <c r="D84" s="446"/>
      <c r="E84" s="446"/>
      <c r="F84" s="447"/>
    </row>
    <row r="85" spans="1:6" ht="42.75" customHeight="1">
      <c r="A85" s="73" t="s">
        <v>72</v>
      </c>
      <c r="B85" s="15"/>
      <c r="C85" s="15"/>
      <c r="D85" s="15"/>
      <c r="E85" s="15"/>
      <c r="F85" s="320"/>
    </row>
    <row r="86" spans="1:6" ht="15" customHeight="1">
      <c r="A86" s="15"/>
      <c r="B86" s="15"/>
      <c r="C86" s="15"/>
      <c r="D86" s="15"/>
      <c r="E86" s="15"/>
      <c r="F86" s="320"/>
    </row>
    <row r="87" spans="1:6" ht="15" customHeight="1">
      <c r="A87" s="15"/>
      <c r="B87" s="15"/>
      <c r="C87" s="15"/>
      <c r="D87" s="15"/>
      <c r="E87" s="15"/>
      <c r="F87" s="320"/>
    </row>
    <row r="88" spans="1:6" ht="15" customHeight="1">
      <c r="A88" s="15"/>
      <c r="B88" s="15"/>
      <c r="C88" s="15"/>
      <c r="D88" s="15"/>
      <c r="E88" s="15"/>
      <c r="F88" s="320"/>
    </row>
    <row r="89" spans="1:6" ht="15" customHeight="1">
      <c r="A89" s="15"/>
      <c r="B89" s="15"/>
      <c r="C89" s="15"/>
      <c r="D89" s="15"/>
      <c r="E89" s="15"/>
      <c r="F89" s="320"/>
    </row>
  </sheetData>
  <phoneticPr fontId="28" type="noConversion"/>
  <printOptions horizontalCentered="1"/>
  <pageMargins left="0.45" right="0.45" top="0.5" bottom="0.5" header="0.3" footer="0.3"/>
  <pageSetup scale="24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0"/>
  <sheetViews>
    <sheetView zoomScale="30" workbookViewId="0">
      <selection activeCell="Q11" sqref="Q11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307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198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155</v>
      </c>
      <c r="B8" s="92">
        <v>15355749</v>
      </c>
      <c r="C8" s="92">
        <v>15355749</v>
      </c>
      <c r="D8" s="92">
        <v>10911510</v>
      </c>
      <c r="E8" s="178">
        <f>D8-B8</f>
        <v>-4444239</v>
      </c>
      <c r="F8" s="355">
        <f>IF(ISBLANK(E8),"  ",IF(B8&gt;0,E8/B8,IF(E8&gt;0,1,0)))</f>
        <v>-0.28941857541432853</v>
      </c>
      <c r="G8" s="24"/>
      <c r="H8" s="24"/>
      <c r="I8" s="24"/>
      <c r="J8" s="24"/>
    </row>
    <row r="9" spans="1:10" ht="34.5">
      <c r="A9" s="153" t="s">
        <v>156</v>
      </c>
      <c r="B9" s="93">
        <v>0</v>
      </c>
      <c r="C9" s="93">
        <v>0</v>
      </c>
      <c r="D9" s="93">
        <v>958878</v>
      </c>
      <c r="E9" s="178">
        <f>D9-B9</f>
        <v>958878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157</v>
      </c>
      <c r="B10" s="93"/>
      <c r="C10" s="93"/>
      <c r="D10" s="93"/>
      <c r="E10" s="93"/>
      <c r="F10" s="369" t="str">
        <f t="shared" si="0"/>
        <v xml:space="preserve">  </v>
      </c>
      <c r="G10" s="24"/>
      <c r="H10" s="24"/>
      <c r="I10" s="24"/>
      <c r="J10" s="24"/>
    </row>
    <row r="11" spans="1:10" ht="34.5">
      <c r="A11" s="30" t="s">
        <v>199</v>
      </c>
      <c r="B11" s="93">
        <v>0</v>
      </c>
      <c r="C11" s="93">
        <v>0</v>
      </c>
      <c r="D11" s="93">
        <v>81117</v>
      </c>
      <c r="E11" s="93">
        <f>D11-B11</f>
        <v>81117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200</v>
      </c>
      <c r="B12" s="93">
        <v>398569</v>
      </c>
      <c r="C12" s="93">
        <v>410941</v>
      </c>
      <c r="D12" s="93">
        <v>355520</v>
      </c>
      <c r="E12" s="93">
        <f>D12-B12</f>
        <v>-43049</v>
      </c>
      <c r="F12" s="369">
        <f t="shared" si="0"/>
        <v>-0.10800890184635534</v>
      </c>
      <c r="G12" s="24"/>
      <c r="H12" s="24"/>
      <c r="I12" s="24"/>
      <c r="J12" s="24"/>
    </row>
    <row r="13" spans="1:10" ht="34.5">
      <c r="A13" s="31" t="s">
        <v>201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202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203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204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205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</row>
    <row r="18" spans="1:8" ht="34.5">
      <c r="A18" s="31" t="s">
        <v>206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8" ht="34.5">
      <c r="A19" s="31" t="s">
        <v>207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8" ht="34.5">
      <c r="A20" s="31" t="s">
        <v>208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8" ht="34.5">
      <c r="A21" s="31" t="s">
        <v>209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8" ht="34.5">
      <c r="A22" s="31" t="s">
        <v>210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8" ht="34.5">
      <c r="A23" s="31" t="s">
        <v>211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8" ht="34.5">
      <c r="A24" s="31" t="s">
        <v>212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8" ht="35.25">
      <c r="A25" s="117" t="s">
        <v>213</v>
      </c>
      <c r="B25" s="116"/>
      <c r="C25" s="116"/>
      <c r="D25" s="116"/>
      <c r="E25" s="116"/>
      <c r="F25" s="369" t="str">
        <f t="shared" si="0"/>
        <v xml:space="preserve">  </v>
      </c>
      <c r="G25" s="24"/>
      <c r="H25" s="24"/>
    </row>
    <row r="26" spans="1:8" ht="35.25">
      <c r="A26" s="114" t="s">
        <v>214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8" ht="35.25">
      <c r="A27" s="117" t="s">
        <v>215</v>
      </c>
      <c r="B27" s="116"/>
      <c r="C27" s="116"/>
      <c r="D27" s="116"/>
      <c r="E27" s="116"/>
      <c r="F27" s="369" t="str">
        <f t="shared" si="0"/>
        <v xml:space="preserve">  </v>
      </c>
      <c r="G27" s="24"/>
      <c r="H27" s="24"/>
    </row>
    <row r="28" spans="1:8" ht="35.25">
      <c r="A28" s="114" t="s">
        <v>216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8" ht="34.5">
      <c r="A29" s="31" t="s">
        <v>215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8" ht="42.75" customHeight="1">
      <c r="A30" s="117" t="s">
        <v>217</v>
      </c>
      <c r="B30" s="94"/>
      <c r="C30" s="94"/>
      <c r="D30" s="94"/>
      <c r="E30" s="94"/>
      <c r="F30" s="369" t="str">
        <f t="shared" si="0"/>
        <v xml:space="preserve">  </v>
      </c>
      <c r="G30" s="24"/>
      <c r="H30" s="24"/>
    </row>
    <row r="31" spans="1:8" ht="42.75" customHeight="1">
      <c r="A31" s="121" t="s">
        <v>33</v>
      </c>
      <c r="B31" s="393">
        <f>SUM(B8:B30)</f>
        <v>15754318</v>
      </c>
      <c r="C31" s="393">
        <f>SUM(C8:C30)</f>
        <v>15766690</v>
      </c>
      <c r="D31" s="393">
        <f>SUM(D8:D30)</f>
        <v>12307025</v>
      </c>
      <c r="E31" s="393">
        <f>SUM(E8:E30)</f>
        <v>-3447293</v>
      </c>
      <c r="F31" s="390">
        <f t="shared" si="0"/>
        <v>-0.2188157557820021</v>
      </c>
      <c r="G31" s="24"/>
      <c r="H31" s="24"/>
    </row>
    <row r="32" spans="1:8" ht="35.25">
      <c r="A32" s="132"/>
      <c r="B32" s="140"/>
      <c r="C32" s="140"/>
      <c r="D32" s="140"/>
      <c r="E32" s="140"/>
      <c r="F32" s="357" t="str">
        <f>IF(ISBLANK(E32),"  ",IF(C32&gt;0,E32/C32,IF(E32&gt;0,1,0)))</f>
        <v xml:space="preserve">  </v>
      </c>
      <c r="G32" s="24"/>
      <c r="H32" s="24"/>
    </row>
    <row r="33" spans="1:8" ht="35.25">
      <c r="A33" s="294" t="s">
        <v>34</v>
      </c>
      <c r="B33" s="395"/>
      <c r="C33" s="395"/>
      <c r="D33" s="395"/>
      <c r="E33" s="396"/>
      <c r="F33" s="397" t="str">
        <f>IF(ISBLANK(E33),"  ",IF(B33&gt;0,E33/B33,IF(E33&gt;0,1,0)))</f>
        <v xml:space="preserve">  </v>
      </c>
      <c r="G33" s="24"/>
      <c r="H33" s="24"/>
    </row>
    <row r="34" spans="1:8" ht="35.25">
      <c r="A34" s="32"/>
      <c r="B34" s="94"/>
      <c r="C34" s="116"/>
      <c r="D34" s="116"/>
      <c r="E34" s="116"/>
      <c r="F34" s="345" t="str">
        <f>IF(ISBLANK(E34),"  ",IF(C34&gt;0,E34/C34,IF(E34&gt;0,1,0)))</f>
        <v xml:space="preserve">  </v>
      </c>
      <c r="G34" s="24"/>
      <c r="H34" s="24"/>
    </row>
    <row r="35" spans="1:8" ht="35.25">
      <c r="A35" s="294" t="s">
        <v>36</v>
      </c>
      <c r="B35" s="398"/>
      <c r="C35" s="398"/>
      <c r="D35" s="398"/>
      <c r="E35" s="398"/>
      <c r="F35" s="397" t="str">
        <f>IF(ISBLANK(E35),"  ",IF(B35&gt;0,E35/B35,IF(E35&gt;0,1,0)))</f>
        <v xml:space="preserve">  </v>
      </c>
      <c r="G35" s="24"/>
      <c r="H35" s="24"/>
    </row>
    <row r="36" spans="1:8" ht="35.25">
      <c r="A36" s="114"/>
      <c r="B36" s="94"/>
      <c r="C36" s="94"/>
      <c r="D36" s="94"/>
      <c r="E36" s="94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7" t="s">
        <v>107</v>
      </c>
      <c r="B37" s="147">
        <v>0</v>
      </c>
      <c r="C37" s="147">
        <v>0</v>
      </c>
      <c r="D37" s="147">
        <v>1709724</v>
      </c>
      <c r="E37" s="147">
        <f>D37-B37</f>
        <v>1709724</v>
      </c>
      <c r="F37" s="399">
        <f>IF(ISBLANK(E37),"  ",IF(B37&gt;0,E37/B37,IF(E37&gt;0,1,0)))</f>
        <v>1</v>
      </c>
      <c r="G37" s="24"/>
      <c r="H37" s="24"/>
    </row>
    <row r="38" spans="1:8" ht="35.25">
      <c r="A38" s="132"/>
      <c r="B38" s="133"/>
      <c r="C38" s="133"/>
      <c r="D38" s="133"/>
      <c r="E38" s="133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>7018450.12-1111</f>
        <v>7017339.1200000001</v>
      </c>
      <c r="C39" s="147">
        <v>7071492</v>
      </c>
      <c r="D39" s="147">
        <v>8625954</v>
      </c>
      <c r="E39" s="147">
        <f>D39-B39</f>
        <v>1608614.88</v>
      </c>
      <c r="F39" s="399">
        <f>IF(ISBLANK(E39),"  ",IF(B39&gt;0,E39/B39,IF(E39&gt;0,1,0)))</f>
        <v>0.22923430840264136</v>
      </c>
      <c r="G39" s="24"/>
      <c r="H39" s="24"/>
    </row>
    <row r="40" spans="1:8" ht="35.25">
      <c r="A40" s="132"/>
      <c r="B40" s="133"/>
      <c r="C40" s="133"/>
      <c r="D40" s="133"/>
      <c r="E40" s="133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97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130" t="s">
        <v>39</v>
      </c>
      <c r="B43" s="147">
        <f>SUM(B31:B39)</f>
        <v>22771657.120000001</v>
      </c>
      <c r="C43" s="147">
        <f>SUM(C31:C39)</f>
        <v>22838182</v>
      </c>
      <c r="D43" s="147">
        <f>SUM(D31:D39)</f>
        <v>22642703</v>
      </c>
      <c r="E43" s="147">
        <f>SUM(E31:E39)</f>
        <v>-128954.12000000011</v>
      </c>
      <c r="F43" s="399">
        <f>IF(ISBLANK(E43),"  ",IF(B43&gt;0,E43/B43,IF(E43&gt;0,1,0)))</f>
        <v>-5.6629220842580518E-3</v>
      </c>
      <c r="G43" s="24"/>
      <c r="H43" s="24"/>
    </row>
    <row r="44" spans="1:8" ht="35.25">
      <c r="A44" s="139"/>
      <c r="B44" s="133"/>
      <c r="C44" s="133"/>
      <c r="D44" s="133"/>
      <c r="E44" s="133" t="s">
        <v>35</v>
      </c>
      <c r="F44" s="343"/>
      <c r="G44" s="24"/>
      <c r="H44" s="24"/>
    </row>
    <row r="45" spans="1:8" ht="35.25">
      <c r="A45" s="172" t="s">
        <v>40</v>
      </c>
      <c r="B45" s="169"/>
      <c r="C45" s="169"/>
      <c r="D45" s="169"/>
      <c r="E45" s="169" t="s">
        <v>35</v>
      </c>
      <c r="F45" s="397"/>
      <c r="G45" s="24"/>
      <c r="H45" s="24"/>
    </row>
    <row r="46" spans="1:8" ht="34.5">
      <c r="A46" s="155" t="s">
        <v>41</v>
      </c>
      <c r="B46" s="160">
        <v>10450642</v>
      </c>
      <c r="C46" s="160">
        <v>10722342</v>
      </c>
      <c r="D46" s="160">
        <v>10082882</v>
      </c>
      <c r="E46" s="160">
        <f>D46-B46</f>
        <v>-367760</v>
      </c>
      <c r="F46" s="369">
        <f t="shared" ref="F46:F59" si="1">IF(ISBLANK(E46),"  ",IF(B46&gt;0,E46/B46,IF(E46&gt;0,1,0)))</f>
        <v>-3.51901825744294E-2</v>
      </c>
      <c r="G46" s="24"/>
      <c r="H46" s="24"/>
    </row>
    <row r="47" spans="1:8" ht="35.25">
      <c r="A47" s="155" t="s">
        <v>42</v>
      </c>
      <c r="B47" s="284"/>
      <c r="C47" s="284"/>
      <c r="D47" s="284"/>
      <c r="E47" s="284"/>
      <c r="F47" s="369" t="str">
        <f t="shared" si="1"/>
        <v xml:space="preserve">  </v>
      </c>
      <c r="G47" s="24"/>
      <c r="H47" s="24"/>
    </row>
    <row r="48" spans="1:8" ht="34.5">
      <c r="A48" s="263" t="s">
        <v>43</v>
      </c>
      <c r="B48" s="264">
        <v>413574</v>
      </c>
      <c r="C48" s="264">
        <v>378253</v>
      </c>
      <c r="D48" s="264">
        <v>492248</v>
      </c>
      <c r="E48" s="264">
        <f t="shared" ref="E48:E53" si="2">D48-B48</f>
        <v>78674</v>
      </c>
      <c r="F48" s="369">
        <f t="shared" si="1"/>
        <v>0.19022955988529261</v>
      </c>
      <c r="G48" s="24"/>
      <c r="H48" s="24"/>
    </row>
    <row r="49" spans="1:8" ht="34.5">
      <c r="A49" s="168" t="s">
        <v>44</v>
      </c>
      <c r="B49" s="169">
        <v>2363386</v>
      </c>
      <c r="C49" s="169">
        <v>2209539</v>
      </c>
      <c r="D49" s="169">
        <v>2318638</v>
      </c>
      <c r="E49" s="169">
        <f t="shared" si="2"/>
        <v>-44748</v>
      </c>
      <c r="F49" s="369">
        <f t="shared" si="1"/>
        <v>-1.8933851685674706E-2</v>
      </c>
      <c r="G49" s="24"/>
      <c r="H49" s="24"/>
    </row>
    <row r="50" spans="1:8" ht="34.5">
      <c r="A50" s="155" t="s">
        <v>45</v>
      </c>
      <c r="B50" s="154">
        <v>1940681</v>
      </c>
      <c r="C50" s="154">
        <v>2062994</v>
      </c>
      <c r="D50" s="154">
        <v>1965303</v>
      </c>
      <c r="E50" s="154">
        <f t="shared" si="2"/>
        <v>24622</v>
      </c>
      <c r="F50" s="369">
        <f t="shared" si="1"/>
        <v>1.2687298942999905E-2</v>
      </c>
      <c r="G50" s="24"/>
      <c r="H50" s="24"/>
    </row>
    <row r="51" spans="1:8" ht="34.5">
      <c r="A51" s="156" t="s">
        <v>74</v>
      </c>
      <c r="B51" s="157">
        <v>3445587</v>
      </c>
      <c r="C51" s="157">
        <v>3405118</v>
      </c>
      <c r="D51" s="157">
        <v>3823165</v>
      </c>
      <c r="E51" s="157">
        <f t="shared" si="2"/>
        <v>377578</v>
      </c>
      <c r="F51" s="369">
        <f t="shared" si="1"/>
        <v>0.10958306959017433</v>
      </c>
      <c r="G51" s="24"/>
      <c r="H51" s="24"/>
    </row>
    <row r="52" spans="1:8" ht="34.5">
      <c r="A52" s="158" t="s">
        <v>46</v>
      </c>
      <c r="B52" s="159">
        <v>446439</v>
      </c>
      <c r="C52" s="159">
        <v>400000</v>
      </c>
      <c r="D52" s="159">
        <v>400000</v>
      </c>
      <c r="E52" s="159">
        <f t="shared" si="2"/>
        <v>-46439</v>
      </c>
      <c r="F52" s="369">
        <f t="shared" si="1"/>
        <v>-0.10402093007107353</v>
      </c>
      <c r="G52" s="24"/>
      <c r="H52" s="24"/>
    </row>
    <row r="53" spans="1:8" ht="34.5">
      <c r="A53" s="156" t="s">
        <v>47</v>
      </c>
      <c r="B53" s="157">
        <v>2856872</v>
      </c>
      <c r="C53" s="157">
        <v>3001450</v>
      </c>
      <c r="D53" s="157">
        <v>2798181</v>
      </c>
      <c r="E53" s="157">
        <f t="shared" si="2"/>
        <v>-58691</v>
      </c>
      <c r="F53" s="369">
        <f t="shared" si="1"/>
        <v>-2.0543797552007931E-2</v>
      </c>
      <c r="G53" s="24"/>
      <c r="H53" s="24"/>
    </row>
    <row r="54" spans="1:8" ht="35.25">
      <c r="A54" s="282" t="s">
        <v>143</v>
      </c>
      <c r="B54" s="268">
        <f>SUM(B46:B53)</f>
        <v>21917181</v>
      </c>
      <c r="C54" s="268">
        <f>SUM(C46:C53)</f>
        <v>22179696</v>
      </c>
      <c r="D54" s="268">
        <f>SUM(D46:D53)</f>
        <v>21880417</v>
      </c>
      <c r="E54" s="268">
        <f>SUM(E46:E53)</f>
        <v>-36764</v>
      </c>
      <c r="F54" s="390">
        <f t="shared" si="1"/>
        <v>-1.677405502103578E-3</v>
      </c>
      <c r="G54" s="24"/>
      <c r="H54" s="24"/>
    </row>
    <row r="55" spans="1:8" ht="34.5">
      <c r="A55" s="153" t="s">
        <v>49</v>
      </c>
      <c r="B55" s="160"/>
      <c r="C55" s="160"/>
      <c r="D55" s="160"/>
      <c r="E55" s="159"/>
      <c r="F55" s="369" t="str">
        <f t="shared" si="1"/>
        <v xml:space="preserve">  </v>
      </c>
      <c r="G55" s="24"/>
      <c r="H55" s="24"/>
    </row>
    <row r="56" spans="1:8" ht="34.5">
      <c r="A56" s="117" t="s">
        <v>50</v>
      </c>
      <c r="B56" s="118">
        <v>525422</v>
      </c>
      <c r="C56" s="118">
        <v>424986</v>
      </c>
      <c r="D56" s="118">
        <v>532684</v>
      </c>
      <c r="E56" s="128">
        <f>D56-B56</f>
        <v>7262</v>
      </c>
      <c r="F56" s="369">
        <f t="shared" si="1"/>
        <v>1.3821271282892608E-2</v>
      </c>
      <c r="G56" s="24"/>
      <c r="H56" s="24"/>
    </row>
    <row r="57" spans="1:8" ht="34.5">
      <c r="A57" s="117" t="s">
        <v>51</v>
      </c>
      <c r="B57" s="93">
        <v>329054</v>
      </c>
      <c r="C57" s="93">
        <v>233500</v>
      </c>
      <c r="D57" s="93">
        <v>229602</v>
      </c>
      <c r="E57" s="97">
        <f>D57-C57</f>
        <v>-3898</v>
      </c>
      <c r="F57" s="369">
        <f t="shared" si="1"/>
        <v>-1.1846079974715396E-2</v>
      </c>
      <c r="G57" s="24"/>
      <c r="H57" s="24"/>
    </row>
    <row r="58" spans="1:8" ht="34.5">
      <c r="A58" s="117" t="s">
        <v>52</v>
      </c>
      <c r="B58" s="118"/>
      <c r="C58" s="118"/>
      <c r="D58" s="118"/>
      <c r="E58" s="128"/>
      <c r="F58" s="369" t="str">
        <f t="shared" si="1"/>
        <v xml:space="preserve">  </v>
      </c>
      <c r="G58" s="24"/>
      <c r="H58" s="24"/>
    </row>
    <row r="59" spans="1:8" ht="35.25">
      <c r="A59" s="121" t="s">
        <v>53</v>
      </c>
      <c r="B59" s="122">
        <f>SUM(B54:B58)</f>
        <v>22771657</v>
      </c>
      <c r="C59" s="122">
        <f>SUM(C54:C58)</f>
        <v>22838182</v>
      </c>
      <c r="D59" s="122">
        <f>SUM(D54:D58)</f>
        <v>22642703</v>
      </c>
      <c r="E59" s="134">
        <f>SUM(E54:E58)</f>
        <v>-33400</v>
      </c>
      <c r="F59" s="390">
        <f t="shared" si="1"/>
        <v>-1.4667356003122654E-3</v>
      </c>
      <c r="G59" s="24"/>
      <c r="H59" s="24"/>
    </row>
    <row r="60" spans="1:8" ht="35.25">
      <c r="A60" s="119"/>
      <c r="B60" s="92"/>
      <c r="C60" s="92"/>
      <c r="D60" s="92"/>
      <c r="E60" s="98"/>
      <c r="F60" s="342" t="str">
        <f>IF(ISBLANK(E60),"  ",IF(C60&gt;0,E60/C60,IF(E60&gt;0,1,0)))</f>
        <v xml:space="preserve">  </v>
      </c>
      <c r="G60" s="24"/>
      <c r="H60" s="24"/>
    </row>
    <row r="61" spans="1:8" ht="34.5">
      <c r="A61" s="117" t="s">
        <v>54</v>
      </c>
      <c r="B61" s="118"/>
      <c r="C61" s="118"/>
      <c r="D61" s="118"/>
      <c r="E61" s="128"/>
      <c r="F61" s="367" t="str">
        <f>IF(ISBLANK(E61),"  ",IF(C61&gt;0,E61/C61,IF(E61&gt;0,1,0)))</f>
        <v xml:space="preserve">  </v>
      </c>
      <c r="G61" s="24"/>
      <c r="H61" s="24"/>
    </row>
    <row r="62" spans="1:8" ht="34.5">
      <c r="A62" s="279" t="s">
        <v>55</v>
      </c>
      <c r="B62" s="280">
        <v>13574228</v>
      </c>
      <c r="C62" s="280">
        <v>14032630</v>
      </c>
      <c r="D62" s="280">
        <v>13522346</v>
      </c>
      <c r="E62" s="281">
        <f>D62-B62</f>
        <v>-51882</v>
      </c>
      <c r="F62" s="397">
        <f t="shared" ref="F62:F79" si="3">IF(ISBLANK(E62),"  ",IF(B62&gt;0,E62/B62,IF(E62&gt;0,1,0)))</f>
        <v>-3.8220958127416159E-3</v>
      </c>
      <c r="G62" s="24"/>
      <c r="H62" s="24"/>
    </row>
    <row r="63" spans="1:8" ht="34.5">
      <c r="A63" s="176" t="s">
        <v>56</v>
      </c>
      <c r="B63" s="177">
        <v>1174631</v>
      </c>
      <c r="C63" s="177">
        <v>1106007</v>
      </c>
      <c r="D63" s="177">
        <v>884889</v>
      </c>
      <c r="E63" s="167">
        <f>D63-B63</f>
        <v>-289742</v>
      </c>
      <c r="F63" s="369">
        <f t="shared" si="3"/>
        <v>-0.24666639991622902</v>
      </c>
      <c r="G63" s="24"/>
      <c r="H63" s="24"/>
    </row>
    <row r="64" spans="1:8" ht="34.5">
      <c r="A64" s="151" t="s">
        <v>57</v>
      </c>
      <c r="B64" s="254">
        <v>3643810</v>
      </c>
      <c r="C64" s="254">
        <v>3779799</v>
      </c>
      <c r="D64" s="254">
        <v>3447842</v>
      </c>
      <c r="E64" s="166">
        <f>D64-B64</f>
        <v>-195968</v>
      </c>
      <c r="F64" s="369">
        <f t="shared" si="3"/>
        <v>-5.3781069814287791E-2</v>
      </c>
      <c r="G64" s="24"/>
      <c r="H64" s="24"/>
    </row>
    <row r="65" spans="1:8" ht="35.25">
      <c r="A65" s="400" t="s">
        <v>58</v>
      </c>
      <c r="B65" s="173">
        <f>SUM(B62:B64)</f>
        <v>18392669</v>
      </c>
      <c r="C65" s="173">
        <f>SUM(C62:C64)</f>
        <v>18918436</v>
      </c>
      <c r="D65" s="173">
        <v>17855077</v>
      </c>
      <c r="E65" s="174">
        <f>SUM(E62:E64)</f>
        <v>-537592</v>
      </c>
      <c r="F65" s="390">
        <f t="shared" si="3"/>
        <v>-2.9228601895679197E-2</v>
      </c>
      <c r="G65" s="24"/>
      <c r="H65" s="24"/>
    </row>
    <row r="66" spans="1:8" ht="34.5">
      <c r="A66" s="30" t="s">
        <v>59</v>
      </c>
      <c r="B66" s="92">
        <v>108591</v>
      </c>
      <c r="C66" s="92">
        <v>79595</v>
      </c>
      <c r="D66" s="92">
        <v>116657</v>
      </c>
      <c r="E66" s="98">
        <f>D66-B66</f>
        <v>8066</v>
      </c>
      <c r="F66" s="369">
        <f t="shared" si="3"/>
        <v>7.4278715547328969E-2</v>
      </c>
      <c r="G66" s="24"/>
      <c r="H66" s="24"/>
    </row>
    <row r="67" spans="1:8" ht="34.5">
      <c r="A67" s="117" t="s">
        <v>60</v>
      </c>
      <c r="B67" s="118">
        <v>1951539</v>
      </c>
      <c r="C67" s="118">
        <v>1880731</v>
      </c>
      <c r="D67" s="118">
        <v>2242700</v>
      </c>
      <c r="E67" s="128">
        <f>D67-B67</f>
        <v>291161</v>
      </c>
      <c r="F67" s="369">
        <f t="shared" si="3"/>
        <v>0.14919558358813223</v>
      </c>
      <c r="G67" s="24"/>
      <c r="H67" s="24"/>
    </row>
    <row r="68" spans="1:8" ht="34.5">
      <c r="A68" s="117" t="s">
        <v>61</v>
      </c>
      <c r="B68" s="118">
        <v>356149</v>
      </c>
      <c r="C68" s="118">
        <v>566971</v>
      </c>
      <c r="D68" s="118">
        <v>806674</v>
      </c>
      <c r="E68" s="128">
        <f>D68-B68</f>
        <v>450525</v>
      </c>
      <c r="F68" s="369">
        <f t="shared" si="3"/>
        <v>1.264990214769661</v>
      </c>
      <c r="G68" s="24"/>
      <c r="H68" s="24"/>
    </row>
    <row r="69" spans="1:8" ht="35.25">
      <c r="A69" s="175" t="s">
        <v>62</v>
      </c>
      <c r="B69" s="116">
        <f>SUM(B66:B68)</f>
        <v>2416279</v>
      </c>
      <c r="C69" s="116">
        <f>SUM(C66:C68)</f>
        <v>2527297</v>
      </c>
      <c r="D69" s="116">
        <v>3166031</v>
      </c>
      <c r="E69" s="127">
        <f>SUM(E66:E68)</f>
        <v>749752</v>
      </c>
      <c r="F69" s="390">
        <f t="shared" si="3"/>
        <v>0.31029198201035557</v>
      </c>
      <c r="G69" s="24"/>
      <c r="H69" s="24"/>
    </row>
    <row r="70" spans="1:8" ht="34.5">
      <c r="A70" s="151" t="s">
        <v>63</v>
      </c>
      <c r="B70" s="166">
        <v>388368</v>
      </c>
      <c r="C70" s="166">
        <v>215138</v>
      </c>
      <c r="D70" s="166">
        <v>341014</v>
      </c>
      <c r="E70" s="166">
        <f>D70-B70</f>
        <v>-47354</v>
      </c>
      <c r="F70" s="369">
        <f t="shared" si="3"/>
        <v>-0.12193074609648581</v>
      </c>
      <c r="G70" s="24"/>
      <c r="H70" s="24"/>
    </row>
    <row r="71" spans="1:8" ht="34.5">
      <c r="A71" s="151" t="s">
        <v>64</v>
      </c>
      <c r="B71" s="166">
        <v>680384</v>
      </c>
      <c r="C71" s="166">
        <v>457000</v>
      </c>
      <c r="D71" s="166">
        <v>418300</v>
      </c>
      <c r="E71" s="166">
        <f>D71-B71</f>
        <v>-262084</v>
      </c>
      <c r="F71" s="369">
        <f t="shared" si="3"/>
        <v>-0.38520012228388673</v>
      </c>
      <c r="G71" s="24"/>
      <c r="H71" s="24"/>
    </row>
    <row r="72" spans="1:8" ht="34.5">
      <c r="A72" s="176" t="s">
        <v>65</v>
      </c>
      <c r="B72" s="177"/>
      <c r="C72" s="177"/>
      <c r="D72" s="177"/>
      <c r="E72" s="177"/>
      <c r="F72" s="369" t="str">
        <f t="shared" si="3"/>
        <v xml:space="preserve">  </v>
      </c>
      <c r="G72" s="24"/>
      <c r="H72" s="24"/>
    </row>
    <row r="73" spans="1:8" ht="34.5">
      <c r="A73" s="117" t="s">
        <v>66</v>
      </c>
      <c r="B73" s="118">
        <v>854476</v>
      </c>
      <c r="C73" s="118">
        <v>658486</v>
      </c>
      <c r="D73" s="118">
        <v>762286</v>
      </c>
      <c r="E73" s="128">
        <f>D73-B73</f>
        <v>-92190</v>
      </c>
      <c r="F73" s="369">
        <f t="shared" si="3"/>
        <v>-0.10789068388111545</v>
      </c>
      <c r="G73" s="24"/>
      <c r="H73" s="24"/>
    </row>
    <row r="74" spans="1:8" ht="35.25">
      <c r="A74" s="114" t="s">
        <v>67</v>
      </c>
      <c r="B74" s="116">
        <f>SUM(B70:B73)</f>
        <v>1923228</v>
      </c>
      <c r="C74" s="116">
        <v>1330624</v>
      </c>
      <c r="D74" s="116">
        <v>1521600</v>
      </c>
      <c r="E74" s="127">
        <f>SUM(E70:E73)</f>
        <v>-401628</v>
      </c>
      <c r="F74" s="390">
        <f t="shared" si="3"/>
        <v>-0.20883015430307794</v>
      </c>
      <c r="G74" s="24"/>
      <c r="H74" s="24"/>
    </row>
    <row r="75" spans="1:8" ht="34.5">
      <c r="A75" s="126" t="s">
        <v>68</v>
      </c>
      <c r="B75" s="128">
        <v>21449</v>
      </c>
      <c r="C75" s="128">
        <v>46075</v>
      </c>
      <c r="D75" s="128">
        <v>57000</v>
      </c>
      <c r="E75" s="128">
        <f>D75-B75</f>
        <v>35551</v>
      </c>
      <c r="F75" s="369">
        <f t="shared" si="3"/>
        <v>1.6574665485570423</v>
      </c>
      <c r="G75" s="24"/>
      <c r="H75" s="24"/>
    </row>
    <row r="76" spans="1:8" ht="34.5">
      <c r="A76" s="117" t="s">
        <v>69</v>
      </c>
      <c r="B76" s="118">
        <v>18032</v>
      </c>
      <c r="C76" s="118">
        <v>15750</v>
      </c>
      <c r="D76" s="118">
        <v>42995</v>
      </c>
      <c r="E76" s="118">
        <f>D76-B76</f>
        <v>24963</v>
      </c>
      <c r="F76" s="369">
        <f t="shared" si="3"/>
        <v>1.3843722271517303</v>
      </c>
      <c r="G76" s="24"/>
      <c r="H76" s="24"/>
    </row>
    <row r="77" spans="1:8" ht="34.5">
      <c r="A77" s="117" t="s">
        <v>70</v>
      </c>
      <c r="B77" s="118"/>
      <c r="C77" s="118"/>
      <c r="D77" s="118"/>
      <c r="E77" s="118"/>
      <c r="F77" s="369" t="str">
        <f t="shared" si="3"/>
        <v xml:space="preserve">  </v>
      </c>
      <c r="G77" s="24"/>
      <c r="H77" s="24"/>
    </row>
    <row r="78" spans="1:8" ht="35.25">
      <c r="A78" s="114" t="s">
        <v>71</v>
      </c>
      <c r="B78" s="116">
        <f>SUM(B75:B77)</f>
        <v>39481</v>
      </c>
      <c r="C78" s="116">
        <f>SUM(C75:C77)</f>
        <v>61825</v>
      </c>
      <c r="D78" s="116">
        <f>SUM(D75:D77)</f>
        <v>99995</v>
      </c>
      <c r="E78" s="116">
        <f>SUM(E75:E77)</f>
        <v>60514</v>
      </c>
      <c r="F78" s="390">
        <f t="shared" si="3"/>
        <v>1.5327372660266965</v>
      </c>
      <c r="G78" s="24"/>
      <c r="H78" s="24"/>
    </row>
    <row r="79" spans="1:8" ht="36" thickBot="1">
      <c r="A79" s="164" t="s">
        <v>53</v>
      </c>
      <c r="B79" s="165">
        <f>B65+B69+B74+B78</f>
        <v>22771657</v>
      </c>
      <c r="C79" s="165">
        <f>SUM(C65+C69+C74+C78)</f>
        <v>22838182</v>
      </c>
      <c r="D79" s="165">
        <f>SUM(D65+D69+D74+D78)</f>
        <v>22642703</v>
      </c>
      <c r="E79" s="165">
        <f>SUM(E65+E69+E74+E78)</f>
        <v>-128954</v>
      </c>
      <c r="F79" s="348">
        <f t="shared" si="3"/>
        <v>-5.6629168443912536E-3</v>
      </c>
      <c r="G79" s="24"/>
      <c r="H79" s="24"/>
    </row>
    <row r="80" spans="1:8" ht="44.25">
      <c r="A80" s="262"/>
      <c r="B80" s="286"/>
      <c r="C80" s="286"/>
      <c r="D80" s="260"/>
      <c r="E80" s="260"/>
      <c r="F80" s="387"/>
      <c r="G80" s="24"/>
      <c r="H80" s="24"/>
    </row>
    <row r="81" spans="1:49" ht="44.25">
      <c r="A81" s="262" t="s">
        <v>96</v>
      </c>
      <c r="B81" s="286"/>
      <c r="C81" s="286"/>
      <c r="D81" s="260"/>
      <c r="E81" s="260"/>
      <c r="F81" s="387"/>
      <c r="G81" s="24"/>
      <c r="H81" s="24"/>
    </row>
    <row r="82" spans="1:49" ht="44.25">
      <c r="A82" s="262" t="s">
        <v>72</v>
      </c>
      <c r="B82" s="260"/>
      <c r="C82" s="260"/>
      <c r="D82" s="260"/>
      <c r="E82" s="260"/>
      <c r="F82" s="387"/>
      <c r="G82" s="24"/>
      <c r="H82" s="24"/>
    </row>
    <row r="83" spans="1:49" s="163" customFormat="1" ht="44.25">
      <c r="A83" s="262"/>
      <c r="B83" s="260"/>
      <c r="C83" s="260"/>
      <c r="D83" s="260"/>
      <c r="E83" s="260"/>
      <c r="F83" s="387"/>
    </row>
    <row r="84" spans="1:49" s="163" customFormat="1" ht="44.25">
      <c r="A84" s="261"/>
      <c r="B84" s="261"/>
      <c r="C84" s="261"/>
      <c r="D84" s="261"/>
      <c r="E84" s="261"/>
      <c r="F84" s="384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A87" s="179"/>
      <c r="B87" s="179"/>
      <c r="C87" s="179"/>
      <c r="D87" s="179"/>
      <c r="E87" s="179" t="s">
        <v>35</v>
      </c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F88" s="375"/>
    </row>
    <row r="89" spans="1:49" s="163" customFormat="1" ht="44.25">
      <c r="F89" s="375"/>
    </row>
    <row r="90" spans="1:49" s="163" customFormat="1" ht="44.25">
      <c r="F90" s="375"/>
    </row>
  </sheetData>
  <phoneticPr fontId="28" type="noConversion"/>
  <printOptions horizontalCentered="1"/>
  <pageMargins left="0.45" right="0.45" top="0.5" bottom="0.5" header="0.3" footer="0.3"/>
  <pageSetup scale="24"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30" workbookViewId="0">
      <selection activeCell="L77" sqref="L77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308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198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/>
      <c r="C7" s="92"/>
      <c r="D7" s="92"/>
      <c r="E7" s="178"/>
      <c r="F7" s="397"/>
      <c r="G7" s="24"/>
      <c r="H7" s="24"/>
      <c r="I7" s="24"/>
      <c r="J7" s="24"/>
    </row>
    <row r="8" spans="1:10" ht="34.5">
      <c r="A8" s="153" t="s">
        <v>14</v>
      </c>
      <c r="B8" s="93">
        <v>20914069</v>
      </c>
      <c r="C8" s="93">
        <v>20914069</v>
      </c>
      <c r="D8" s="93">
        <v>14914384</v>
      </c>
      <c r="E8" s="178">
        <f>D8-B8</f>
        <v>-5999685</v>
      </c>
      <c r="F8" s="397">
        <f>IF(ISBLANK(E8),"  ",IF(B8&gt;0,E8/B8,IF(E8&gt;0,1,0)))</f>
        <v>-0.28687315701215294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1278153</v>
      </c>
      <c r="E9" s="93">
        <f>D9-B9</f>
        <v>1278153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256432</v>
      </c>
      <c r="C10" s="93">
        <f>SUM(C11:C25)</f>
        <v>264392</v>
      </c>
      <c r="D10" s="93">
        <f>SUM(D11:D25)</f>
        <v>336862</v>
      </c>
      <c r="E10" s="93">
        <f>D10-B10</f>
        <v>80430</v>
      </c>
      <c r="F10" s="397">
        <f t="shared" si="0"/>
        <v>0.31365040244587261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108127</v>
      </c>
      <c r="E11" s="93">
        <f>D11-B11</f>
        <v>108127</v>
      </c>
      <c r="F11" s="397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256432</v>
      </c>
      <c r="C12" s="93">
        <v>264392</v>
      </c>
      <c r="D12" s="93">
        <v>228735</v>
      </c>
      <c r="E12" s="93">
        <f>D12-B12</f>
        <v>-27697</v>
      </c>
      <c r="F12" s="397">
        <f t="shared" si="0"/>
        <v>-0.10800914082485805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97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97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97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97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97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97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97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97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97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97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97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97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97" t="str">
        <f t="shared" si="0"/>
        <v xml:space="preserve">  </v>
      </c>
      <c r="G25" s="24"/>
      <c r="H25" s="24"/>
    </row>
    <row r="26" spans="1:8" ht="35.25">
      <c r="A26" s="114" t="s">
        <v>218</v>
      </c>
      <c r="B26" s="116"/>
      <c r="C26" s="116"/>
      <c r="D26" s="116"/>
      <c r="E26" s="116"/>
      <c r="F26" s="397" t="str">
        <f t="shared" si="0"/>
        <v xml:space="preserve">  </v>
      </c>
      <c r="G26" s="24"/>
      <c r="H26" s="24"/>
    </row>
    <row r="27" spans="1:8" ht="34.5">
      <c r="A27" s="117" t="s">
        <v>219</v>
      </c>
      <c r="B27" s="93"/>
      <c r="C27" s="93"/>
      <c r="D27" s="93"/>
      <c r="E27" s="93"/>
      <c r="F27" s="397" t="str">
        <f t="shared" si="0"/>
        <v xml:space="preserve">  </v>
      </c>
      <c r="G27" s="24"/>
      <c r="H27" s="24"/>
    </row>
    <row r="28" spans="1:8" ht="35.25">
      <c r="A28" s="114" t="s">
        <v>220</v>
      </c>
      <c r="B28" s="93"/>
      <c r="C28" s="93"/>
      <c r="D28" s="93"/>
      <c r="E28" s="93"/>
      <c r="F28" s="397" t="str">
        <f t="shared" si="0"/>
        <v xml:space="preserve">  </v>
      </c>
      <c r="G28" s="24"/>
      <c r="H28" s="24"/>
    </row>
    <row r="29" spans="1:8" ht="42.75" customHeight="1">
      <c r="A29" s="117" t="s">
        <v>219</v>
      </c>
      <c r="B29" s="94"/>
      <c r="C29" s="94"/>
      <c r="D29" s="94"/>
      <c r="E29" s="94"/>
      <c r="F29" s="397" t="str">
        <f t="shared" si="0"/>
        <v xml:space="preserve">  </v>
      </c>
      <c r="G29" s="24"/>
      <c r="H29" s="24"/>
    </row>
    <row r="30" spans="1:8" ht="42.75" customHeight="1">
      <c r="A30" s="279" t="s">
        <v>193</v>
      </c>
      <c r="B30" s="393"/>
      <c r="C30" s="393"/>
      <c r="D30" s="393"/>
      <c r="E30" s="393"/>
      <c r="F30" s="397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B30+B29+B27+B10+B9+B8</f>
        <v>21170501</v>
      </c>
      <c r="C31" s="403">
        <f>C30+C29+C27+C10+C9+C8</f>
        <v>21178461</v>
      </c>
      <c r="D31" s="403">
        <f>D30+D29+D27+D10+D9+D8</f>
        <v>16529399</v>
      </c>
      <c r="E31" s="403">
        <f>D31-B31</f>
        <v>-4641102</v>
      </c>
      <c r="F31" s="399">
        <f t="shared" si="0"/>
        <v>-0.21922494890413788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>IF(ISBLANK(E32),"  ",IF(C32&gt;0,E32/C32,IF(E32&gt;0,1,0)))</f>
        <v xml:space="preserve">  </v>
      </c>
      <c r="G32" s="24"/>
      <c r="H32" s="24"/>
    </row>
    <row r="33" spans="1:10" ht="35.25">
      <c r="A33" s="130" t="s">
        <v>34</v>
      </c>
      <c r="B33" s="147"/>
      <c r="C33" s="138"/>
      <c r="D33" s="138"/>
      <c r="E33" s="138"/>
      <c r="F33" s="399" t="str">
        <f>IF(ISBLANK(E33),"  ",IF(B33&gt;0,E33/B33,IF(E33&gt;0,1,0)))</f>
        <v xml:space="preserve">  </v>
      </c>
      <c r="G33" s="24"/>
      <c r="H33" s="24"/>
    </row>
    <row r="34" spans="1:10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10" ht="35.25">
      <c r="A35" s="137" t="s">
        <v>36</v>
      </c>
      <c r="B35" s="147"/>
      <c r="C35" s="147"/>
      <c r="D35" s="147"/>
      <c r="E35" s="147"/>
      <c r="F35" s="399" t="str">
        <f>IF(ISBLANK(E35),"  ",IF(B35&gt;0,E35/B35,IF(E35&gt;0,1,0)))</f>
        <v xml:space="preserve">  </v>
      </c>
      <c r="G35" s="24"/>
      <c r="H35" s="24"/>
    </row>
    <row r="36" spans="1:10" ht="35.25">
      <c r="A36" s="139" t="s">
        <v>35</v>
      </c>
      <c r="B36" s="133"/>
      <c r="C36" s="133"/>
      <c r="D36" s="133"/>
      <c r="E36" s="133"/>
      <c r="F36" s="356" t="str">
        <f>IF(ISBLANK(E36),"  ",IF(C36&gt;0,E36/C36,IF(E36&gt;0,1,0)))</f>
        <v xml:space="preserve">  </v>
      </c>
      <c r="G36" s="24"/>
      <c r="H36" s="24"/>
    </row>
    <row r="37" spans="1:10" ht="35.25">
      <c r="A37" s="130" t="s">
        <v>88</v>
      </c>
      <c r="B37" s="147">
        <v>0</v>
      </c>
      <c r="C37" s="147">
        <v>0</v>
      </c>
      <c r="D37" s="147">
        <v>2100337</v>
      </c>
      <c r="E37" s="147">
        <f>D37-B37</f>
        <v>2100337</v>
      </c>
      <c r="F37" s="399">
        <f>IF(ISBLANK(E37),"  ",IF(B37&gt;0,E37/B37,IF(E37&gt;0,1,0)))</f>
        <v>1</v>
      </c>
      <c r="G37" s="24"/>
      <c r="H37" s="24"/>
    </row>
    <row r="38" spans="1:10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10" ht="35.25">
      <c r="A39" s="130" t="s">
        <v>37</v>
      </c>
      <c r="B39" s="147">
        <v>9976863</v>
      </c>
      <c r="C39" s="147">
        <v>10637922</v>
      </c>
      <c r="D39" s="147">
        <v>11365849</v>
      </c>
      <c r="E39" s="147">
        <f>D39-B39</f>
        <v>1388986</v>
      </c>
      <c r="F39" s="399">
        <f>IF(ISBLANK(E39),"  ",IF(B39&gt;0,E39/B39,IF(E39&gt;0,1,0)))</f>
        <v>0.13922071496822197</v>
      </c>
      <c r="G39" s="24"/>
      <c r="H39" s="24"/>
    </row>
    <row r="40" spans="1:10" ht="35.25">
      <c r="A40" s="132" t="s">
        <v>35</v>
      </c>
      <c r="B40" s="133"/>
      <c r="C40" s="133"/>
      <c r="D40" s="133"/>
      <c r="E40" s="133"/>
      <c r="F40" s="356" t="str">
        <f>IF(ISBLANK(E40),"  ",IF(C40&gt;0,E40/C40,IF(E40&gt;0,1,0)))</f>
        <v xml:space="preserve">  </v>
      </c>
      <c r="G40" s="24"/>
      <c r="H40" s="24"/>
    </row>
    <row r="41" spans="1:10" ht="35.25">
      <c r="A41" s="130" t="s">
        <v>38</v>
      </c>
      <c r="B41" s="147"/>
      <c r="C41" s="147"/>
      <c r="D41" s="147"/>
      <c r="E41" s="147"/>
      <c r="F41" s="399" t="str">
        <f>IF(ISBLANK(E41),"  ",IF(B41&gt;0,E41/B41,IF(E41&gt;0,1,0)))</f>
        <v xml:space="preserve">  </v>
      </c>
      <c r="G41" s="24"/>
      <c r="H41" s="24"/>
    </row>
    <row r="42" spans="1:10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10" ht="35.25">
      <c r="A43" s="137" t="s">
        <v>39</v>
      </c>
      <c r="B43" s="147">
        <f>B41+B39+B37+B35+B31</f>
        <v>31147364</v>
      </c>
      <c r="C43" s="147">
        <f>C41+C39+C37+C35+C31</f>
        <v>31816383</v>
      </c>
      <c r="D43" s="147">
        <f>D41+D39+D37+D35+D31</f>
        <v>29995585</v>
      </c>
      <c r="E43" s="147">
        <f>D43-B43</f>
        <v>-1151779</v>
      </c>
      <c r="F43" s="399">
        <f>IF(ISBLANK(E43),"  ",IF(B43&gt;0,E43/B43,IF(E43&gt;0,1,0)))</f>
        <v>-3.6978378009773154E-2</v>
      </c>
      <c r="G43" s="24"/>
      <c r="H43" s="24"/>
    </row>
    <row r="44" spans="1:10" ht="35.25">
      <c r="A44" s="407"/>
      <c r="B44" s="408"/>
      <c r="C44" s="408"/>
      <c r="D44" s="408"/>
      <c r="E44" s="408"/>
      <c r="F44" s="383" t="str">
        <f>IF(ISBLANK(E44),"  ",IF(C44&gt;0,E44/C44,IF(E44&gt;0,1,0)))</f>
        <v xml:space="preserve">  </v>
      </c>
      <c r="G44" s="24"/>
      <c r="H44" s="24"/>
    </row>
    <row r="45" spans="1:10" ht="35.25">
      <c r="A45" s="298"/>
      <c r="B45" s="299"/>
      <c r="C45" s="299"/>
      <c r="D45" s="299"/>
      <c r="E45" s="299"/>
      <c r="F45" s="345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172" t="s">
        <v>40</v>
      </c>
      <c r="B46" s="401"/>
      <c r="C46" s="401"/>
      <c r="D46" s="401"/>
      <c r="E46" s="401"/>
      <c r="F46" s="399" t="str">
        <f>IF(ISBLANK(E46),"  ",IF(C46&gt;0,E46/C46,IF(E46&gt;0,1,0)))</f>
        <v xml:space="preserve">  </v>
      </c>
      <c r="G46" s="24"/>
      <c r="H46" s="24"/>
    </row>
    <row r="47" spans="1:10" ht="34.5">
      <c r="A47" s="263" t="s">
        <v>221</v>
      </c>
      <c r="B47" s="264">
        <v>11185153</v>
      </c>
      <c r="C47" s="264">
        <v>11240735</v>
      </c>
      <c r="D47" s="264">
        <v>11101934</v>
      </c>
      <c r="E47" s="264">
        <f>D47-B47</f>
        <v>-83219</v>
      </c>
      <c r="F47" s="397">
        <f t="shared" ref="F47:F60" si="1">IF(ISBLANK(E47),"  ",IF(B47&gt;0,E47/B47,IF(E47&gt;0,1,0)))</f>
        <v>-7.4401306803760303E-3</v>
      </c>
      <c r="G47" s="24"/>
      <c r="H47" s="24"/>
    </row>
    <row r="48" spans="1:10" ht="34.5">
      <c r="A48" s="168" t="s">
        <v>222</v>
      </c>
      <c r="B48" s="169"/>
      <c r="C48" s="169"/>
      <c r="D48" s="169"/>
      <c r="E48" s="169"/>
      <c r="F48" s="397" t="str">
        <f t="shared" si="1"/>
        <v xml:space="preserve">  </v>
      </c>
      <c r="G48" s="24"/>
      <c r="H48" s="24"/>
    </row>
    <row r="49" spans="1:8" ht="34.5">
      <c r="A49" s="155" t="s">
        <v>223</v>
      </c>
      <c r="B49" s="154"/>
      <c r="C49" s="154"/>
      <c r="D49" s="154"/>
      <c r="E49" s="154"/>
      <c r="F49" s="397" t="str">
        <f t="shared" si="1"/>
        <v xml:space="preserve">  </v>
      </c>
      <c r="G49" s="24"/>
      <c r="H49" s="24"/>
    </row>
    <row r="50" spans="1:8" ht="34.5">
      <c r="A50" s="156" t="s">
        <v>224</v>
      </c>
      <c r="B50" s="157">
        <v>4529664</v>
      </c>
      <c r="C50" s="157">
        <v>4545842</v>
      </c>
      <c r="D50" s="157">
        <v>4990785</v>
      </c>
      <c r="E50" s="157">
        <f t="shared" ref="E50:E55" si="2">D50-B50</f>
        <v>461121</v>
      </c>
      <c r="F50" s="397">
        <f t="shared" si="1"/>
        <v>0.10180026597999321</v>
      </c>
      <c r="G50" s="24"/>
      <c r="H50" s="24"/>
    </row>
    <row r="51" spans="1:8" ht="34.5">
      <c r="A51" s="158" t="s">
        <v>225</v>
      </c>
      <c r="B51" s="159">
        <v>2476131</v>
      </c>
      <c r="C51" s="159">
        <v>2512605</v>
      </c>
      <c r="D51" s="159">
        <v>2444142</v>
      </c>
      <c r="E51" s="159">
        <f t="shared" si="2"/>
        <v>-31989</v>
      </c>
      <c r="F51" s="397">
        <f t="shared" si="1"/>
        <v>-1.2918944918503908E-2</v>
      </c>
      <c r="G51" s="24"/>
      <c r="H51" s="24"/>
    </row>
    <row r="52" spans="1:8" ht="34.5">
      <c r="A52" s="156" t="s">
        <v>226</v>
      </c>
      <c r="B52" s="157">
        <v>7670338</v>
      </c>
      <c r="C52" s="157">
        <v>6710980</v>
      </c>
      <c r="D52" s="157">
        <v>6388030</v>
      </c>
      <c r="E52" s="157">
        <f t="shared" si="2"/>
        <v>-1282308</v>
      </c>
      <c r="F52" s="397">
        <f t="shared" si="1"/>
        <v>-0.16717750899634409</v>
      </c>
      <c r="G52" s="24"/>
      <c r="H52" s="24"/>
    </row>
    <row r="53" spans="1:8" ht="34.5">
      <c r="A53" s="156" t="s">
        <v>227</v>
      </c>
      <c r="B53" s="157">
        <v>210723</v>
      </c>
      <c r="C53" s="157">
        <v>205000</v>
      </c>
      <c r="D53" s="157">
        <v>205000</v>
      </c>
      <c r="E53" s="157">
        <f t="shared" si="2"/>
        <v>-5723</v>
      </c>
      <c r="F53" s="397">
        <f t="shared" si="1"/>
        <v>-2.7158876819331539E-2</v>
      </c>
      <c r="G53" s="24"/>
      <c r="H53" s="24"/>
    </row>
    <row r="54" spans="1:8" ht="34.5">
      <c r="A54" s="153" t="s">
        <v>228</v>
      </c>
      <c r="B54" s="160">
        <v>4367208</v>
      </c>
      <c r="C54" s="160">
        <v>5399307</v>
      </c>
      <c r="D54" s="160">
        <v>3936059</v>
      </c>
      <c r="E54" s="159">
        <f t="shared" si="2"/>
        <v>-431149</v>
      </c>
      <c r="F54" s="397">
        <f t="shared" si="1"/>
        <v>-9.872417343071363E-2</v>
      </c>
      <c r="G54" s="24"/>
      <c r="H54" s="24"/>
    </row>
    <row r="55" spans="1:8" ht="35.25">
      <c r="A55" s="114" t="s">
        <v>229</v>
      </c>
      <c r="B55" s="116">
        <f>SUM(B47:B54)</f>
        <v>30439217</v>
      </c>
      <c r="C55" s="116">
        <f>SUM(C47:C54)</f>
        <v>30614469</v>
      </c>
      <c r="D55" s="116">
        <f>SUM(D47:D54)</f>
        <v>29065950</v>
      </c>
      <c r="E55" s="127">
        <f t="shared" si="2"/>
        <v>-1373267</v>
      </c>
      <c r="F55" s="399">
        <f t="shared" si="1"/>
        <v>-4.5115056671792837E-2</v>
      </c>
      <c r="G55" s="24"/>
      <c r="H55" s="24"/>
    </row>
    <row r="56" spans="1:8" ht="34.5">
      <c r="A56" s="117" t="s">
        <v>230</v>
      </c>
      <c r="B56" s="93"/>
      <c r="C56" s="93"/>
      <c r="D56" s="93"/>
      <c r="E56" s="97"/>
      <c r="F56" s="397" t="str">
        <f t="shared" si="1"/>
        <v xml:space="preserve">  </v>
      </c>
      <c r="G56" s="24"/>
      <c r="H56" s="24"/>
    </row>
    <row r="57" spans="1:8" ht="34.5">
      <c r="A57" s="117" t="s">
        <v>231</v>
      </c>
      <c r="B57" s="118">
        <v>480617</v>
      </c>
      <c r="C57" s="118">
        <v>692936</v>
      </c>
      <c r="D57" s="118">
        <v>714001</v>
      </c>
      <c r="E57" s="128">
        <f>D57-B57</f>
        <v>233384</v>
      </c>
      <c r="F57" s="397">
        <f t="shared" si="1"/>
        <v>0.48559247800223465</v>
      </c>
      <c r="G57" s="24"/>
      <c r="H57" s="24"/>
    </row>
    <row r="58" spans="1:8" ht="34.5">
      <c r="A58" s="279" t="s">
        <v>232</v>
      </c>
      <c r="B58" s="280">
        <v>227530</v>
      </c>
      <c r="C58" s="280">
        <v>508979</v>
      </c>
      <c r="D58" s="280">
        <v>215634</v>
      </c>
      <c r="E58" s="281">
        <f>D58-B58</f>
        <v>-11896</v>
      </c>
      <c r="F58" s="397">
        <f t="shared" si="1"/>
        <v>-5.2283215400167012E-2</v>
      </c>
      <c r="G58" s="24"/>
      <c r="H58" s="24"/>
    </row>
    <row r="59" spans="1:8" ht="34.5">
      <c r="A59" s="176" t="s">
        <v>233</v>
      </c>
      <c r="B59" s="177"/>
      <c r="C59" s="177"/>
      <c r="D59" s="177"/>
      <c r="E59" s="167"/>
      <c r="F59" s="397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31147364</v>
      </c>
      <c r="C60" s="116">
        <f>C59+C58+C57+C56+C55</f>
        <v>31816384</v>
      </c>
      <c r="D60" s="116">
        <f>D59+D58+D57+D56+D55</f>
        <v>29995585</v>
      </c>
      <c r="E60" s="127">
        <f>D60-B60</f>
        <v>-1151779</v>
      </c>
      <c r="F60" s="399">
        <f t="shared" si="1"/>
        <v>-3.6978378009773154E-2</v>
      </c>
      <c r="G60" s="24"/>
      <c r="H60" s="24"/>
    </row>
    <row r="61" spans="1:8" ht="34.5">
      <c r="A61" s="117"/>
      <c r="B61" s="118"/>
      <c r="C61" s="118"/>
      <c r="D61" s="118"/>
      <c r="E61" s="128"/>
      <c r="F61" s="361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2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234</v>
      </c>
      <c r="B63" s="254">
        <f>8618260+2750073+1799071+3210651+732155+95543</f>
        <v>17205753</v>
      </c>
      <c r="C63" s="254">
        <v>17036445</v>
      </c>
      <c r="D63" s="254">
        <f>8971333+3588048+2070904+3775152+915274</f>
        <v>19320711</v>
      </c>
      <c r="E63" s="166">
        <f>D63-B63</f>
        <v>2114958</v>
      </c>
      <c r="F63" s="397">
        <f t="shared" ref="F63:F80" si="3">IF(ISBLANK(E63),"  ",IF(B63&gt;0,E63/B63,IF(E63&gt;0,1,0)))</f>
        <v>0.12292156001542043</v>
      </c>
      <c r="G63" s="24"/>
      <c r="H63" s="24"/>
    </row>
    <row r="64" spans="1:8" ht="34.5">
      <c r="A64" s="150" t="s">
        <v>235</v>
      </c>
      <c r="B64" s="254"/>
      <c r="C64" s="254"/>
      <c r="D64" s="254"/>
      <c r="E64" s="166"/>
      <c r="F64" s="397" t="str">
        <f t="shared" si="3"/>
        <v xml:space="preserve">  </v>
      </c>
      <c r="G64" s="24"/>
      <c r="H64" s="24"/>
    </row>
    <row r="65" spans="1:8" ht="34.5">
      <c r="A65" s="30" t="s">
        <v>236</v>
      </c>
      <c r="B65" s="92">
        <f>1896920+623259+478657+795572+205003+1913+21431</f>
        <v>4022755</v>
      </c>
      <c r="C65" s="92">
        <v>4094867</v>
      </c>
      <c r="D65" s="92">
        <f>2043151+877458+491106+962917+233395</f>
        <v>4608027</v>
      </c>
      <c r="E65" s="98">
        <f t="shared" ref="E65:E72" si="4">D65-B65</f>
        <v>585272</v>
      </c>
      <c r="F65" s="397">
        <f t="shared" si="3"/>
        <v>0.14549034181798295</v>
      </c>
      <c r="G65" s="24"/>
      <c r="H65" s="24"/>
    </row>
    <row r="66" spans="1:8" ht="35.25">
      <c r="A66" s="114" t="s">
        <v>58</v>
      </c>
      <c r="B66" s="116">
        <f>SUM(B63:B65)</f>
        <v>21228508</v>
      </c>
      <c r="C66" s="116">
        <f>SUM(C63:C65)</f>
        <v>21131312</v>
      </c>
      <c r="D66" s="116">
        <f>SUM(D63:D65)</f>
        <v>23928738</v>
      </c>
      <c r="E66" s="127">
        <f t="shared" si="4"/>
        <v>2700230</v>
      </c>
      <c r="F66" s="399">
        <f t="shared" si="3"/>
        <v>0.12719829391684051</v>
      </c>
      <c r="G66" s="24"/>
      <c r="H66" s="24"/>
    </row>
    <row r="67" spans="1:8" ht="34.5">
      <c r="A67" s="117" t="s">
        <v>237</v>
      </c>
      <c r="B67" s="118">
        <f>54296+44954+35023+143623+754</f>
        <v>278650</v>
      </c>
      <c r="C67" s="118">
        <v>340060</v>
      </c>
      <c r="D67" s="118">
        <f>17200+19487+25700+68000-2500</f>
        <v>127887</v>
      </c>
      <c r="E67" s="128">
        <f t="shared" si="4"/>
        <v>-150763</v>
      </c>
      <c r="F67" s="397">
        <f t="shared" si="3"/>
        <v>-0.54104790956396909</v>
      </c>
      <c r="G67" s="24"/>
      <c r="H67" s="24"/>
    </row>
    <row r="68" spans="1:8" ht="34.5">
      <c r="A68" s="126" t="s">
        <v>238</v>
      </c>
      <c r="B68" s="118">
        <f>124475+308088+50298+2246777+2941417+1060</f>
        <v>5672115</v>
      </c>
      <c r="C68" s="118">
        <v>6410882</v>
      </c>
      <c r="D68" s="118">
        <f>27921+300165+66238+997463+2909590-297500</f>
        <v>4003877</v>
      </c>
      <c r="E68" s="128">
        <f t="shared" si="4"/>
        <v>-1668238</v>
      </c>
      <c r="F68" s="397">
        <f t="shared" si="3"/>
        <v>-0.29411216098404208</v>
      </c>
      <c r="G68" s="24"/>
      <c r="H68" s="24"/>
    </row>
    <row r="69" spans="1:8" ht="34.5">
      <c r="A69" s="151" t="s">
        <v>239</v>
      </c>
      <c r="B69" s="166">
        <f>177954+106956+49967+375875+474868+73326</f>
        <v>1258946</v>
      </c>
      <c r="C69" s="166">
        <v>1039416</v>
      </c>
      <c r="D69" s="166">
        <f>22329+43143+5828+123666+79800</f>
        <v>274766</v>
      </c>
      <c r="E69" s="166">
        <f t="shared" si="4"/>
        <v>-984180</v>
      </c>
      <c r="F69" s="397">
        <f t="shared" si="3"/>
        <v>-0.78174917748656414</v>
      </c>
      <c r="G69" s="24"/>
      <c r="H69" s="24"/>
    </row>
    <row r="70" spans="1:8" ht="35.25">
      <c r="A70" s="265" t="s">
        <v>62</v>
      </c>
      <c r="B70" s="174">
        <f>SUM(B67:B69)</f>
        <v>7209711</v>
      </c>
      <c r="C70" s="174">
        <f>SUM(C67:C69)</f>
        <v>7790358</v>
      </c>
      <c r="D70" s="174">
        <f>SUM(D67:D69)</f>
        <v>4406530</v>
      </c>
      <c r="E70" s="174">
        <f t="shared" si="4"/>
        <v>-2803181</v>
      </c>
      <c r="F70" s="399">
        <f t="shared" si="3"/>
        <v>-0.38880629195816585</v>
      </c>
      <c r="G70" s="24"/>
      <c r="H70" s="24"/>
    </row>
    <row r="71" spans="1:8" ht="34.5">
      <c r="A71" s="176" t="s">
        <v>240</v>
      </c>
      <c r="B71" s="177">
        <f>52715+149091+356231</f>
        <v>558037</v>
      </c>
      <c r="C71" s="177">
        <v>492685</v>
      </c>
      <c r="D71" s="177">
        <f>20000+80300+202560</f>
        <v>302860</v>
      </c>
      <c r="E71" s="177">
        <f t="shared" si="4"/>
        <v>-255177</v>
      </c>
      <c r="F71" s="397">
        <f t="shared" si="3"/>
        <v>-0.45727613043579546</v>
      </c>
      <c r="G71" s="24"/>
      <c r="H71" s="24"/>
    </row>
    <row r="72" spans="1:8" ht="34.5">
      <c r="A72" s="117" t="s">
        <v>241</v>
      </c>
      <c r="B72" s="118">
        <f>418+8500+157675+155+208810</f>
        <v>375558</v>
      </c>
      <c r="C72" s="118">
        <v>980092</v>
      </c>
      <c r="D72" s="118">
        <f>258272+205000</f>
        <v>463272</v>
      </c>
      <c r="E72" s="128">
        <f t="shared" si="4"/>
        <v>87714</v>
      </c>
      <c r="F72" s="397">
        <f t="shared" si="3"/>
        <v>0.23355646797565224</v>
      </c>
      <c r="G72" s="24"/>
      <c r="H72" s="24"/>
    </row>
    <row r="73" spans="1:8" ht="34.5">
      <c r="A73" s="117" t="s">
        <v>242</v>
      </c>
      <c r="B73" s="118"/>
      <c r="C73" s="118"/>
      <c r="D73" s="118"/>
      <c r="E73" s="128"/>
      <c r="F73" s="397" t="str">
        <f t="shared" si="3"/>
        <v xml:space="preserve">  </v>
      </c>
      <c r="G73" s="24"/>
      <c r="H73" s="24"/>
    </row>
    <row r="74" spans="1:8" ht="34.5">
      <c r="A74" s="126" t="s">
        <v>243</v>
      </c>
      <c r="B74" s="128">
        <v>480617</v>
      </c>
      <c r="C74" s="128">
        <v>692936</v>
      </c>
      <c r="D74" s="128">
        <v>714001</v>
      </c>
      <c r="E74" s="128">
        <f>D74-B74</f>
        <v>233384</v>
      </c>
      <c r="F74" s="397">
        <f t="shared" si="3"/>
        <v>0.48559247800223465</v>
      </c>
      <c r="G74" s="24"/>
      <c r="H74" s="24"/>
    </row>
    <row r="75" spans="1:8" ht="35.25">
      <c r="A75" s="114" t="s">
        <v>67</v>
      </c>
      <c r="B75" s="116">
        <f>SUM(B71:B74)</f>
        <v>1414212</v>
      </c>
      <c r="C75" s="116">
        <f>SUM(C71:C74)</f>
        <v>2165713</v>
      </c>
      <c r="D75" s="116">
        <f>SUM(D71:D74)</f>
        <v>1480133</v>
      </c>
      <c r="E75" s="116">
        <f>D75-B75</f>
        <v>65921</v>
      </c>
      <c r="F75" s="399">
        <f t="shared" si="3"/>
        <v>4.6613237619253692E-2</v>
      </c>
      <c r="G75" s="24"/>
      <c r="H75" s="24"/>
    </row>
    <row r="76" spans="1:8" ht="34.5">
      <c r="A76" s="117" t="s">
        <v>244</v>
      </c>
      <c r="B76" s="118">
        <f>260115+217011+63115+383934+13610+35416</f>
        <v>973201</v>
      </c>
      <c r="C76" s="118">
        <v>595000</v>
      </c>
      <c r="D76" s="118">
        <v>98000</v>
      </c>
      <c r="E76" s="118">
        <f>D76-B76</f>
        <v>-875201</v>
      </c>
      <c r="F76" s="397">
        <f t="shared" si="3"/>
        <v>-0.89930137761880635</v>
      </c>
      <c r="G76" s="24"/>
      <c r="H76" s="24"/>
    </row>
    <row r="77" spans="1:8" ht="34.5">
      <c r="A77" s="117" t="s">
        <v>245</v>
      </c>
      <c r="B77" s="118">
        <v>321732</v>
      </c>
      <c r="C77" s="118">
        <v>134000</v>
      </c>
      <c r="D77" s="118">
        <v>82184</v>
      </c>
      <c r="E77" s="118">
        <f>D77-B77</f>
        <v>-239548</v>
      </c>
      <c r="F77" s="397">
        <f t="shared" si="3"/>
        <v>-0.74455758208695433</v>
      </c>
      <c r="G77" s="24"/>
      <c r="H77" s="24"/>
    </row>
    <row r="78" spans="1:8" ht="34.5">
      <c r="A78" s="150" t="s">
        <v>246</v>
      </c>
      <c r="B78" s="254"/>
      <c r="C78" s="254"/>
      <c r="D78" s="254"/>
      <c r="E78" s="254"/>
      <c r="F78" s="397" t="str">
        <f t="shared" si="3"/>
        <v xml:space="preserve">  </v>
      </c>
      <c r="G78" s="24"/>
      <c r="H78" s="24"/>
    </row>
    <row r="79" spans="1:8" ht="35.25">
      <c r="A79" s="119" t="s">
        <v>71</v>
      </c>
      <c r="B79" s="120">
        <f>SUM(B76:B78)</f>
        <v>1294933</v>
      </c>
      <c r="C79" s="120">
        <f>SUM(C76:C78)</f>
        <v>729000</v>
      </c>
      <c r="D79" s="120">
        <f>SUM(D76:D78)</f>
        <v>180184</v>
      </c>
      <c r="E79" s="120">
        <f>D79-B79</f>
        <v>-1114749</v>
      </c>
      <c r="F79" s="399">
        <f t="shared" si="3"/>
        <v>-0.86085457703217083</v>
      </c>
      <c r="G79" s="24"/>
      <c r="H79" s="24"/>
    </row>
    <row r="80" spans="1:8" ht="36" thickBot="1">
      <c r="A80" s="164" t="s">
        <v>53</v>
      </c>
      <c r="B80" s="165">
        <f>B79+B75+B70+B66</f>
        <v>31147364</v>
      </c>
      <c r="C80" s="165">
        <f>C79+C75+C70+C66</f>
        <v>31816383</v>
      </c>
      <c r="D80" s="165">
        <f>D79+D75+D70+D66</f>
        <v>29995585</v>
      </c>
      <c r="E80" s="165">
        <f>D80-B80</f>
        <v>-1151779</v>
      </c>
      <c r="F80" s="348">
        <f t="shared" si="3"/>
        <v>-3.6978378009773154E-2</v>
      </c>
      <c r="G80" s="24"/>
      <c r="H80" s="24"/>
    </row>
    <row r="81" spans="1:49" ht="44.25">
      <c r="A81" s="262"/>
      <c r="B81" s="260"/>
      <c r="C81" s="260"/>
      <c r="D81" s="260"/>
      <c r="E81" s="260"/>
      <c r="F81" s="387" t="s">
        <v>35</v>
      </c>
      <c r="G81" s="24"/>
      <c r="H81" s="24"/>
    </row>
    <row r="82" spans="1:49" ht="44.25">
      <c r="A82" s="262" t="s">
        <v>96</v>
      </c>
      <c r="B82" s="286"/>
      <c r="C82" s="286"/>
      <c r="D82" s="260"/>
      <c r="E82" s="260"/>
      <c r="F82" s="387"/>
      <c r="G82" s="24"/>
      <c r="H82" s="24"/>
    </row>
    <row r="83" spans="1:49" ht="44.25">
      <c r="A83" s="262" t="s">
        <v>72</v>
      </c>
      <c r="B83" s="260"/>
      <c r="C83" s="260"/>
      <c r="D83" s="260"/>
      <c r="E83" s="260"/>
      <c r="F83" s="387"/>
      <c r="G83" s="24"/>
      <c r="H83" s="24"/>
    </row>
    <row r="84" spans="1:49" s="163" customFormat="1" ht="44.25"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5"/>
  <sheetViews>
    <sheetView tabSelected="1" zoomScale="30" zoomScaleNormal="70" workbookViewId="0">
      <selection activeCell="F8" sqref="F8"/>
    </sheetView>
  </sheetViews>
  <sheetFormatPr defaultRowHeight="15"/>
  <cols>
    <col min="1" max="1" width="126.88671875" style="16" customWidth="1"/>
    <col min="2" max="2" width="35.3320312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309</v>
      </c>
      <c r="E1" s="141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29" t="s">
        <v>12</v>
      </c>
      <c r="B6" s="25"/>
      <c r="C6" s="25"/>
      <c r="D6" s="25"/>
      <c r="E6" s="25"/>
      <c r="F6" s="341"/>
      <c r="G6" s="24"/>
      <c r="H6" s="24"/>
      <c r="I6" s="24"/>
      <c r="J6" s="24"/>
    </row>
    <row r="7" spans="1:10" ht="35.25">
      <c r="A7" s="119" t="s">
        <v>13</v>
      </c>
      <c r="B7" s="92"/>
      <c r="C7" s="92"/>
      <c r="D7" s="92"/>
      <c r="E7" s="92"/>
      <c r="F7" s="342"/>
      <c r="G7" s="24"/>
      <c r="H7" s="24"/>
      <c r="I7" s="24"/>
      <c r="J7" s="24"/>
    </row>
    <row r="8" spans="1:10" ht="34.5">
      <c r="A8" s="30" t="s">
        <v>14</v>
      </c>
      <c r="B8" s="92">
        <f>+'[3]9-23-08'!$B$8</f>
        <v>5216950</v>
      </c>
      <c r="C8" s="92">
        <v>5216950</v>
      </c>
      <c r="D8" s="92">
        <f>+'[3]9-23-08'!$H$8</f>
        <v>3722395</v>
      </c>
      <c r="E8" s="178">
        <f>D8-B8</f>
        <v>-1494555</v>
      </c>
      <c r="F8" s="355">
        <f>IF(ISBLANK(E8),"  ",IF(B8&gt;0,E8/B8,IF(E8&gt;0,1,0)))</f>
        <v>-0.28648060648463181</v>
      </c>
      <c r="G8" s="24"/>
      <c r="H8" s="24"/>
      <c r="I8" s="24"/>
      <c r="J8" s="24"/>
    </row>
    <row r="9" spans="1:10" ht="34.5">
      <c r="A9" s="153" t="s">
        <v>261</v>
      </c>
      <c r="B9" s="93">
        <v>0</v>
      </c>
      <c r="C9" s="93">
        <v>0</v>
      </c>
      <c r="D9" s="93">
        <f>+'[3]9-23-08'!$H$9</f>
        <v>308477</v>
      </c>
      <c r="E9" s="178">
        <f>D9-B9</f>
        <v>308477</v>
      </c>
      <c r="F9" s="397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199330</v>
      </c>
      <c r="C10" s="93">
        <f>SUM(C11:C25)</f>
        <v>204485</v>
      </c>
      <c r="D10" s="93">
        <f>SUM(D11:D25)</f>
        <v>174237</v>
      </c>
      <c r="E10" s="93">
        <f>D10-B10</f>
        <v>-25093</v>
      </c>
      <c r="F10" s="369">
        <f t="shared" si="0"/>
        <v>-0.12588672051372096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f>+'[3]9-23-08'!$H$11</f>
        <v>26096</v>
      </c>
      <c r="E11" s="93">
        <f>D11-B11</f>
        <v>26096</v>
      </c>
      <c r="F11" s="369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+'[3]9-23-08'!$B$12</f>
        <v>166080</v>
      </c>
      <c r="C12" s="93">
        <f>163826+7409</f>
        <v>171235</v>
      </c>
      <c r="D12" s="93">
        <f>+'[3]9-23-08'!$H$12</f>
        <v>148141</v>
      </c>
      <c r="E12" s="93">
        <f>D12-B12</f>
        <v>-17939</v>
      </c>
      <c r="F12" s="369">
        <f t="shared" si="0"/>
        <v>-0.10801421001926782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69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69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69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69" t="str">
        <f t="shared" si="0"/>
        <v xml:space="preserve">  </v>
      </c>
      <c r="G16" s="24"/>
      <c r="H16" s="24"/>
      <c r="I16" s="24"/>
      <c r="J16" s="24"/>
    </row>
    <row r="17" spans="1:8" ht="34.5">
      <c r="A17" s="31" t="s">
        <v>22</v>
      </c>
      <c r="B17" s="93"/>
      <c r="C17" s="93"/>
      <c r="D17" s="93"/>
      <c r="E17" s="93"/>
      <c r="F17" s="369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69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69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69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69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69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69" t="str">
        <f t="shared" si="0"/>
        <v xml:space="preserve">  </v>
      </c>
      <c r="G23" s="24"/>
      <c r="H23" s="24"/>
    </row>
    <row r="24" spans="1:8" ht="34.5">
      <c r="A24" s="31" t="s">
        <v>90</v>
      </c>
      <c r="B24" s="93"/>
      <c r="C24" s="93"/>
      <c r="D24" s="93"/>
      <c r="E24" s="93"/>
      <c r="F24" s="369" t="str">
        <f t="shared" si="0"/>
        <v xml:space="preserve">  </v>
      </c>
      <c r="G24" s="24"/>
      <c r="H24" s="24"/>
    </row>
    <row r="25" spans="1:8" ht="34.5">
      <c r="A25" s="117" t="s">
        <v>80</v>
      </c>
      <c r="B25" s="93">
        <f>+'[3]9-23-08'!$B$25</f>
        <v>33250</v>
      </c>
      <c r="C25" s="93">
        <v>33250</v>
      </c>
      <c r="D25" s="93">
        <f>+'[3]9-23-08'!$H$25</f>
        <v>0</v>
      </c>
      <c r="E25" s="93">
        <f>D25-B25</f>
        <v>-33250</v>
      </c>
      <c r="F25" s="369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69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69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69" t="str">
        <f t="shared" si="0"/>
        <v xml:space="preserve">  </v>
      </c>
      <c r="G28" s="24"/>
      <c r="H28" s="24"/>
    </row>
    <row r="29" spans="1:8" ht="34.5">
      <c r="A29" s="31" t="s">
        <v>30</v>
      </c>
      <c r="B29" s="93"/>
      <c r="C29" s="93"/>
      <c r="D29" s="93"/>
      <c r="E29" s="93"/>
      <c r="F29" s="369" t="str">
        <f t="shared" si="0"/>
        <v xml:space="preserve">  </v>
      </c>
      <c r="G29" s="24"/>
      <c r="H29" s="24"/>
    </row>
    <row r="30" spans="1:8" ht="35.25">
      <c r="A30" s="117" t="s">
        <v>32</v>
      </c>
      <c r="B30" s="94"/>
      <c r="C30" s="94"/>
      <c r="D30" s="94"/>
      <c r="E30" s="118"/>
      <c r="F30" s="369" t="str">
        <f t="shared" si="0"/>
        <v xml:space="preserve">  </v>
      </c>
      <c r="G30" s="24"/>
      <c r="H30" s="24"/>
    </row>
    <row r="31" spans="1:8" ht="35.25">
      <c r="A31" s="146" t="s">
        <v>33</v>
      </c>
      <c r="B31" s="122">
        <f>B8+B10</f>
        <v>5416280</v>
      </c>
      <c r="C31" s="122">
        <f>C8+C10</f>
        <v>5421435</v>
      </c>
      <c r="D31" s="122">
        <f>D8+D10+D9</f>
        <v>4205109</v>
      </c>
      <c r="E31" s="122">
        <f>SUM(E8:E30)</f>
        <v>-1236264</v>
      </c>
      <c r="F31" s="390">
        <f t="shared" si="0"/>
        <v>-0.22824964735944228</v>
      </c>
      <c r="G31" s="24"/>
      <c r="H31" s="24"/>
    </row>
    <row r="32" spans="1:8" ht="35.25">
      <c r="A32" s="33"/>
      <c r="B32" s="92"/>
      <c r="C32" s="92"/>
      <c r="D32" s="92"/>
      <c r="E32" s="148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262</v>
      </c>
      <c r="B33" s="138"/>
      <c r="C33" s="138"/>
      <c r="D33" s="138"/>
      <c r="E33" s="120"/>
      <c r="F33" s="399" t="str">
        <f>IF(ISBLANK(E33),"  ",IF(B33&gt;0,E33/B33,IF(E33&gt;0,1,0)))</f>
        <v xml:space="preserve">  </v>
      </c>
      <c r="G33" s="24" t="s">
        <v>263</v>
      </c>
      <c r="H33" s="24"/>
    </row>
    <row r="34" spans="1:8" ht="35.25">
      <c r="A34" s="132"/>
      <c r="B34" s="140"/>
      <c r="C34" s="140"/>
      <c r="D34" s="140"/>
      <c r="E34" s="140"/>
      <c r="F34" s="357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99" t="str">
        <f>IF(ISBLANK(E35),"  ",IF(B35&gt;0,E35/B35,IF(E35&gt;0,1,0)))</f>
        <v xml:space="preserve">  </v>
      </c>
      <c r="G35" s="24"/>
      <c r="H35" s="24"/>
    </row>
    <row r="36" spans="1:8" ht="35.25">
      <c r="A36" s="30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153</v>
      </c>
      <c r="B37" s="147">
        <v>0</v>
      </c>
      <c r="C37" s="147">
        <v>0</v>
      </c>
      <c r="D37" s="147">
        <f>+'[3]9-23-08'!$H$39</f>
        <v>807766</v>
      </c>
      <c r="E37" s="147">
        <f>D37-B37</f>
        <v>807766</v>
      </c>
      <c r="F37" s="399">
        <f>IF(ISBLANK(E37),"  ",IF(B37&gt;0,E37/B37,IF(E37&gt;0,1,0)))</f>
        <v>1</v>
      </c>
      <c r="G37" s="24"/>
      <c r="H37" s="24"/>
    </row>
    <row r="38" spans="1:8" ht="35.25">
      <c r="A38" s="132"/>
      <c r="B38" s="133"/>
      <c r="C38" s="133"/>
      <c r="D38" s="133"/>
      <c r="E38" s="133"/>
      <c r="F38" s="345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f>+'[3]9-23-08'!$B$58</f>
        <v>2016347</v>
      </c>
      <c r="C39" s="147">
        <f>[4]A!$C$51</f>
        <v>2503230.8611958884</v>
      </c>
      <c r="D39" s="147">
        <f>+[4]A!$D$43</f>
        <v>3150268.0000000005</v>
      </c>
      <c r="E39" s="147">
        <f>D39-B39</f>
        <v>1133921.0000000005</v>
      </c>
      <c r="F39" s="399">
        <f>IF(ISBLANK(E39),"  ",IF(B39&gt;0,E39/B39,IF(E39&gt;0,1,0)))</f>
        <v>0.5623640177013185</v>
      </c>
      <c r="G39" s="24"/>
      <c r="H39" s="24"/>
    </row>
    <row r="40" spans="1:8" ht="35.25">
      <c r="A40" s="33"/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99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45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47">
        <f>B31+B35+B39+B41+B33+B37</f>
        <v>7432627</v>
      </c>
      <c r="C43" s="147">
        <f>C31+C35+C39+C41+C33+C37</f>
        <v>7924665.8611958884</v>
      </c>
      <c r="D43" s="147">
        <f>D31+D35+D39+D41+D33+D37</f>
        <v>8163143</v>
      </c>
      <c r="E43" s="147">
        <f>E31+E35+E39+E41+E33+E37</f>
        <v>705423.00000000047</v>
      </c>
      <c r="F43" s="399">
        <f>IF(ISBLANK(E43),"  ",IF(B43&gt;0,E43/B43,IF(E43&gt;0,1,0)))</f>
        <v>9.4908973637450184E-2</v>
      </c>
      <c r="G43" s="24"/>
      <c r="H43" s="24"/>
    </row>
    <row r="44" spans="1:8" ht="35.25">
      <c r="A44" s="119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119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</row>
    <row r="46" spans="1:8" ht="34.5">
      <c r="A46" s="269" t="s">
        <v>40</v>
      </c>
      <c r="B46" s="270"/>
      <c r="C46" s="270"/>
      <c r="D46" s="270"/>
      <c r="E46" s="270"/>
      <c r="F46" s="372" t="str">
        <f>IF(ISBLANK(E46),"  ",IF(C46&gt;0,E46/C46,IF(E46&gt;0,1,0)))</f>
        <v xml:space="preserve">  </v>
      </c>
      <c r="G46" s="24"/>
      <c r="H46" s="24"/>
    </row>
    <row r="47" spans="1:8" ht="34.5">
      <c r="A47" s="263" t="s">
        <v>41</v>
      </c>
      <c r="B47" s="264">
        <f>[5]A!$B$24</f>
        <v>2987847</v>
      </c>
      <c r="C47" s="264">
        <f>[5]A!$C$24</f>
        <v>3155103</v>
      </c>
      <c r="D47" s="264">
        <f>[5]A!$D$24</f>
        <v>4063867</v>
      </c>
      <c r="E47" s="264">
        <f>D47-B47</f>
        <v>1076020</v>
      </c>
      <c r="F47" s="397">
        <f t="shared" ref="F47:F60" si="1">IF(ISBLANK(E47),"  ",IF(B47&gt;0,E47/B47,IF(E47&gt;0,1,0)))</f>
        <v>0.36013222899298392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69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69" t="str">
        <f t="shared" si="1"/>
        <v xml:space="preserve">  </v>
      </c>
      <c r="G49" s="24"/>
      <c r="H49" s="24"/>
    </row>
    <row r="50" spans="1:8" ht="34.5">
      <c r="A50" s="156" t="s">
        <v>44</v>
      </c>
      <c r="B50" s="157">
        <f>[5]A!$B$90</f>
        <v>435772</v>
      </c>
      <c r="C50" s="157">
        <f>[5]A!$C$90</f>
        <v>480436</v>
      </c>
      <c r="D50" s="157">
        <f>[5]A!$D$90</f>
        <v>459972</v>
      </c>
      <c r="E50" s="157">
        <f>D50-B50</f>
        <v>24200</v>
      </c>
      <c r="F50" s="369">
        <f t="shared" si="1"/>
        <v>5.5533627676858544E-2</v>
      </c>
      <c r="G50" s="24"/>
      <c r="H50" s="24"/>
    </row>
    <row r="51" spans="1:8" ht="34.5">
      <c r="A51" s="158" t="s">
        <v>45</v>
      </c>
      <c r="B51" s="159">
        <f>[5]A!$B$111</f>
        <v>562909</v>
      </c>
      <c r="C51" s="159">
        <f>[5]A!$C$111</f>
        <v>579273</v>
      </c>
      <c r="D51" s="159">
        <f>[5]A!$D$111</f>
        <v>550705</v>
      </c>
      <c r="E51" s="159">
        <f>D51-B51</f>
        <v>-12204</v>
      </c>
      <c r="F51" s="369">
        <f t="shared" si="1"/>
        <v>-2.1680236059469647E-2</v>
      </c>
      <c r="G51" s="24"/>
      <c r="H51" s="24"/>
    </row>
    <row r="52" spans="1:8" ht="34.5">
      <c r="A52" s="158" t="s">
        <v>74</v>
      </c>
      <c r="B52" s="159">
        <f>[5]A!$B$132</f>
        <v>2127356</v>
      </c>
      <c r="C52" s="159">
        <f>[5]A!$C$132</f>
        <v>2270394</v>
      </c>
      <c r="D52" s="159">
        <f>[5]A!$D$132</f>
        <v>1969559</v>
      </c>
      <c r="E52" s="159">
        <f>D52-B52</f>
        <v>-157797</v>
      </c>
      <c r="F52" s="369">
        <f t="shared" si="1"/>
        <v>-7.4175173313728401E-2</v>
      </c>
      <c r="G52" s="24"/>
      <c r="H52" s="24"/>
    </row>
    <row r="53" spans="1:8" ht="34.5">
      <c r="A53" s="156" t="s">
        <v>46</v>
      </c>
      <c r="B53" s="159"/>
      <c r="C53" s="159"/>
      <c r="D53" s="159"/>
      <c r="E53" s="159"/>
      <c r="F53" s="369" t="str">
        <f t="shared" si="1"/>
        <v xml:space="preserve">  </v>
      </c>
      <c r="G53" s="24"/>
      <c r="H53" s="24"/>
    </row>
    <row r="54" spans="1:8" ht="34.5">
      <c r="A54" s="155" t="s">
        <v>47</v>
      </c>
      <c r="B54" s="154">
        <f>[5]A!$B$177</f>
        <v>1318743</v>
      </c>
      <c r="C54" s="154">
        <f>[5]A!$C$177</f>
        <v>1439460</v>
      </c>
      <c r="D54" s="154">
        <f>[5]A!$D$177</f>
        <v>1119040</v>
      </c>
      <c r="E54" s="157">
        <f>D54-B54</f>
        <v>-199703</v>
      </c>
      <c r="F54" s="369">
        <f t="shared" si="1"/>
        <v>-0.15143435832455604</v>
      </c>
      <c r="G54" s="24"/>
      <c r="H54" s="24"/>
    </row>
    <row r="55" spans="1:8" ht="35.25">
      <c r="A55" s="114" t="s">
        <v>48</v>
      </c>
      <c r="B55" s="116">
        <f>[5]A!$B$198</f>
        <v>7432627</v>
      </c>
      <c r="C55" s="116">
        <f>[5]A!$C$198</f>
        <v>7924666</v>
      </c>
      <c r="D55" s="116">
        <f>[5]A!$D$198</f>
        <v>8163143</v>
      </c>
      <c r="E55" s="127">
        <f>D55-B55</f>
        <v>730516</v>
      </c>
      <c r="F55" s="390">
        <f t="shared" si="1"/>
        <v>9.828503434922807E-2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69" t="str">
        <f t="shared" si="1"/>
        <v xml:space="preserve">  </v>
      </c>
      <c r="G56" s="24"/>
      <c r="H56" s="24"/>
    </row>
    <row r="57" spans="1:8" ht="34.5">
      <c r="A57" s="117" t="s">
        <v>50</v>
      </c>
      <c r="B57" s="118"/>
      <c r="C57" s="118"/>
      <c r="D57" s="118"/>
      <c r="E57" s="128"/>
      <c r="F57" s="369" t="str">
        <f t="shared" si="1"/>
        <v xml:space="preserve">  </v>
      </c>
      <c r="G57" s="24"/>
      <c r="H57" s="24"/>
    </row>
    <row r="58" spans="1:8" ht="34.5">
      <c r="A58" s="117" t="s">
        <v>51</v>
      </c>
      <c r="B58" s="93"/>
      <c r="C58" s="93"/>
      <c r="D58" s="93"/>
      <c r="E58" s="97"/>
      <c r="F58" s="369" t="str">
        <f t="shared" si="1"/>
        <v xml:space="preserve">  </v>
      </c>
      <c r="G58" s="24"/>
      <c r="H58" s="24"/>
    </row>
    <row r="59" spans="1:8" ht="35.25">
      <c r="A59" s="117" t="s">
        <v>52</v>
      </c>
      <c r="B59" s="116"/>
      <c r="C59" s="116"/>
      <c r="D59" s="116"/>
      <c r="E59" s="127"/>
      <c r="F59" s="369" t="str">
        <f t="shared" si="1"/>
        <v xml:space="preserve">  </v>
      </c>
      <c r="G59" s="24"/>
      <c r="H59" s="24"/>
    </row>
    <row r="60" spans="1:8" ht="35.25">
      <c r="A60" s="121" t="s">
        <v>53</v>
      </c>
      <c r="B60" s="122">
        <f>SUM(B55:B59)</f>
        <v>7432627</v>
      </c>
      <c r="C60" s="122">
        <f>SUM(C55:C59)</f>
        <v>7924666</v>
      </c>
      <c r="D60" s="122">
        <f>SUM(D55:D59)</f>
        <v>8163143</v>
      </c>
      <c r="E60" s="134">
        <f>E59+E58+E57+E56+E55</f>
        <v>730516</v>
      </c>
      <c r="F60" s="390">
        <f t="shared" si="1"/>
        <v>9.828503434922807E-2</v>
      </c>
      <c r="G60" s="24"/>
      <c r="H60" s="24"/>
    </row>
    <row r="61" spans="1:8" ht="35.25">
      <c r="A61" s="119"/>
      <c r="B61" s="120"/>
      <c r="C61" s="120"/>
      <c r="D61" s="120"/>
      <c r="E61" s="161"/>
      <c r="F61" s="357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2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f>[5]A!$B$181</f>
        <v>4959574</v>
      </c>
      <c r="C63" s="254">
        <f>[5]A!$C$181</f>
        <v>5178484</v>
      </c>
      <c r="D63" s="254">
        <f>[5]A!$D$181</f>
        <v>5508155</v>
      </c>
      <c r="E63" s="166">
        <f t="shared" ref="E63:E72" si="2">D63-B63</f>
        <v>548581</v>
      </c>
      <c r="F63" s="397">
        <f t="shared" ref="F63:F80" si="3">IF(ISBLANK(E63),"  ",IF(B63&gt;0,E63/B63,IF(E63&gt;0,1,0)))</f>
        <v>0.11061050807992784</v>
      </c>
      <c r="G63" s="24"/>
      <c r="H63" s="24"/>
    </row>
    <row r="64" spans="1:8" ht="34.5">
      <c r="A64" s="150" t="s">
        <v>56</v>
      </c>
      <c r="B64" s="256">
        <f>[5]A!$B$182</f>
        <v>67980</v>
      </c>
      <c r="C64" s="256">
        <f>[5]A!$C$182</f>
        <v>66000</v>
      </c>
      <c r="D64" s="256">
        <f>[5]A!$D$182</f>
        <v>74519</v>
      </c>
      <c r="E64" s="162">
        <f t="shared" si="2"/>
        <v>6539</v>
      </c>
      <c r="F64" s="369">
        <f t="shared" si="3"/>
        <v>9.6190055898793758E-2</v>
      </c>
      <c r="G64" s="24"/>
      <c r="H64" s="24"/>
    </row>
    <row r="65" spans="1:8" ht="34.5">
      <c r="A65" s="176" t="s">
        <v>57</v>
      </c>
      <c r="B65" s="177">
        <f>[5]A!$B$183</f>
        <v>1380350</v>
      </c>
      <c r="C65" s="177">
        <f>[5]A!$C$183</f>
        <v>1503543</v>
      </c>
      <c r="D65" s="177">
        <f>[5]A!$D$183</f>
        <v>1577958</v>
      </c>
      <c r="E65" s="167">
        <f t="shared" si="2"/>
        <v>197608</v>
      </c>
      <c r="F65" s="369">
        <f t="shared" si="3"/>
        <v>0.1431578947368421</v>
      </c>
      <c r="G65" s="24"/>
      <c r="H65" s="24"/>
    </row>
    <row r="66" spans="1:8" ht="35.25">
      <c r="A66" s="114" t="s">
        <v>58</v>
      </c>
      <c r="B66" s="116">
        <f>[5]A!$B$184</f>
        <v>6407904</v>
      </c>
      <c r="C66" s="116">
        <f>[5]A!$C$184</f>
        <v>6748027</v>
      </c>
      <c r="D66" s="116">
        <f>[5]A!$D$184</f>
        <v>7160632</v>
      </c>
      <c r="E66" s="127">
        <f t="shared" si="2"/>
        <v>752728</v>
      </c>
      <c r="F66" s="390">
        <f t="shared" si="3"/>
        <v>0.11746867618491164</v>
      </c>
      <c r="G66" s="24"/>
      <c r="H66" s="24"/>
    </row>
    <row r="67" spans="1:8" ht="34.5">
      <c r="A67" s="117" t="s">
        <v>59</v>
      </c>
      <c r="B67" s="118">
        <f>[5]A!$B$185</f>
        <v>36119</v>
      </c>
      <c r="C67" s="118">
        <f>[5]A!$C$185</f>
        <v>36512</v>
      </c>
      <c r="D67" s="118">
        <f>[5]A!$D$185</f>
        <v>30942</v>
      </c>
      <c r="E67" s="128">
        <f t="shared" si="2"/>
        <v>-5177</v>
      </c>
      <c r="F67" s="369">
        <f t="shared" si="3"/>
        <v>-0.14333176444530579</v>
      </c>
      <c r="G67" s="24"/>
      <c r="H67" s="24"/>
    </row>
    <row r="68" spans="1:8" ht="34.5">
      <c r="A68" s="126" t="s">
        <v>60</v>
      </c>
      <c r="B68" s="118">
        <f>[5]A!$B$186</f>
        <v>719497</v>
      </c>
      <c r="C68" s="118">
        <f>[5]A!$C$186</f>
        <v>759494</v>
      </c>
      <c r="D68" s="118">
        <f>[5]A!$D$186</f>
        <v>737233</v>
      </c>
      <c r="E68" s="128">
        <f t="shared" si="2"/>
        <v>17736</v>
      </c>
      <c r="F68" s="369">
        <f t="shared" si="3"/>
        <v>2.465055448459132E-2</v>
      </c>
      <c r="G68" s="24"/>
      <c r="H68" s="24"/>
    </row>
    <row r="69" spans="1:8" ht="34.5">
      <c r="A69" s="151" t="s">
        <v>61</v>
      </c>
      <c r="B69" s="166">
        <f>[5]A!$B$187</f>
        <v>98366</v>
      </c>
      <c r="C69" s="166">
        <f>[5]A!$C$187</f>
        <v>191068</v>
      </c>
      <c r="D69" s="166">
        <f>[5]A!$D$187</f>
        <v>109591</v>
      </c>
      <c r="E69" s="166">
        <f t="shared" si="2"/>
        <v>11225</v>
      </c>
      <c r="F69" s="369">
        <f t="shared" si="3"/>
        <v>0.11411463310493464</v>
      </c>
      <c r="G69" s="24"/>
      <c r="H69" s="24"/>
    </row>
    <row r="70" spans="1:8" ht="35.25">
      <c r="A70" s="265" t="s">
        <v>62</v>
      </c>
      <c r="B70" s="174">
        <f>SUM(B67:B69)</f>
        <v>853982</v>
      </c>
      <c r="C70" s="174">
        <f>SUM(C67:C69)</f>
        <v>987074</v>
      </c>
      <c r="D70" s="174">
        <f>SUM(D67:D69)</f>
        <v>877766</v>
      </c>
      <c r="E70" s="174">
        <f t="shared" si="2"/>
        <v>23784</v>
      </c>
      <c r="F70" s="390">
        <f t="shared" si="3"/>
        <v>2.7850704113201449E-2</v>
      </c>
      <c r="G70" s="24"/>
      <c r="H70" s="24"/>
    </row>
    <row r="71" spans="1:8" ht="34.5">
      <c r="A71" s="176" t="s">
        <v>63</v>
      </c>
      <c r="B71" s="177">
        <f>[5]A!$B$189</f>
        <v>102923</v>
      </c>
      <c r="C71" s="177">
        <f>[5]A!$C$189</f>
        <v>102456</v>
      </c>
      <c r="D71" s="177">
        <f>[5]A!$D$189</f>
        <v>104072</v>
      </c>
      <c r="E71" s="177">
        <f t="shared" si="2"/>
        <v>1149</v>
      </c>
      <c r="F71" s="369">
        <f t="shared" si="3"/>
        <v>1.1163685473606482E-2</v>
      </c>
      <c r="G71" s="24"/>
      <c r="H71" s="24"/>
    </row>
    <row r="72" spans="1:8" ht="34.5">
      <c r="A72" s="117" t="s">
        <v>64</v>
      </c>
      <c r="B72" s="118">
        <f>[5]A!$B$190</f>
        <v>19021</v>
      </c>
      <c r="C72" s="118">
        <f>[5]A!$C$190</f>
        <v>32540</v>
      </c>
      <c r="D72" s="118">
        <f>[5]A!$D$190</f>
        <v>7459</v>
      </c>
      <c r="E72" s="128">
        <f t="shared" si="2"/>
        <v>-11562</v>
      </c>
      <c r="F72" s="369">
        <f t="shared" si="3"/>
        <v>-0.60785447663109193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69" t="str">
        <f t="shared" si="3"/>
        <v xml:space="preserve">  </v>
      </c>
      <c r="G73" s="24"/>
      <c r="H73" s="24"/>
    </row>
    <row r="74" spans="1:8" ht="35.25">
      <c r="A74" s="126" t="s">
        <v>66</v>
      </c>
      <c r="B74" s="127"/>
      <c r="C74" s="127"/>
      <c r="D74" s="127"/>
      <c r="E74" s="127"/>
      <c r="F74" s="369" t="str">
        <f t="shared" si="3"/>
        <v xml:space="preserve">  </v>
      </c>
      <c r="G74" s="24"/>
      <c r="H74" s="24"/>
    </row>
    <row r="75" spans="1:8" ht="35.25">
      <c r="A75" s="114" t="s">
        <v>67</v>
      </c>
      <c r="B75" s="116">
        <f>SUM(B71:B74)</f>
        <v>121944</v>
      </c>
      <c r="C75" s="116">
        <f>SUM(C71:C74)</f>
        <v>134996</v>
      </c>
      <c r="D75" s="116">
        <f>SUM(D71:D74)</f>
        <v>111531</v>
      </c>
      <c r="E75" s="116">
        <f>D75-B75</f>
        <v>-10413</v>
      </c>
      <c r="F75" s="390">
        <f t="shared" si="3"/>
        <v>-8.5391655185987014E-2</v>
      </c>
      <c r="G75" s="24"/>
      <c r="H75" s="24"/>
    </row>
    <row r="76" spans="1:8" ht="34.5">
      <c r="A76" s="117" t="s">
        <v>68</v>
      </c>
      <c r="B76" s="118">
        <f>[5]A!$B$194</f>
        <v>48115</v>
      </c>
      <c r="C76" s="118">
        <f>[5]A!$C$194</f>
        <v>48011</v>
      </c>
      <c r="D76" s="118">
        <f>[5]A!$D$194</f>
        <v>13126</v>
      </c>
      <c r="E76" s="118">
        <f>D76-B76</f>
        <v>-34989</v>
      </c>
      <c r="F76" s="369">
        <f t="shared" si="3"/>
        <v>-0.72719526135300838</v>
      </c>
      <c r="G76" s="24"/>
      <c r="H76" s="24"/>
    </row>
    <row r="77" spans="1:8" ht="34.5">
      <c r="A77" s="117" t="s">
        <v>69</v>
      </c>
      <c r="B77" s="118">
        <f>[5]A!$B$195</f>
        <v>682</v>
      </c>
      <c r="C77" s="118">
        <f>[5]A!$C$195</f>
        <v>6558</v>
      </c>
      <c r="D77" s="118">
        <f>[5]A!$D$195</f>
        <v>88</v>
      </c>
      <c r="E77" s="118">
        <f>D77-B77</f>
        <v>-594</v>
      </c>
      <c r="F77" s="369">
        <f t="shared" si="3"/>
        <v>-0.87096774193548387</v>
      </c>
      <c r="G77" s="24"/>
      <c r="H77" s="24"/>
    </row>
    <row r="78" spans="1:8" ht="35.25">
      <c r="A78" s="117" t="s">
        <v>70</v>
      </c>
      <c r="B78" s="116"/>
      <c r="C78" s="116"/>
      <c r="D78" s="116"/>
      <c r="E78" s="116"/>
      <c r="F78" s="369" t="str">
        <f t="shared" si="3"/>
        <v xml:space="preserve">  </v>
      </c>
      <c r="G78" s="24"/>
      <c r="H78" s="24"/>
    </row>
    <row r="79" spans="1:8" ht="35.25">
      <c r="A79" s="274" t="s">
        <v>71</v>
      </c>
      <c r="B79" s="275">
        <f>SUM(B76:B78)</f>
        <v>48797</v>
      </c>
      <c r="C79" s="275">
        <f>SUM(C76:C78)</f>
        <v>54569</v>
      </c>
      <c r="D79" s="275">
        <f>SUM(D76:D78)</f>
        <v>13214</v>
      </c>
      <c r="E79" s="275">
        <f>D79-B79</f>
        <v>-35583</v>
      </c>
      <c r="F79" s="369">
        <f t="shared" si="3"/>
        <v>-0.72920466422116115</v>
      </c>
      <c r="G79" s="24"/>
      <c r="H79" s="24"/>
    </row>
    <row r="80" spans="1:8" ht="36" thickBot="1">
      <c r="A80" s="272" t="s">
        <v>53</v>
      </c>
      <c r="B80" s="273">
        <f>B79+B75+B70+B66</f>
        <v>7432627</v>
      </c>
      <c r="C80" s="273">
        <f>C79+C75+C70+C66</f>
        <v>7924666</v>
      </c>
      <c r="D80" s="273">
        <f>D79+D75+D70+D66</f>
        <v>8163143</v>
      </c>
      <c r="E80" s="273">
        <f>E79+E75+E70+E66</f>
        <v>730516</v>
      </c>
      <c r="F80" s="348">
        <f t="shared" si="3"/>
        <v>9.828503434922807E-2</v>
      </c>
      <c r="G80" s="24"/>
      <c r="H80" s="24"/>
    </row>
    <row r="81" spans="1:49" ht="44.25">
      <c r="A81" s="262"/>
      <c r="B81" s="260"/>
      <c r="C81" s="260"/>
      <c r="D81" s="260"/>
      <c r="E81" s="260"/>
      <c r="F81" s="387"/>
      <c r="G81" s="24"/>
      <c r="H81" s="24"/>
    </row>
    <row r="82" spans="1:49" s="163" customFormat="1" ht="44.25">
      <c r="A82" s="262" t="s">
        <v>99</v>
      </c>
      <c r="B82" s="260"/>
      <c r="C82" s="260"/>
      <c r="D82" s="260"/>
      <c r="E82" s="260"/>
      <c r="F82" s="387"/>
    </row>
    <row r="83" spans="1:49" s="163" customFormat="1" ht="44.25">
      <c r="A83" s="261" t="s">
        <v>72</v>
      </c>
      <c r="B83" s="261"/>
      <c r="C83" s="261"/>
      <c r="D83" s="261"/>
      <c r="E83" s="261"/>
      <c r="F83" s="384"/>
    </row>
    <row r="84" spans="1:49" s="163" customFormat="1" ht="44.25">
      <c r="A84" s="163" t="s">
        <v>35</v>
      </c>
      <c r="B84" s="179"/>
      <c r="C84" s="179"/>
      <c r="D84" s="179"/>
      <c r="E84" s="179"/>
      <c r="F84" s="376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 t="s">
        <v>264</v>
      </c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A87" s="163" t="s">
        <v>265</v>
      </c>
      <c r="F87" s="375"/>
    </row>
    <row r="88" spans="1:49" s="163" customFormat="1" ht="44.25">
      <c r="A88" s="163" t="s">
        <v>266</v>
      </c>
      <c r="B88" s="163">
        <v>2016347</v>
      </c>
      <c r="F88" s="375"/>
    </row>
    <row r="89" spans="1:49" s="163" customFormat="1" ht="44.25">
      <c r="A89" s="163" t="s">
        <v>267</v>
      </c>
      <c r="B89" s="163">
        <f>+[4]A!$B$51</f>
        <v>2016347</v>
      </c>
      <c r="F89" s="375"/>
    </row>
    <row r="90" spans="1:49">
      <c r="A90" s="16" t="s">
        <v>268</v>
      </c>
      <c r="B90" s="16">
        <f>+B88-B89</f>
        <v>0</v>
      </c>
      <c r="D90" s="16">
        <f>+C90+B90</f>
        <v>0</v>
      </c>
      <c r="E90" s="16" t="s">
        <v>269</v>
      </c>
    </row>
    <row r="93" spans="1:49">
      <c r="A93" s="16" t="s">
        <v>270</v>
      </c>
      <c r="B93" s="16">
        <v>2910</v>
      </c>
    </row>
    <row r="94" spans="1:49">
      <c r="A94" s="16" t="s">
        <v>271</v>
      </c>
    </row>
    <row r="95" spans="1:49">
      <c r="A95" s="16" t="s">
        <v>272</v>
      </c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80" workbookViewId="0">
      <selection activeCell="L73" sqref="L73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 t="s">
        <v>35</v>
      </c>
      <c r="C1" s="276" t="s">
        <v>1</v>
      </c>
      <c r="D1" s="271" t="s">
        <v>310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 t="s">
        <v>35</v>
      </c>
      <c r="B5" s="145" t="s">
        <v>189</v>
      </c>
      <c r="C5" s="145" t="s">
        <v>189</v>
      </c>
      <c r="D5" s="145" t="s">
        <v>191</v>
      </c>
      <c r="E5" s="145" t="s">
        <v>189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 t="s">
        <v>35</v>
      </c>
      <c r="C7" s="92"/>
      <c r="D7" s="92"/>
      <c r="E7" s="178"/>
      <c r="F7" s="342"/>
      <c r="G7" s="24"/>
      <c r="H7" s="24"/>
      <c r="I7" s="24"/>
      <c r="J7" s="24"/>
    </row>
    <row r="8" spans="1:10" ht="34.5">
      <c r="A8" s="153" t="s">
        <v>14</v>
      </c>
      <c r="B8" s="93">
        <v>41677810</v>
      </c>
      <c r="C8" s="93">
        <v>41677809.5</v>
      </c>
      <c r="D8" s="93">
        <v>29616108</v>
      </c>
      <c r="E8" s="178">
        <f>+D8-C8</f>
        <v>-12061701.5</v>
      </c>
      <c r="F8" s="343">
        <f t="shared" ref="F8:F71" si="0">IF(ISBLANK(E8),"  ",IF(C8&gt;0,E8/C8,IF(E8&gt;0,1,0)))</f>
        <v>-0.2894034414164689</v>
      </c>
      <c r="G8" s="24" t="s">
        <v>35</v>
      </c>
      <c r="H8" s="24"/>
      <c r="I8" s="24"/>
      <c r="J8" s="24"/>
    </row>
    <row r="9" spans="1:10" ht="34.5">
      <c r="A9" s="252" t="s">
        <v>106</v>
      </c>
      <c r="B9" s="93">
        <v>0</v>
      </c>
      <c r="C9" s="93">
        <v>0</v>
      </c>
      <c r="D9" s="93">
        <v>2718972</v>
      </c>
      <c r="E9" s="93">
        <f>+D9-C9</f>
        <v>2718972</v>
      </c>
      <c r="F9" s="343">
        <f t="shared" si="0"/>
        <v>1</v>
      </c>
      <c r="G9" s="24"/>
      <c r="H9" s="24"/>
      <c r="I9" s="24"/>
      <c r="J9" s="24"/>
    </row>
    <row r="10" spans="1:10" ht="34.5">
      <c r="A10" s="363" t="s">
        <v>15</v>
      </c>
      <c r="B10" s="93">
        <f>+B11+B12</f>
        <v>1689612.8500000015</v>
      </c>
      <c r="C10" s="93">
        <f>+C11+C12</f>
        <v>1742059</v>
      </c>
      <c r="D10" s="93">
        <f>+D11+D12</f>
        <v>1737129</v>
      </c>
      <c r="E10" s="93">
        <f>+E11+E12</f>
        <v>-4930</v>
      </c>
      <c r="F10" s="343">
        <f t="shared" si="0"/>
        <v>-2.8299845183199879E-3</v>
      </c>
      <c r="G10" s="24" t="s">
        <v>35</v>
      </c>
      <c r="H10" s="24"/>
      <c r="I10" s="24"/>
      <c r="J10" s="24"/>
    </row>
    <row r="11" spans="1:10" ht="34.5">
      <c r="A11" s="30" t="s">
        <v>82</v>
      </c>
      <c r="B11" s="93">
        <v>0</v>
      </c>
      <c r="C11" s="93">
        <v>0</v>
      </c>
      <c r="D11" s="93">
        <v>230012</v>
      </c>
      <c r="E11" s="93">
        <f>+D11-C11</f>
        <v>230012</v>
      </c>
      <c r="F11" s="343">
        <f t="shared" si="0"/>
        <v>1</v>
      </c>
      <c r="G11" s="24" t="s">
        <v>35</v>
      </c>
      <c r="H11" s="24"/>
      <c r="I11" s="24"/>
      <c r="J11" s="24"/>
    </row>
    <row r="12" spans="1:10" ht="34.5">
      <c r="A12" s="31" t="s">
        <v>17</v>
      </c>
      <c r="B12" s="93">
        <f>43367422.85-41677810</f>
        <v>1689612.8500000015</v>
      </c>
      <c r="C12" s="93">
        <v>1742059</v>
      </c>
      <c r="D12" s="93">
        <v>1507117</v>
      </c>
      <c r="E12" s="93">
        <f>+D12-C12</f>
        <v>-234942</v>
      </c>
      <c r="F12" s="343">
        <f t="shared" si="0"/>
        <v>-0.13486454821564597</v>
      </c>
      <c r="G12" s="24"/>
      <c r="H12" s="24"/>
      <c r="I12" s="24"/>
      <c r="J12" s="24"/>
    </row>
    <row r="13" spans="1:10" ht="34.5">
      <c r="A13" s="31" t="s">
        <v>83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 t="s">
        <v>35</v>
      </c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 t="s">
        <v>35</v>
      </c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247</v>
      </c>
      <c r="B16" s="93" t="s">
        <v>35</v>
      </c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84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248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54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116"/>
      <c r="C26" s="116"/>
      <c r="D26" s="116"/>
      <c r="E26" s="116"/>
      <c r="F26" s="354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42.75" customHeight="1">
      <c r="A29" s="117" t="s">
        <v>30</v>
      </c>
      <c r="B29" s="94"/>
      <c r="C29" s="94"/>
      <c r="D29" s="94"/>
      <c r="E29" s="94"/>
      <c r="F29" s="344" t="str">
        <f t="shared" si="0"/>
        <v xml:space="preserve">  </v>
      </c>
      <c r="G29" s="24"/>
      <c r="H29" s="24"/>
    </row>
    <row r="30" spans="1:8" ht="42.75" customHeight="1">
      <c r="A30" s="279" t="s">
        <v>32</v>
      </c>
      <c r="B30" s="393"/>
      <c r="C30" s="393"/>
      <c r="D30" s="393"/>
      <c r="E30" s="393"/>
      <c r="F30" s="394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+B8+B10</f>
        <v>43367422.850000001</v>
      </c>
      <c r="C31" s="403">
        <f>+C8+C10</f>
        <v>43419868.5</v>
      </c>
      <c r="D31" s="403">
        <f>+D8+D9+D10</f>
        <v>34072209</v>
      </c>
      <c r="E31" s="403">
        <f>+D31-C31</f>
        <v>-9347659.5</v>
      </c>
      <c r="F31" s="404">
        <f t="shared" si="0"/>
        <v>-0.2152853019349886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 t="shared" si="0"/>
        <v xml:space="preserve">  </v>
      </c>
      <c r="G32" s="24"/>
      <c r="H32" s="24"/>
    </row>
    <row r="33" spans="1:8" ht="35.25">
      <c r="A33" s="130" t="s">
        <v>34</v>
      </c>
      <c r="B33" s="147"/>
      <c r="C33" s="138"/>
      <c r="D33" s="138"/>
      <c r="E33" s="138"/>
      <c r="F33" s="366" t="str">
        <f t="shared" si="0"/>
        <v xml:space="preserve">  </v>
      </c>
      <c r="G33" s="24"/>
      <c r="H33" s="24"/>
    </row>
    <row r="34" spans="1:8" ht="35.25">
      <c r="A34" s="132"/>
      <c r="B34" s="133"/>
      <c r="C34" s="133"/>
      <c r="D34" s="133"/>
      <c r="E34" s="133"/>
      <c r="F34" s="356" t="str">
        <f t="shared" si="0"/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66" t="str">
        <f t="shared" si="0"/>
        <v xml:space="preserve">  </v>
      </c>
      <c r="G35" s="24"/>
      <c r="H35" s="24"/>
    </row>
    <row r="36" spans="1:8" ht="35.25">
      <c r="A36" s="139"/>
      <c r="B36" s="133"/>
      <c r="C36" s="133"/>
      <c r="D36" s="133"/>
      <c r="E36" s="133"/>
      <c r="F36" s="356" t="str">
        <f t="shared" si="0"/>
        <v xml:space="preserve">  </v>
      </c>
      <c r="G36" s="24"/>
      <c r="H36" s="24"/>
    </row>
    <row r="37" spans="1:8" ht="35.25">
      <c r="A37" s="130" t="s">
        <v>107</v>
      </c>
      <c r="B37" s="147">
        <v>0</v>
      </c>
      <c r="C37" s="147">
        <v>0</v>
      </c>
      <c r="D37" s="147">
        <v>5868081</v>
      </c>
      <c r="E37" s="147">
        <v>0</v>
      </c>
      <c r="F37" s="366">
        <f t="shared" si="0"/>
        <v>0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 t="shared" si="0"/>
        <v xml:space="preserve">  </v>
      </c>
      <c r="G38" s="24"/>
      <c r="H38" s="24"/>
    </row>
    <row r="39" spans="1:8" ht="35.25">
      <c r="A39" s="130" t="s">
        <v>37</v>
      </c>
      <c r="B39" s="147">
        <v>27438218</v>
      </c>
      <c r="C39" s="147">
        <v>27882778</v>
      </c>
      <c r="D39" s="147">
        <v>29520214</v>
      </c>
      <c r="E39" s="147">
        <f>+D39-C39</f>
        <v>1637436</v>
      </c>
      <c r="F39" s="366">
        <f t="shared" si="0"/>
        <v>5.8725712337558328E-2</v>
      </c>
      <c r="G39" s="24" t="s">
        <v>35</v>
      </c>
      <c r="H39" s="24"/>
    </row>
    <row r="40" spans="1:8" ht="35.25">
      <c r="A40" s="132" t="s">
        <v>35</v>
      </c>
      <c r="B40" s="133"/>
      <c r="C40" s="133"/>
      <c r="D40" s="133"/>
      <c r="E40" s="133"/>
      <c r="F40" s="356" t="str">
        <f t="shared" si="0"/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66" t="str">
        <f t="shared" si="0"/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 t="shared" si="0"/>
        <v xml:space="preserve">  </v>
      </c>
      <c r="G42" s="24"/>
      <c r="H42" s="24"/>
    </row>
    <row r="43" spans="1:8" ht="35.25">
      <c r="A43" s="137" t="s">
        <v>39</v>
      </c>
      <c r="B43" s="147">
        <f>+B31+B39</f>
        <v>70805640.849999994</v>
      </c>
      <c r="C43" s="147">
        <f>+C31+C39+1-1</f>
        <v>71302646.5</v>
      </c>
      <c r="D43" s="147">
        <f>+D31+D37+D39</f>
        <v>69460504</v>
      </c>
      <c r="E43" s="147">
        <f>+D43-C43</f>
        <v>-1842142.5</v>
      </c>
      <c r="F43" s="366">
        <f t="shared" si="0"/>
        <v>-2.5835541742479363E-2</v>
      </c>
      <c r="G43" s="24"/>
      <c r="H43" s="24" t="s">
        <v>35</v>
      </c>
    </row>
    <row r="44" spans="1:8" ht="35.25">
      <c r="A44" s="407" t="s">
        <v>35</v>
      </c>
      <c r="B44" s="408"/>
      <c r="C44" s="408"/>
      <c r="D44" s="408"/>
      <c r="E44" s="408" t="s">
        <v>35</v>
      </c>
      <c r="F44" s="383"/>
      <c r="G44" s="24"/>
      <c r="H44" s="24"/>
    </row>
    <row r="45" spans="1:8" ht="35.25">
      <c r="A45" s="298"/>
      <c r="B45" s="299"/>
      <c r="C45" s="299"/>
      <c r="D45" s="299"/>
      <c r="E45" s="299"/>
      <c r="F45" s="345" t="str">
        <f t="shared" si="0"/>
        <v xml:space="preserve">  </v>
      </c>
      <c r="G45" s="24"/>
      <c r="H45" s="24"/>
    </row>
    <row r="46" spans="1:8" ht="35.25">
      <c r="A46" s="172" t="s">
        <v>40</v>
      </c>
      <c r="B46" s="401"/>
      <c r="C46" s="401"/>
      <c r="D46" s="401"/>
      <c r="E46" s="401"/>
      <c r="F46" s="399" t="str">
        <f t="shared" si="0"/>
        <v xml:space="preserve">  </v>
      </c>
      <c r="G46" s="24"/>
      <c r="H46" s="24"/>
    </row>
    <row r="47" spans="1:8" ht="34.5">
      <c r="A47" s="263" t="s">
        <v>41</v>
      </c>
      <c r="B47" s="264">
        <v>37583982</v>
      </c>
      <c r="C47" s="264">
        <f>36911166-500000+27472</f>
        <v>36438638</v>
      </c>
      <c r="D47" s="264">
        <v>36671645</v>
      </c>
      <c r="E47" s="264">
        <f>+D47-C47</f>
        <v>233007</v>
      </c>
      <c r="F47" s="382">
        <f t="shared" si="0"/>
        <v>6.3945035486781916E-3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72" t="str">
        <f t="shared" si="0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67" t="str">
        <f t="shared" si="0"/>
        <v xml:space="preserve">  </v>
      </c>
      <c r="G49" s="24"/>
      <c r="H49" s="24"/>
    </row>
    <row r="50" spans="1:8" ht="34.5">
      <c r="A50" s="156" t="s">
        <v>44</v>
      </c>
      <c r="B50" s="157">
        <v>7316357</v>
      </c>
      <c r="C50" s="157">
        <f>7071400+1852658-27472</f>
        <v>8896586</v>
      </c>
      <c r="D50" s="157">
        <v>7543053</v>
      </c>
      <c r="E50" s="157">
        <f t="shared" ref="E50:E55" si="1">+D50-C50</f>
        <v>-1353533</v>
      </c>
      <c r="F50" s="367">
        <f t="shared" si="0"/>
        <v>-0.15214072004699331</v>
      </c>
      <c r="G50" s="24"/>
      <c r="H50" s="24"/>
    </row>
    <row r="51" spans="1:8" ht="34.5">
      <c r="A51" s="158" t="s">
        <v>45</v>
      </c>
      <c r="B51" s="159">
        <v>3899053</v>
      </c>
      <c r="C51" s="159">
        <v>4436270</v>
      </c>
      <c r="D51" s="159">
        <v>3857082</v>
      </c>
      <c r="E51" s="159">
        <f t="shared" si="1"/>
        <v>-579188</v>
      </c>
      <c r="F51" s="368">
        <f t="shared" si="0"/>
        <v>-0.13055742774898732</v>
      </c>
      <c r="G51" s="24"/>
      <c r="H51" s="24"/>
    </row>
    <row r="52" spans="1:8" ht="34.5">
      <c r="A52" s="156" t="s">
        <v>74</v>
      </c>
      <c r="B52" s="157">
        <v>10380599</v>
      </c>
      <c r="C52" s="157">
        <v>10441026</v>
      </c>
      <c r="D52" s="157">
        <v>10374637</v>
      </c>
      <c r="E52" s="157">
        <f t="shared" si="1"/>
        <v>-66389</v>
      </c>
      <c r="F52" s="373">
        <f t="shared" si="0"/>
        <v>-6.3584747322724799E-3</v>
      </c>
      <c r="G52" s="24"/>
      <c r="H52" s="24"/>
    </row>
    <row r="53" spans="1:8" ht="34.5">
      <c r="A53" s="156" t="s">
        <v>46</v>
      </c>
      <c r="B53" s="157">
        <v>1214883</v>
      </c>
      <c r="C53" s="157">
        <f>1136250-140000</f>
        <v>996250</v>
      </c>
      <c r="D53" s="157">
        <v>1136250</v>
      </c>
      <c r="E53" s="157">
        <f t="shared" si="1"/>
        <v>140000</v>
      </c>
      <c r="F53" s="373">
        <f t="shared" si="0"/>
        <v>0.14052697616060225</v>
      </c>
      <c r="G53" s="24"/>
      <c r="H53" s="24"/>
    </row>
    <row r="54" spans="1:8" ht="34.5">
      <c r="A54" s="153" t="s">
        <v>47</v>
      </c>
      <c r="B54" s="160">
        <v>9706610</v>
      </c>
      <c r="C54" s="160">
        <v>9553868</v>
      </c>
      <c r="D54" s="160">
        <v>9339576</v>
      </c>
      <c r="E54" s="159">
        <f t="shared" si="1"/>
        <v>-214292</v>
      </c>
      <c r="F54" s="369">
        <f t="shared" si="0"/>
        <v>-2.242986819579253E-2</v>
      </c>
      <c r="G54" s="24"/>
      <c r="H54" s="24"/>
    </row>
    <row r="55" spans="1:8" ht="35.25">
      <c r="A55" s="114" t="s">
        <v>48</v>
      </c>
      <c r="B55" s="116">
        <f>SUM(B47:B54)</f>
        <v>70101484</v>
      </c>
      <c r="C55" s="116">
        <f>SUM(C47:C54)</f>
        <v>70762638</v>
      </c>
      <c r="D55" s="116">
        <f>SUM(D47:D54)</f>
        <v>68922243</v>
      </c>
      <c r="E55" s="127">
        <f t="shared" si="1"/>
        <v>-1840395</v>
      </c>
      <c r="F55" s="354">
        <f t="shared" si="0"/>
        <v>-2.6008004393504945E-2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43" t="str">
        <f t="shared" si="0"/>
        <v xml:space="preserve">  </v>
      </c>
      <c r="G56" s="24"/>
      <c r="H56" s="24"/>
    </row>
    <row r="57" spans="1:8" ht="34.5">
      <c r="A57" s="117" t="s">
        <v>50</v>
      </c>
      <c r="B57" s="118"/>
      <c r="C57" s="118"/>
      <c r="D57" s="118"/>
      <c r="E57" s="128"/>
      <c r="F57" s="361" t="str">
        <f t="shared" si="0"/>
        <v xml:space="preserve">  </v>
      </c>
      <c r="G57" s="24"/>
      <c r="H57" s="24"/>
    </row>
    <row r="58" spans="1:8" ht="34.5">
      <c r="A58" s="279" t="s">
        <v>51</v>
      </c>
      <c r="B58" s="280">
        <v>704155</v>
      </c>
      <c r="C58" s="280">
        <v>540000</v>
      </c>
      <c r="D58" s="280">
        <v>538252</v>
      </c>
      <c r="E58" s="281">
        <f>+D58-C58</f>
        <v>-1748</v>
      </c>
      <c r="F58" s="391">
        <f t="shared" si="0"/>
        <v>-3.237037037037037E-3</v>
      </c>
      <c r="G58" s="24"/>
      <c r="H58" s="24"/>
    </row>
    <row r="59" spans="1:8" ht="34.5">
      <c r="A59" s="176" t="s">
        <v>249</v>
      </c>
      <c r="B59" s="177"/>
      <c r="C59" s="177"/>
      <c r="D59" s="177"/>
      <c r="E59" s="167"/>
      <c r="F59" s="371" t="str">
        <f t="shared" si="0"/>
        <v xml:space="preserve">  </v>
      </c>
      <c r="G59" s="24"/>
      <c r="H59" s="24"/>
    </row>
    <row r="60" spans="1:8" ht="35.25">
      <c r="A60" s="114" t="s">
        <v>53</v>
      </c>
      <c r="B60" s="116">
        <f>+B55+B57+B58+2</f>
        <v>70805641</v>
      </c>
      <c r="C60" s="116">
        <f>+C55+C57+C58+9</f>
        <v>71302647</v>
      </c>
      <c r="D60" s="116">
        <f>+D55+D57+D58+9</f>
        <v>69460504</v>
      </c>
      <c r="E60" s="127">
        <f>+D60-C60</f>
        <v>-1842143</v>
      </c>
      <c r="F60" s="354">
        <f t="shared" si="0"/>
        <v>-2.583554857367357E-2</v>
      </c>
      <c r="G60" s="24"/>
      <c r="H60" s="24"/>
    </row>
    <row r="61" spans="1:8" ht="34.5">
      <c r="A61" s="117" t="s">
        <v>35</v>
      </c>
      <c r="B61" s="118"/>
      <c r="C61" s="118"/>
      <c r="D61" s="118"/>
      <c r="E61" s="128"/>
      <c r="F61" s="361" t="str">
        <f t="shared" si="0"/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1" t="str">
        <f t="shared" si="0"/>
        <v xml:space="preserve">  </v>
      </c>
      <c r="G62" s="24"/>
      <c r="H62" s="24"/>
    </row>
    <row r="63" spans="1:8" ht="34.5">
      <c r="A63" s="151" t="s">
        <v>55</v>
      </c>
      <c r="B63" s="254">
        <v>43726237</v>
      </c>
      <c r="C63" s="254">
        <v>43959093</v>
      </c>
      <c r="D63" s="254">
        <v>42144158</v>
      </c>
      <c r="E63" s="166">
        <f t="shared" ref="E63:E72" si="2">+D63-C63</f>
        <v>-1814935</v>
      </c>
      <c r="F63" s="367">
        <f t="shared" si="0"/>
        <v>-4.1286907352706299E-2</v>
      </c>
      <c r="G63" s="24" t="s">
        <v>35</v>
      </c>
      <c r="H63" s="24"/>
    </row>
    <row r="64" spans="1:8" ht="34.5">
      <c r="A64" s="150" t="s">
        <v>56</v>
      </c>
      <c r="B64" s="254">
        <v>0</v>
      </c>
      <c r="C64" s="254">
        <v>175000</v>
      </c>
      <c r="D64" s="254">
        <v>50000</v>
      </c>
      <c r="E64" s="166">
        <f t="shared" si="2"/>
        <v>-125000</v>
      </c>
      <c r="F64" s="367">
        <f t="shared" si="0"/>
        <v>-0.7142857142857143</v>
      </c>
      <c r="G64" s="24"/>
      <c r="H64" s="24"/>
    </row>
    <row r="65" spans="1:8" ht="34.5">
      <c r="A65" s="30" t="s">
        <v>57</v>
      </c>
      <c r="B65" s="92">
        <v>12027034</v>
      </c>
      <c r="C65" s="92">
        <v>11885741</v>
      </c>
      <c r="D65" s="92">
        <v>11514124</v>
      </c>
      <c r="E65" s="98">
        <f t="shared" si="2"/>
        <v>-371617</v>
      </c>
      <c r="F65" s="342">
        <f t="shared" si="0"/>
        <v>-3.1265783092530787E-2</v>
      </c>
      <c r="G65" s="24"/>
      <c r="H65" s="24"/>
    </row>
    <row r="66" spans="1:8" ht="35.25">
      <c r="A66" s="114" t="s">
        <v>58</v>
      </c>
      <c r="B66" s="116">
        <f>SUM(B63:B65)</f>
        <v>55753271</v>
      </c>
      <c r="C66" s="116">
        <f>SUM(C63:C65)</f>
        <v>56019834</v>
      </c>
      <c r="D66" s="116">
        <f>SUM(D63:D65)</f>
        <v>53708282</v>
      </c>
      <c r="E66" s="127">
        <f t="shared" si="2"/>
        <v>-2311552</v>
      </c>
      <c r="F66" s="354">
        <f t="shared" si="0"/>
        <v>-4.1263099779981501E-2</v>
      </c>
      <c r="G66" s="24"/>
      <c r="H66" s="24"/>
    </row>
    <row r="67" spans="1:8" ht="34.5">
      <c r="A67" s="117" t="s">
        <v>59</v>
      </c>
      <c r="B67" s="118">
        <v>307146</v>
      </c>
      <c r="C67" s="118">
        <v>355496</v>
      </c>
      <c r="D67" s="118">
        <v>328097</v>
      </c>
      <c r="E67" s="128">
        <f t="shared" si="2"/>
        <v>-27399</v>
      </c>
      <c r="F67" s="361">
        <f t="shared" si="0"/>
        <v>-7.7072597160024306E-2</v>
      </c>
      <c r="G67" s="24"/>
      <c r="H67" s="24"/>
    </row>
    <row r="68" spans="1:8" ht="34.5">
      <c r="A68" s="126" t="s">
        <v>60</v>
      </c>
      <c r="B68" s="118">
        <v>10136619</v>
      </c>
      <c r="C68" s="118">
        <v>9007946</v>
      </c>
      <c r="D68" s="118">
        <v>9302862</v>
      </c>
      <c r="E68" s="128">
        <f t="shared" si="2"/>
        <v>294916</v>
      </c>
      <c r="F68" s="361">
        <f t="shared" si="0"/>
        <v>3.2739539069172929E-2</v>
      </c>
      <c r="G68" s="24"/>
      <c r="H68" s="24"/>
    </row>
    <row r="69" spans="1:8" ht="34.5">
      <c r="A69" s="151" t="s">
        <v>61</v>
      </c>
      <c r="B69" s="166">
        <v>1376149</v>
      </c>
      <c r="C69" s="166">
        <f>1358982-250000</f>
        <v>1108982</v>
      </c>
      <c r="D69" s="166">
        <v>1268434</v>
      </c>
      <c r="E69" s="166">
        <f t="shared" si="2"/>
        <v>159452</v>
      </c>
      <c r="F69" s="373">
        <f t="shared" si="0"/>
        <v>0.14378231567329317</v>
      </c>
      <c r="G69" s="24"/>
      <c r="H69" s="24"/>
    </row>
    <row r="70" spans="1:8" ht="35.25">
      <c r="A70" s="265" t="s">
        <v>62</v>
      </c>
      <c r="B70" s="174">
        <f>SUM(B67:B69)</f>
        <v>11819914</v>
      </c>
      <c r="C70" s="174">
        <f>SUM(C67:C69)</f>
        <v>10472424</v>
      </c>
      <c r="D70" s="174">
        <f>SUM(D67:D69)</f>
        <v>10899393</v>
      </c>
      <c r="E70" s="174">
        <f t="shared" si="2"/>
        <v>426969</v>
      </c>
      <c r="F70" s="385">
        <f t="shared" si="0"/>
        <v>4.0770790029127923E-2</v>
      </c>
      <c r="G70" s="24"/>
      <c r="H70" s="24"/>
    </row>
    <row r="71" spans="1:8" ht="34.5">
      <c r="A71" s="176" t="s">
        <v>250</v>
      </c>
      <c r="B71" s="177">
        <v>819029</v>
      </c>
      <c r="C71" s="177">
        <v>1010054</v>
      </c>
      <c r="D71" s="177">
        <v>934155</v>
      </c>
      <c r="E71" s="177">
        <f t="shared" si="2"/>
        <v>-75899</v>
      </c>
      <c r="F71" s="371">
        <f t="shared" si="0"/>
        <v>-7.5143507178824107E-2</v>
      </c>
      <c r="G71" s="24"/>
      <c r="H71" s="24"/>
    </row>
    <row r="72" spans="1:8" ht="34.5">
      <c r="A72" s="117" t="s">
        <v>64</v>
      </c>
      <c r="B72" s="118">
        <v>1700403</v>
      </c>
      <c r="C72" s="118">
        <v>2846407</v>
      </c>
      <c r="D72" s="118">
        <v>3034443</v>
      </c>
      <c r="E72" s="128">
        <f t="shared" si="2"/>
        <v>188036</v>
      </c>
      <c r="F72" s="361">
        <f t="shared" ref="F72:F81" si="3">IF(ISBLANK(E72),"  ",IF(C72&gt;0,E72/C72,IF(E72&gt;0,1,0)))</f>
        <v>6.606082685996767E-2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61" t="str">
        <f t="shared" si="3"/>
        <v xml:space="preserve">  </v>
      </c>
      <c r="G73" s="24"/>
      <c r="H73" s="24"/>
    </row>
    <row r="74" spans="1:8" ht="34.5">
      <c r="A74" s="126" t="s">
        <v>66</v>
      </c>
      <c r="B74" s="128"/>
      <c r="C74" s="128"/>
      <c r="D74" s="128"/>
      <c r="E74" s="128"/>
      <c r="F74" s="361" t="str">
        <f t="shared" si="3"/>
        <v xml:space="preserve">  </v>
      </c>
      <c r="G74" s="24"/>
      <c r="H74" s="24"/>
    </row>
    <row r="75" spans="1:8" ht="35.25">
      <c r="A75" s="114" t="s">
        <v>251</v>
      </c>
      <c r="B75" s="116"/>
      <c r="C75" s="116"/>
      <c r="D75" s="116"/>
      <c r="E75" s="116"/>
      <c r="F75" s="354" t="str">
        <f t="shared" si="3"/>
        <v xml:space="preserve">  </v>
      </c>
      <c r="G75" s="24" t="s">
        <v>35</v>
      </c>
      <c r="H75" s="24"/>
    </row>
    <row r="76" spans="1:8" ht="34.5">
      <c r="A76" s="117" t="s">
        <v>67</v>
      </c>
      <c r="B76" s="118">
        <f>SUM(B72:B74)</f>
        <v>1700403</v>
      </c>
      <c r="C76" s="118">
        <f>SUM(C72:C74)</f>
        <v>2846407</v>
      </c>
      <c r="D76" s="118">
        <f>SUM(D72:D74)</f>
        <v>3034443</v>
      </c>
      <c r="E76" s="118">
        <f t="shared" ref="E76:E81" si="4">+D76-C76</f>
        <v>188036</v>
      </c>
      <c r="F76" s="361">
        <f t="shared" si="3"/>
        <v>6.606082685996767E-2</v>
      </c>
      <c r="G76" s="24"/>
      <c r="H76" s="24"/>
    </row>
    <row r="77" spans="1:8" ht="34.5">
      <c r="A77" s="117" t="s">
        <v>68</v>
      </c>
      <c r="B77" s="118">
        <v>295633</v>
      </c>
      <c r="C77" s="118">
        <f>525120-250000</f>
        <v>275120</v>
      </c>
      <c r="D77" s="118">
        <v>273720</v>
      </c>
      <c r="E77" s="118">
        <f t="shared" si="4"/>
        <v>-1400</v>
      </c>
      <c r="F77" s="361">
        <f t="shared" si="3"/>
        <v>-5.088688572259378E-3</v>
      </c>
      <c r="G77" s="24"/>
      <c r="H77" s="24"/>
    </row>
    <row r="78" spans="1:8" ht="34.5">
      <c r="A78" s="150" t="s">
        <v>69</v>
      </c>
      <c r="B78" s="254">
        <v>248083</v>
      </c>
      <c r="C78" s="254">
        <v>423000</v>
      </c>
      <c r="D78" s="254">
        <v>379700</v>
      </c>
      <c r="E78" s="254">
        <f t="shared" si="4"/>
        <v>-43300</v>
      </c>
      <c r="F78" s="367">
        <f t="shared" si="3"/>
        <v>-0.10236406619385342</v>
      </c>
      <c r="G78" s="24"/>
      <c r="H78" s="24"/>
    </row>
    <row r="79" spans="1:8" ht="34.5">
      <c r="A79" s="176" t="s">
        <v>70</v>
      </c>
      <c r="B79" s="177">
        <v>169306</v>
      </c>
      <c r="C79" s="177">
        <v>255800</v>
      </c>
      <c r="D79" s="177">
        <v>230800</v>
      </c>
      <c r="E79" s="177">
        <f t="shared" si="4"/>
        <v>-25000</v>
      </c>
      <c r="F79" s="371">
        <f t="shared" si="3"/>
        <v>-9.7732603596559817E-2</v>
      </c>
      <c r="G79" s="24"/>
      <c r="H79" s="24"/>
    </row>
    <row r="80" spans="1:8" ht="35.25">
      <c r="A80" s="274" t="s">
        <v>71</v>
      </c>
      <c r="B80" s="275">
        <f>SUM(B77:B79)</f>
        <v>713022</v>
      </c>
      <c r="C80" s="275">
        <f>SUM(C77:C79)</f>
        <v>953920</v>
      </c>
      <c r="D80" s="275">
        <f>SUM(D77:D79)</f>
        <v>884220</v>
      </c>
      <c r="E80" s="275">
        <f t="shared" si="4"/>
        <v>-69700</v>
      </c>
      <c r="F80" s="362">
        <f t="shared" si="3"/>
        <v>-7.3066923851056689E-2</v>
      </c>
      <c r="G80" s="24"/>
      <c r="H80" s="24"/>
    </row>
    <row r="81" spans="1:49" ht="36" thickBot="1">
      <c r="A81" s="272" t="s">
        <v>53</v>
      </c>
      <c r="B81" s="273">
        <f>+B66+B70+B76+B80+B71+2</f>
        <v>70805641</v>
      </c>
      <c r="C81" s="273">
        <f>+C66+C70+C76+C80+C71+8</f>
        <v>71302647</v>
      </c>
      <c r="D81" s="273">
        <f>+D66+D70+D76+D80+D71+8+3</f>
        <v>69460504</v>
      </c>
      <c r="E81" s="273">
        <f t="shared" si="4"/>
        <v>-1842143</v>
      </c>
      <c r="F81" s="388">
        <f t="shared" si="3"/>
        <v>-2.583554857367357E-2</v>
      </c>
      <c r="G81" s="24"/>
      <c r="H81" s="24"/>
    </row>
    <row r="82" spans="1:49" ht="44.25">
      <c r="A82" s="262"/>
      <c r="B82" s="286"/>
      <c r="C82" s="286"/>
      <c r="D82" s="260"/>
      <c r="E82" s="260" t="s">
        <v>35</v>
      </c>
      <c r="F82" s="387" t="s">
        <v>35</v>
      </c>
      <c r="G82" s="24"/>
      <c r="H82" s="24"/>
    </row>
    <row r="83" spans="1:49" s="411" customFormat="1" ht="45">
      <c r="A83" s="262" t="s">
        <v>99</v>
      </c>
      <c r="B83" s="409"/>
      <c r="C83" s="409"/>
      <c r="D83" s="409"/>
      <c r="E83" s="409"/>
      <c r="F83" s="410"/>
      <c r="G83" s="113"/>
      <c r="H83" s="113"/>
    </row>
    <row r="84" spans="1:49" s="411" customFormat="1" ht="44.25">
      <c r="A84" s="411" t="s">
        <v>72</v>
      </c>
      <c r="F84" s="317"/>
    </row>
    <row r="85" spans="1:49" s="163" customFormat="1" ht="44.25">
      <c r="A85" s="163" t="s">
        <v>35</v>
      </c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 t="s">
        <v>35</v>
      </c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B88" s="163" t="s">
        <v>35</v>
      </c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workbookViewId="0">
      <selection activeCell="E11" sqref="E11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260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/>
      <c r="C7" s="92"/>
      <c r="D7" s="92"/>
      <c r="E7" s="178"/>
      <c r="F7" s="342"/>
      <c r="G7" s="24"/>
      <c r="H7" s="24"/>
      <c r="I7" s="24"/>
      <c r="J7" s="24"/>
    </row>
    <row r="8" spans="1:10" ht="34.5">
      <c r="A8" s="153" t="s">
        <v>14</v>
      </c>
      <c r="B8" s="93">
        <v>4428505</v>
      </c>
      <c r="C8" s="93">
        <v>4428505</v>
      </c>
      <c r="D8" s="93">
        <v>3212605</v>
      </c>
      <c r="E8" s="178">
        <f>D8-B8</f>
        <v>-1215900</v>
      </c>
      <c r="F8" s="343">
        <f>IF(ISBLANK(E8),"  ",IF(B8&gt;0,E8/B8,IF(E8&gt;0,1,0)))</f>
        <v>-0.27456218294887325</v>
      </c>
      <c r="G8" s="24"/>
      <c r="H8" s="24"/>
      <c r="I8" s="24"/>
      <c r="J8" s="24"/>
    </row>
    <row r="9" spans="1:10" ht="34.5">
      <c r="A9" s="252" t="s">
        <v>106</v>
      </c>
      <c r="B9" s="93">
        <v>0</v>
      </c>
      <c r="C9" s="93">
        <v>0</v>
      </c>
      <c r="D9" s="93">
        <v>276986</v>
      </c>
      <c r="E9" s="93">
        <f>D9-B9</f>
        <v>276986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18683</v>
      </c>
      <c r="C10" s="93">
        <f>SUM(C11:C25)</f>
        <v>19263</v>
      </c>
      <c r="D10" s="93">
        <f>SUM(D11:D25)</f>
        <v>40097</v>
      </c>
      <c r="E10" s="93">
        <f>D10-B10</f>
        <v>21414</v>
      </c>
      <c r="F10" s="343">
        <f t="shared" si="0"/>
        <v>1.1461756677193171</v>
      </c>
      <c r="G10" s="24"/>
      <c r="H10" s="24"/>
      <c r="I10" s="24"/>
      <c r="J10" s="24"/>
    </row>
    <row r="11" spans="1:10" ht="34.5">
      <c r="A11" s="30" t="s">
        <v>82</v>
      </c>
      <c r="B11" s="93">
        <v>0</v>
      </c>
      <c r="C11" s="93">
        <v>0</v>
      </c>
      <c r="D11" s="93">
        <v>23432</v>
      </c>
      <c r="E11" s="93">
        <f>D11-B11</f>
        <v>23432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18683</v>
      </c>
      <c r="C12" s="93">
        <v>19263</v>
      </c>
      <c r="D12" s="93">
        <v>16665</v>
      </c>
      <c r="E12" s="93">
        <f>D12-B12</f>
        <v>-2018</v>
      </c>
      <c r="F12" s="343">
        <f t="shared" si="0"/>
        <v>-0.10801263180431409</v>
      </c>
      <c r="G12" s="24"/>
      <c r="H12" s="24"/>
      <c r="I12" s="24"/>
      <c r="J12" s="24"/>
    </row>
    <row r="13" spans="1:10" ht="34.5">
      <c r="A13" s="31" t="s">
        <v>83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116"/>
      <c r="C26" s="116"/>
      <c r="D26" s="116"/>
      <c r="E26" s="116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42.75" customHeight="1">
      <c r="A29" s="117" t="s">
        <v>30</v>
      </c>
      <c r="B29" s="94"/>
      <c r="C29" s="94"/>
      <c r="D29" s="94"/>
      <c r="E29" s="94"/>
      <c r="F29" s="343" t="str">
        <f t="shared" si="0"/>
        <v xml:space="preserve">  </v>
      </c>
      <c r="G29" s="24"/>
      <c r="H29" s="24"/>
    </row>
    <row r="30" spans="1:8" ht="42.75" customHeight="1">
      <c r="A30" s="279" t="s">
        <v>32</v>
      </c>
      <c r="B30" s="393"/>
      <c r="C30" s="393"/>
      <c r="D30" s="393"/>
      <c r="E30" s="393"/>
      <c r="F30" s="343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B30+B29+B27+B10+B8+B9</f>
        <v>4447188</v>
      </c>
      <c r="C31" s="403">
        <f>C30+C29+C27+C10+C8+C9</f>
        <v>4447768</v>
      </c>
      <c r="D31" s="403">
        <f>D30+D29+D27+D10+D8+D9</f>
        <v>3529688</v>
      </c>
      <c r="E31" s="403">
        <f>D31-B31</f>
        <v>-917500</v>
      </c>
      <c r="F31" s="344">
        <f t="shared" si="0"/>
        <v>-0.20631014474764728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38"/>
      <c r="D33" s="138"/>
      <c r="E33" s="138"/>
      <c r="F33" s="35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55" t="str">
        <f>IF(ISBLANK(E35),"  ",IF(B35&gt;0,E35/B35,IF(E35&gt;0,1,0)))</f>
        <v xml:space="preserve">  </v>
      </c>
      <c r="G35" s="24"/>
      <c r="H35" s="24"/>
    </row>
    <row r="36" spans="1:8" ht="35.25">
      <c r="A36" s="139"/>
      <c r="B36" s="133"/>
      <c r="C36" s="133"/>
      <c r="D36" s="133"/>
      <c r="E36" s="133"/>
      <c r="F36" s="356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107</v>
      </c>
      <c r="B37" s="147">
        <v>0</v>
      </c>
      <c r="C37" s="147">
        <v>0</v>
      </c>
      <c r="D37" s="147">
        <v>729677</v>
      </c>
      <c r="E37" s="147">
        <f>D37-B37</f>
        <v>729677</v>
      </c>
      <c r="F37" s="366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2253155</v>
      </c>
      <c r="C39" s="147">
        <v>2253155</v>
      </c>
      <c r="D39" s="147">
        <v>2387186</v>
      </c>
      <c r="E39" s="147">
        <f>D39-B39</f>
        <v>134031</v>
      </c>
      <c r="F39" s="366">
        <f>IF(ISBLANK(E39),"  ",IF(B39&gt;0,E39/B39,IF(E39&gt;0,1,0)))</f>
        <v>5.9485920853203617E-2</v>
      </c>
      <c r="G39" s="24"/>
      <c r="H39" s="24"/>
    </row>
    <row r="40" spans="1:8" ht="35.25">
      <c r="A40" s="132" t="s">
        <v>35</v>
      </c>
      <c r="B40" s="133"/>
      <c r="C40" s="133"/>
      <c r="D40" s="133"/>
      <c r="E40" s="133"/>
      <c r="F40" s="356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66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47">
        <f>B41+B39+B37+B35+B31</f>
        <v>6700343</v>
      </c>
      <c r="C43" s="147">
        <f>C41+C39+C37+C35+C31</f>
        <v>6700923</v>
      </c>
      <c r="D43" s="147">
        <f>D41+D39+D37+D35+D31</f>
        <v>6646551</v>
      </c>
      <c r="E43" s="147">
        <f>D43-B43</f>
        <v>-53792</v>
      </c>
      <c r="F43" s="366">
        <f>IF(ISBLANK(E43),"  ",IF(B43&gt;0,E43/B43,IF(E43&gt;0,1,0)))</f>
        <v>-8.028245718166965E-3</v>
      </c>
      <c r="G43" s="24"/>
      <c r="H43" s="24"/>
    </row>
    <row r="44" spans="1:8" ht="35.25">
      <c r="A44" s="407"/>
      <c r="B44" s="408"/>
      <c r="C44" s="408"/>
      <c r="D44" s="408"/>
      <c r="E44" s="408"/>
      <c r="F44" s="383" t="str">
        <f>IF(ISBLANK(E44),"  ",IF(C44&gt;0,E44/C44,IF(E44&gt;0,1,0)))</f>
        <v xml:space="preserve">  </v>
      </c>
      <c r="G44" s="24"/>
      <c r="H44" s="24"/>
    </row>
    <row r="45" spans="1:8" ht="35.25">
      <c r="A45" s="298"/>
      <c r="B45" s="299"/>
      <c r="C45" s="299"/>
      <c r="D45" s="299"/>
      <c r="E45" s="299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72" t="s">
        <v>40</v>
      </c>
      <c r="B46" s="401"/>
      <c r="C46" s="401"/>
      <c r="D46" s="401"/>
      <c r="E46" s="401"/>
      <c r="F46" s="399" t="str">
        <f>IF(ISBLANK(E46),"  ",IF(C46&gt;0,E46/C46,IF(E46&gt;0,1,0)))</f>
        <v xml:space="preserve">  </v>
      </c>
      <c r="G46" s="24"/>
      <c r="H46" s="24"/>
    </row>
    <row r="47" spans="1:8" ht="34.5">
      <c r="A47" s="263" t="s">
        <v>41</v>
      </c>
      <c r="B47" s="264">
        <v>2647291</v>
      </c>
      <c r="C47" s="264">
        <v>2647910</v>
      </c>
      <c r="D47" s="264">
        <v>2806259</v>
      </c>
      <c r="E47" s="264">
        <f>D47-B47</f>
        <v>158968</v>
      </c>
      <c r="F47" s="343">
        <f t="shared" ref="F47:F60" si="1">IF(ISBLANK(E47),"  ",IF(B47&gt;0,E47/B47,IF(E47&gt;0,1,0)))</f>
        <v>6.0049310786007282E-2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43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43" t="str">
        <f t="shared" si="1"/>
        <v xml:space="preserve">  </v>
      </c>
      <c r="G49" s="24"/>
      <c r="H49" s="24"/>
    </row>
    <row r="50" spans="1:8" ht="34.5">
      <c r="A50" s="156" t="s">
        <v>44</v>
      </c>
      <c r="B50" s="157">
        <v>778222</v>
      </c>
      <c r="C50" s="157">
        <v>779027</v>
      </c>
      <c r="D50" s="157">
        <v>622829</v>
      </c>
      <c r="E50" s="157">
        <f t="shared" ref="E50:E55" si="2">D50-B50</f>
        <v>-155393</v>
      </c>
      <c r="F50" s="343">
        <f t="shared" si="1"/>
        <v>-0.1996769559328829</v>
      </c>
      <c r="G50" s="24"/>
      <c r="H50" s="24"/>
    </row>
    <row r="51" spans="1:8" ht="34.5">
      <c r="A51" s="158" t="s">
        <v>45</v>
      </c>
      <c r="B51" s="159">
        <v>742930</v>
      </c>
      <c r="C51" s="159">
        <v>743267</v>
      </c>
      <c r="D51" s="159">
        <v>739910</v>
      </c>
      <c r="E51" s="159">
        <f t="shared" si="2"/>
        <v>-3020</v>
      </c>
      <c r="F51" s="343">
        <f t="shared" si="1"/>
        <v>-4.0649859340718504E-3</v>
      </c>
      <c r="G51" s="24"/>
      <c r="H51" s="24"/>
    </row>
    <row r="52" spans="1:8" ht="34.5">
      <c r="A52" s="156" t="s">
        <v>74</v>
      </c>
      <c r="B52" s="157">
        <f>1905012-99834</f>
        <v>1805178</v>
      </c>
      <c r="C52" s="157">
        <v>1804530</v>
      </c>
      <c r="D52" s="157">
        <f>1864436-116324</f>
        <v>1748112</v>
      </c>
      <c r="E52" s="157">
        <f t="shared" si="2"/>
        <v>-57066</v>
      </c>
      <c r="F52" s="343">
        <f t="shared" si="1"/>
        <v>-3.1612395010353553E-2</v>
      </c>
      <c r="G52" s="24"/>
      <c r="H52" s="24"/>
    </row>
    <row r="53" spans="1:8" ht="34.5">
      <c r="A53" s="156" t="s">
        <v>46</v>
      </c>
      <c r="B53" s="157">
        <v>141175</v>
      </c>
      <c r="C53" s="157">
        <v>140000</v>
      </c>
      <c r="D53" s="157">
        <v>146018</v>
      </c>
      <c r="E53" s="157">
        <f t="shared" si="2"/>
        <v>4843</v>
      </c>
      <c r="F53" s="343">
        <f t="shared" si="1"/>
        <v>3.4304940676465383E-2</v>
      </c>
      <c r="G53" s="24"/>
      <c r="H53" s="24"/>
    </row>
    <row r="54" spans="1:8" ht="34.5">
      <c r="A54" s="153" t="s">
        <v>47</v>
      </c>
      <c r="B54" s="160">
        <v>485713</v>
      </c>
      <c r="C54" s="160">
        <v>484980</v>
      </c>
      <c r="D54" s="160">
        <v>467099</v>
      </c>
      <c r="E54" s="159">
        <f t="shared" si="2"/>
        <v>-18614</v>
      </c>
      <c r="F54" s="343">
        <f t="shared" si="1"/>
        <v>-3.8323042619818698E-2</v>
      </c>
      <c r="G54" s="24"/>
      <c r="H54" s="24"/>
    </row>
    <row r="55" spans="1:8" ht="35.25">
      <c r="A55" s="114" t="s">
        <v>48</v>
      </c>
      <c r="B55" s="116">
        <f>SUM(B47:B54)</f>
        <v>6600509</v>
      </c>
      <c r="C55" s="116">
        <f>SUM(C47:C54)</f>
        <v>6599714</v>
      </c>
      <c r="D55" s="116">
        <f>SUM(D47:D54)</f>
        <v>6530227</v>
      </c>
      <c r="E55" s="127">
        <f t="shared" si="2"/>
        <v>-70282</v>
      </c>
      <c r="F55" s="343">
        <f t="shared" si="1"/>
        <v>-1.0647966694689759E-2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43" t="str">
        <f t="shared" si="1"/>
        <v xml:space="preserve">  </v>
      </c>
      <c r="G56" s="24"/>
      <c r="H56" s="24"/>
    </row>
    <row r="57" spans="1:8" ht="34.5">
      <c r="A57" s="117" t="s">
        <v>50</v>
      </c>
      <c r="B57" s="118">
        <v>99834</v>
      </c>
      <c r="C57" s="118">
        <v>101209</v>
      </c>
      <c r="D57" s="118">
        <v>116324</v>
      </c>
      <c r="E57" s="128">
        <f>D57-B57</f>
        <v>16490</v>
      </c>
      <c r="F57" s="343">
        <f t="shared" si="1"/>
        <v>0.16517418915399562</v>
      </c>
      <c r="G57" s="24"/>
      <c r="H57" s="24"/>
    </row>
    <row r="58" spans="1:8" ht="34.5">
      <c r="A58" s="279" t="s">
        <v>51</v>
      </c>
      <c r="B58" s="280"/>
      <c r="C58" s="280"/>
      <c r="D58" s="280"/>
      <c r="E58" s="281"/>
      <c r="F58" s="343" t="str">
        <f t="shared" si="1"/>
        <v xml:space="preserve">  </v>
      </c>
      <c r="G58" s="24"/>
      <c r="H58" s="24"/>
    </row>
    <row r="59" spans="1:8" ht="34.5">
      <c r="A59" s="176" t="s">
        <v>52</v>
      </c>
      <c r="B59" s="177"/>
      <c r="C59" s="177"/>
      <c r="D59" s="177"/>
      <c r="E59" s="167"/>
      <c r="F59" s="343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6700343</v>
      </c>
      <c r="C60" s="116">
        <f>C59+C58+C57+C56+C55</f>
        <v>6700923</v>
      </c>
      <c r="D60" s="116">
        <f>D59+D58+D57+D56+D55</f>
        <v>6646551</v>
      </c>
      <c r="E60" s="127">
        <f>D60-B60</f>
        <v>-53792</v>
      </c>
      <c r="F60" s="343">
        <f t="shared" si="1"/>
        <v>-8.028245718166965E-3</v>
      </c>
      <c r="G60" s="24"/>
      <c r="H60" s="24"/>
    </row>
    <row r="61" spans="1:8" ht="34.5">
      <c r="A61" s="117"/>
      <c r="B61" s="118"/>
      <c r="C61" s="118"/>
      <c r="D61" s="118"/>
      <c r="E61" s="128"/>
      <c r="F61" s="361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3833859</v>
      </c>
      <c r="C63" s="254">
        <v>3842648</v>
      </c>
      <c r="D63" s="254">
        <v>3936136</v>
      </c>
      <c r="E63" s="166">
        <f t="shared" ref="E63:E72" si="3">D63-B63</f>
        <v>102277</v>
      </c>
      <c r="F63" s="343">
        <f t="shared" ref="F63:F80" si="4">IF(ISBLANK(E63),"  ",IF(B63&gt;0,E63/B63,IF(E63&gt;0,1,0)))</f>
        <v>2.6677298252230978E-2</v>
      </c>
      <c r="G63" s="24"/>
      <c r="H63" s="24"/>
    </row>
    <row r="64" spans="1:8" ht="34.5">
      <c r="A64" s="150" t="s">
        <v>56</v>
      </c>
      <c r="B64" s="254">
        <v>46921</v>
      </c>
      <c r="C64" s="254">
        <v>47550</v>
      </c>
      <c r="D64" s="254">
        <v>41000</v>
      </c>
      <c r="E64" s="166">
        <f t="shared" si="3"/>
        <v>-5921</v>
      </c>
      <c r="F64" s="343">
        <f t="shared" si="4"/>
        <v>-0.12619083139745529</v>
      </c>
      <c r="G64" s="24"/>
      <c r="H64" s="24"/>
    </row>
    <row r="65" spans="1:8" ht="34.5">
      <c r="A65" s="30" t="s">
        <v>57</v>
      </c>
      <c r="B65" s="92">
        <v>968958</v>
      </c>
      <c r="C65" s="92">
        <v>965568</v>
      </c>
      <c r="D65" s="92">
        <v>958195</v>
      </c>
      <c r="E65" s="98">
        <f t="shared" si="3"/>
        <v>-10763</v>
      </c>
      <c r="F65" s="343">
        <f t="shared" si="4"/>
        <v>-1.110780859438696E-2</v>
      </c>
      <c r="G65" s="24"/>
      <c r="H65" s="24"/>
    </row>
    <row r="66" spans="1:8" ht="35.25">
      <c r="A66" s="114" t="s">
        <v>58</v>
      </c>
      <c r="B66" s="116">
        <f>SUM(B63:B65)</f>
        <v>4849738</v>
      </c>
      <c r="C66" s="116">
        <f>SUM(C63:C65)</f>
        <v>4855766</v>
      </c>
      <c r="D66" s="116">
        <f>SUM(D63:D65)</f>
        <v>4935331</v>
      </c>
      <c r="E66" s="127">
        <f t="shared" si="3"/>
        <v>85593</v>
      </c>
      <c r="F66" s="343">
        <f t="shared" si="4"/>
        <v>1.7648994646721122E-2</v>
      </c>
      <c r="G66" s="24"/>
      <c r="H66" s="24"/>
    </row>
    <row r="67" spans="1:8" ht="34.5">
      <c r="A67" s="117" t="s">
        <v>59</v>
      </c>
      <c r="B67" s="118">
        <v>90390</v>
      </c>
      <c r="C67" s="118">
        <v>89220</v>
      </c>
      <c r="D67" s="118">
        <v>67520</v>
      </c>
      <c r="E67" s="128">
        <f t="shared" si="3"/>
        <v>-22870</v>
      </c>
      <c r="F67" s="343">
        <f t="shared" si="4"/>
        <v>-0.25301471401703729</v>
      </c>
      <c r="G67" s="24"/>
      <c r="H67" s="24"/>
    </row>
    <row r="68" spans="1:8" ht="34.5">
      <c r="A68" s="126" t="s">
        <v>60</v>
      </c>
      <c r="B68" s="118">
        <v>1107204</v>
      </c>
      <c r="C68" s="118">
        <v>1105408</v>
      </c>
      <c r="D68" s="118">
        <v>1076840</v>
      </c>
      <c r="E68" s="128">
        <f t="shared" si="3"/>
        <v>-30364</v>
      </c>
      <c r="F68" s="343">
        <f t="shared" si="4"/>
        <v>-2.7424033872709998E-2</v>
      </c>
      <c r="G68" s="24"/>
      <c r="H68" s="24"/>
    </row>
    <row r="69" spans="1:8" ht="34.5">
      <c r="A69" s="151" t="s">
        <v>61</v>
      </c>
      <c r="B69" s="166">
        <v>176210</v>
      </c>
      <c r="C69" s="166">
        <v>177950</v>
      </c>
      <c r="D69" s="166">
        <v>159734</v>
      </c>
      <c r="E69" s="166">
        <f t="shared" si="3"/>
        <v>-16476</v>
      </c>
      <c r="F69" s="343">
        <f t="shared" si="4"/>
        <v>-9.3502071392088978E-2</v>
      </c>
      <c r="G69" s="24"/>
      <c r="H69" s="24"/>
    </row>
    <row r="70" spans="1:8" ht="35.25">
      <c r="A70" s="265" t="s">
        <v>62</v>
      </c>
      <c r="B70" s="174">
        <f>SUM(B67:B69)</f>
        <v>1373804</v>
      </c>
      <c r="C70" s="174">
        <f>SUM(C67:C69)</f>
        <v>1372578</v>
      </c>
      <c r="D70" s="174">
        <f>SUM(D67:D69)</f>
        <v>1304094</v>
      </c>
      <c r="E70" s="174">
        <f t="shared" si="3"/>
        <v>-69710</v>
      </c>
      <c r="F70" s="343">
        <f t="shared" si="4"/>
        <v>-5.0742318409321856E-2</v>
      </c>
      <c r="G70" s="24"/>
      <c r="H70" s="24"/>
    </row>
    <row r="71" spans="1:8" ht="34.5">
      <c r="A71" s="176" t="s">
        <v>63</v>
      </c>
      <c r="B71" s="177">
        <v>37733</v>
      </c>
      <c r="C71" s="177">
        <v>37000</v>
      </c>
      <c r="D71" s="177">
        <v>22200</v>
      </c>
      <c r="E71" s="177">
        <f t="shared" si="3"/>
        <v>-15533</v>
      </c>
      <c r="F71" s="343">
        <f t="shared" si="4"/>
        <v>-0.41165557999628971</v>
      </c>
      <c r="G71" s="24"/>
      <c r="H71" s="24"/>
    </row>
    <row r="72" spans="1:8" ht="34.5">
      <c r="A72" s="117" t="s">
        <v>64</v>
      </c>
      <c r="B72" s="118">
        <f>360037-99834</f>
        <v>260203</v>
      </c>
      <c r="C72" s="118">
        <v>258418</v>
      </c>
      <c r="D72" s="118">
        <f>384926-116324</f>
        <v>268602</v>
      </c>
      <c r="E72" s="128">
        <f t="shared" si="3"/>
        <v>8399</v>
      </c>
      <c r="F72" s="343">
        <f t="shared" si="4"/>
        <v>3.2278643981814202E-2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43" t="str">
        <f t="shared" si="4"/>
        <v xml:space="preserve">  </v>
      </c>
      <c r="G73" s="24"/>
      <c r="H73" s="24"/>
    </row>
    <row r="74" spans="1:8" ht="34.5">
      <c r="A74" s="126" t="s">
        <v>66</v>
      </c>
      <c r="B74" s="128">
        <v>99834</v>
      </c>
      <c r="C74" s="128">
        <v>101209</v>
      </c>
      <c r="D74" s="128">
        <v>116324</v>
      </c>
      <c r="E74" s="128">
        <f>D74-B74</f>
        <v>16490</v>
      </c>
      <c r="F74" s="343">
        <f t="shared" si="4"/>
        <v>0.16517418915399562</v>
      </c>
      <c r="G74" s="24"/>
      <c r="H74" s="24"/>
    </row>
    <row r="75" spans="1:8" ht="35.25">
      <c r="A75" s="114" t="s">
        <v>67</v>
      </c>
      <c r="B75" s="116">
        <f>SUM(B71:B74)</f>
        <v>397770</v>
      </c>
      <c r="C75" s="116">
        <f>SUM(C71:C74)</f>
        <v>396627</v>
      </c>
      <c r="D75" s="116">
        <f>SUM(D71:D74)</f>
        <v>407126</v>
      </c>
      <c r="E75" s="116">
        <f>D75-B75</f>
        <v>9356</v>
      </c>
      <c r="F75" s="343">
        <f t="shared" si="4"/>
        <v>2.3521130301430476E-2</v>
      </c>
      <c r="G75" s="24"/>
      <c r="H75" s="24"/>
    </row>
    <row r="76" spans="1:8" ht="34.5">
      <c r="A76" s="117" t="s">
        <v>68</v>
      </c>
      <c r="B76" s="118">
        <v>79031</v>
      </c>
      <c r="C76" s="118">
        <v>75952</v>
      </c>
      <c r="D76" s="118">
        <v>0</v>
      </c>
      <c r="E76" s="118">
        <f>D76-B76</f>
        <v>-79031</v>
      </c>
      <c r="F76" s="343">
        <f t="shared" si="4"/>
        <v>-1</v>
      </c>
      <c r="G76" s="24"/>
      <c r="H76" s="24"/>
    </row>
    <row r="77" spans="1:8" ht="34.5">
      <c r="A77" s="117" t="s">
        <v>69</v>
      </c>
      <c r="B77" s="118"/>
      <c r="C77" s="118"/>
      <c r="D77" s="118"/>
      <c r="E77" s="118"/>
      <c r="F77" s="343" t="str">
        <f t="shared" si="4"/>
        <v xml:space="preserve">  </v>
      </c>
      <c r="G77" s="24"/>
      <c r="H77" s="24"/>
    </row>
    <row r="78" spans="1:8" ht="34.5">
      <c r="A78" s="150" t="s">
        <v>70</v>
      </c>
      <c r="B78" s="254"/>
      <c r="C78" s="254"/>
      <c r="D78" s="254"/>
      <c r="E78" s="254"/>
      <c r="F78" s="343" t="str">
        <f t="shared" si="4"/>
        <v xml:space="preserve">  </v>
      </c>
      <c r="G78" s="24"/>
      <c r="H78" s="24"/>
    </row>
    <row r="79" spans="1:8" ht="35.25">
      <c r="A79" s="119" t="s">
        <v>71</v>
      </c>
      <c r="B79" s="120">
        <f>SUM(B76:B78)</f>
        <v>79031</v>
      </c>
      <c r="C79" s="120">
        <f>SUM(C76:C78)</f>
        <v>75952</v>
      </c>
      <c r="D79" s="120">
        <f>SUM(D76:D78)</f>
        <v>0</v>
      </c>
      <c r="E79" s="120">
        <f>D79-B79</f>
        <v>-79031</v>
      </c>
      <c r="F79" s="343">
        <f t="shared" si="4"/>
        <v>-1</v>
      </c>
      <c r="G79" s="24"/>
      <c r="H79" s="24"/>
    </row>
    <row r="80" spans="1:8" ht="35.25">
      <c r="A80" s="274" t="s">
        <v>53</v>
      </c>
      <c r="B80" s="275">
        <f>B79+B75+B70+B66</f>
        <v>6700343</v>
      </c>
      <c r="C80" s="275">
        <f>C79+C75+C70+C66</f>
        <v>6700923</v>
      </c>
      <c r="D80" s="275">
        <f>D79+D75+D70+D66</f>
        <v>6646551</v>
      </c>
      <c r="E80" s="275">
        <f>D80-B80</f>
        <v>-53792</v>
      </c>
      <c r="F80" s="369">
        <f t="shared" si="4"/>
        <v>-8.028245718166965E-3</v>
      </c>
      <c r="G80" s="24"/>
      <c r="H80" s="24"/>
    </row>
    <row r="81" spans="1:49" ht="35.25">
      <c r="A81" s="259"/>
      <c r="B81" s="260"/>
      <c r="C81" s="260"/>
      <c r="D81" s="260"/>
      <c r="E81" s="260"/>
      <c r="F81" s="387"/>
      <c r="G81" s="24"/>
      <c r="H81" s="24"/>
    </row>
    <row r="82" spans="1:49" ht="44.25">
      <c r="A82" s="262" t="s">
        <v>96</v>
      </c>
      <c r="B82" s="286"/>
      <c r="C82" s="286"/>
      <c r="D82" s="260"/>
      <c r="E82" s="260"/>
      <c r="F82" s="387"/>
      <c r="G82" s="24"/>
      <c r="H82" s="24"/>
    </row>
    <row r="83" spans="1:49" s="411" customFormat="1" ht="45">
      <c r="A83" s="262" t="s">
        <v>72</v>
      </c>
      <c r="B83" s="409"/>
      <c r="C83" s="409"/>
      <c r="D83" s="409"/>
      <c r="E83" s="409"/>
      <c r="F83" s="410"/>
      <c r="G83" s="113"/>
      <c r="H83" s="113"/>
    </row>
    <row r="84" spans="1:49" s="411" customFormat="1" ht="44.25">
      <c r="F84" s="317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opLeftCell="A4" zoomScale="30" zoomScaleNormal="30" workbookViewId="0">
      <selection activeCell="K60" sqref="K60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18"/>
      <c r="C1" s="276" t="s">
        <v>1</v>
      </c>
      <c r="D1" s="271" t="s">
        <v>311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/>
      <c r="C7" s="92"/>
      <c r="D7" s="92"/>
      <c r="E7" s="178"/>
      <c r="F7" s="342"/>
      <c r="G7" s="24"/>
      <c r="H7" s="24"/>
      <c r="I7" s="24"/>
      <c r="J7" s="24"/>
    </row>
    <row r="8" spans="1:10" ht="34.5">
      <c r="A8" s="153" t="s">
        <v>14</v>
      </c>
      <c r="B8" s="93">
        <v>7587681</v>
      </c>
      <c r="C8" s="93">
        <v>7587681</v>
      </c>
      <c r="D8" s="93">
        <v>5496113</v>
      </c>
      <c r="E8" s="178">
        <f>D8-B8</f>
        <v>-2091568</v>
      </c>
      <c r="F8" s="343">
        <f>IF(ISBLANK(E8),"  ",IF(B8&gt;0,E8/B8,IF(E8&gt;0,1,0)))</f>
        <v>-0.27565312774746331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507983</v>
      </c>
      <c r="E9" s="93">
        <f>D9-B9</f>
        <v>507983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51324</v>
      </c>
      <c r="C10" s="93">
        <f>SUM(C11:C25)</f>
        <v>52917</v>
      </c>
      <c r="D10" s="93">
        <f>SUM(D11:D25)</f>
        <v>88753</v>
      </c>
      <c r="E10" s="93">
        <f>D10-B10</f>
        <v>37429</v>
      </c>
      <c r="F10" s="343">
        <f t="shared" si="0"/>
        <v>0.72926895799236224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42973</v>
      </c>
      <c r="E11" s="93">
        <f>D11-B11</f>
        <v>42973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51324</v>
      </c>
      <c r="C12" s="93">
        <v>52917</v>
      </c>
      <c r="D12" s="93">
        <v>45780</v>
      </c>
      <c r="E12" s="93">
        <f>D12-B12</f>
        <v>-5544</v>
      </c>
      <c r="F12" s="343">
        <f t="shared" si="0"/>
        <v>-0.10801963993453355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116"/>
      <c r="C26" s="116"/>
      <c r="D26" s="116"/>
      <c r="E26" s="116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42.75" customHeight="1">
      <c r="A29" s="117" t="s">
        <v>30</v>
      </c>
      <c r="B29" s="94"/>
      <c r="C29" s="94"/>
      <c r="D29" s="94"/>
      <c r="E29" s="94"/>
      <c r="F29" s="343" t="str">
        <f t="shared" si="0"/>
        <v xml:space="preserve">  </v>
      </c>
      <c r="G29" s="24"/>
      <c r="H29" s="24"/>
    </row>
    <row r="30" spans="1:8" ht="42.75" customHeight="1">
      <c r="A30" s="279" t="s">
        <v>32</v>
      </c>
      <c r="B30" s="393"/>
      <c r="C30" s="393"/>
      <c r="D30" s="393"/>
      <c r="E30" s="393"/>
      <c r="F30" s="343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B30+B29+B27+B10+B9+B8</f>
        <v>7639005</v>
      </c>
      <c r="C31" s="403">
        <f>C30+C29+C27+C10+C9+C8</f>
        <v>7640598</v>
      </c>
      <c r="D31" s="403">
        <f>D30+D29+D27+D10+D9+D8</f>
        <v>6092849</v>
      </c>
      <c r="E31" s="403">
        <f>D31-B31</f>
        <v>-1546156</v>
      </c>
      <c r="F31" s="344">
        <f t="shared" si="0"/>
        <v>-0.20240279984107878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>IF(ISBLANK(E32),"  ",IF(C32&gt;0,E32/C32,IF(E32&gt;0,1,0)))</f>
        <v xml:space="preserve">  </v>
      </c>
      <c r="G32" s="24"/>
      <c r="H32" s="24"/>
    </row>
    <row r="33" spans="1:10" ht="35.25">
      <c r="A33" s="130" t="s">
        <v>34</v>
      </c>
      <c r="B33" s="147"/>
      <c r="C33" s="138"/>
      <c r="D33" s="138"/>
      <c r="E33" s="138"/>
      <c r="F33" s="366" t="str">
        <f>IF(ISBLANK(E33),"  ",IF(B33&gt;0,E33/B33,IF(E33&gt;0,1,0)))</f>
        <v xml:space="preserve">  </v>
      </c>
      <c r="G33" s="24"/>
      <c r="H33" s="24"/>
    </row>
    <row r="34" spans="1:10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10" ht="35.25">
      <c r="A35" s="137" t="s">
        <v>36</v>
      </c>
      <c r="B35" s="147"/>
      <c r="C35" s="147"/>
      <c r="D35" s="147"/>
      <c r="E35" s="147"/>
      <c r="F35" s="366" t="str">
        <f>IF(ISBLANK(E35),"  ",IF(B35&gt;0,E35/B35,IF(E35&gt;0,1,0)))</f>
        <v xml:space="preserve">  </v>
      </c>
      <c r="G35" s="24"/>
      <c r="H35" s="24"/>
    </row>
    <row r="36" spans="1:10" ht="35.25">
      <c r="A36" s="139" t="s">
        <v>35</v>
      </c>
      <c r="B36" s="133"/>
      <c r="C36" s="133"/>
      <c r="D36" s="133"/>
      <c r="E36" s="133"/>
      <c r="F36" s="356" t="str">
        <f>IF(ISBLANK(E36),"  ",IF(C36&gt;0,E36/C36,IF(E36&gt;0,1,0)))</f>
        <v xml:space="preserve">  </v>
      </c>
      <c r="G36" s="24"/>
      <c r="H36" s="24"/>
    </row>
    <row r="37" spans="1:10" ht="35.25">
      <c r="A37" s="130" t="s">
        <v>97</v>
      </c>
      <c r="B37" s="147">
        <v>0</v>
      </c>
      <c r="C37" s="147">
        <v>0</v>
      </c>
      <c r="D37" s="147">
        <v>1234933</v>
      </c>
      <c r="E37" s="147">
        <f>D37-B37</f>
        <v>1234933</v>
      </c>
      <c r="F37" s="366">
        <f>IF(ISBLANK(E37),"  ",IF(B37&gt;0,E37/B37,IF(E37&gt;0,1,0)))</f>
        <v>1</v>
      </c>
      <c r="G37" s="24"/>
      <c r="H37" s="24"/>
    </row>
    <row r="38" spans="1:10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10" ht="35.25">
      <c r="A39" s="130" t="s">
        <v>37</v>
      </c>
      <c r="B39" s="147">
        <v>4264569</v>
      </c>
      <c r="C39" s="147">
        <v>4264569</v>
      </c>
      <c r="D39" s="147">
        <v>4706956</v>
      </c>
      <c r="E39" s="147">
        <f>D39-B39</f>
        <v>442387</v>
      </c>
      <c r="F39" s="366">
        <f>IF(ISBLANK(E39),"  ",IF(B39&gt;0,E39/B39,IF(E39&gt;0,1,0)))</f>
        <v>0.10373545368828596</v>
      </c>
      <c r="G39" s="24"/>
      <c r="H39" s="24"/>
    </row>
    <row r="40" spans="1:10" ht="35.25">
      <c r="A40" s="132" t="s">
        <v>35</v>
      </c>
      <c r="B40" s="133"/>
      <c r="C40" s="133"/>
      <c r="D40" s="133"/>
      <c r="E40" s="133"/>
      <c r="F40" s="356" t="str">
        <f>IF(ISBLANK(E40),"  ",IF(C40&gt;0,E40/C40,IF(E40&gt;0,1,0)))</f>
        <v xml:space="preserve">  </v>
      </c>
      <c r="G40" s="24"/>
      <c r="H40" s="24"/>
    </row>
    <row r="41" spans="1:10" ht="35.25">
      <c r="A41" s="130" t="s">
        <v>38</v>
      </c>
      <c r="B41" s="147"/>
      <c r="C41" s="147"/>
      <c r="D41" s="147"/>
      <c r="E41" s="147"/>
      <c r="F41" s="366" t="str">
        <f>IF(ISBLANK(E41),"  ",IF(B41&gt;0,E41/B41,IF(E41&gt;0,1,0)))</f>
        <v xml:space="preserve">  </v>
      </c>
      <c r="G41" s="24"/>
      <c r="H41" s="24"/>
    </row>
    <row r="42" spans="1:10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10" ht="35.25">
      <c r="A43" s="137" t="s">
        <v>39</v>
      </c>
      <c r="B43" s="147">
        <f>B41+B39+B37+B35+B31</f>
        <v>11903574</v>
      </c>
      <c r="C43" s="147">
        <f>C41+C39+C37+C35+C31</f>
        <v>11905167</v>
      </c>
      <c r="D43" s="147">
        <f>D41+D39+D37+D35+D31</f>
        <v>12034738</v>
      </c>
      <c r="E43" s="147">
        <f>D43-B43</f>
        <v>131164</v>
      </c>
      <c r="F43" s="366">
        <f>IF(ISBLANK(E43),"  ",IF(B43&gt;0,E43/B43,IF(E43&gt;0,1,0)))</f>
        <v>1.1018875507473637E-2</v>
      </c>
      <c r="G43" s="24"/>
      <c r="H43" s="24"/>
    </row>
    <row r="44" spans="1:10" ht="35.25">
      <c r="A44" s="407"/>
      <c r="B44" s="408"/>
      <c r="C44" s="408"/>
      <c r="D44" s="408"/>
      <c r="E44" s="408"/>
      <c r="F44" s="383" t="str">
        <f>IF(ISBLANK(E44),"  ",IF(C44&gt;0,E44/C44,IF(E44&gt;0,1,0)))</f>
        <v xml:space="preserve">  </v>
      </c>
      <c r="G44" s="24"/>
      <c r="H44" s="24"/>
    </row>
    <row r="45" spans="1:10" ht="35.25">
      <c r="A45" s="298"/>
      <c r="B45" s="299"/>
      <c r="C45" s="299"/>
      <c r="D45" s="299"/>
      <c r="E45" s="299"/>
      <c r="F45" s="345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172" t="s">
        <v>40</v>
      </c>
      <c r="B46" s="401"/>
      <c r="C46" s="401"/>
      <c r="D46" s="401"/>
      <c r="E46" s="401"/>
      <c r="F46" s="399" t="str">
        <f>IF(ISBLANK(E46),"  ",IF(C46&gt;0,E46/C46,IF(E46&gt;0,1,0)))</f>
        <v xml:space="preserve">  </v>
      </c>
      <c r="G46" s="24"/>
      <c r="H46" s="24"/>
    </row>
    <row r="47" spans="1:10" ht="34.5">
      <c r="A47" s="263" t="s">
        <v>41</v>
      </c>
      <c r="B47" s="264">
        <v>5323627</v>
      </c>
      <c r="C47" s="264">
        <v>5618471</v>
      </c>
      <c r="D47" s="264">
        <v>5718461</v>
      </c>
      <c r="E47" s="157">
        <f>D47-B47</f>
        <v>394834</v>
      </c>
      <c r="F47" s="343">
        <f t="shared" ref="F47:F60" si="1">IF(ISBLANK(E47),"  ",IF(B47&gt;0,E47/B47,IF(E47&gt;0,1,0)))</f>
        <v>7.416635312729461E-2</v>
      </c>
      <c r="G47" s="24"/>
      <c r="H47" s="24"/>
    </row>
    <row r="48" spans="1:10" ht="34.5">
      <c r="A48" s="168" t="s">
        <v>42</v>
      </c>
      <c r="B48" s="169"/>
      <c r="C48" s="169"/>
      <c r="D48" s="169"/>
      <c r="E48" s="169"/>
      <c r="F48" s="343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43" t="str">
        <f t="shared" si="1"/>
        <v xml:space="preserve">  </v>
      </c>
      <c r="G49" s="24"/>
      <c r="H49" s="24"/>
    </row>
    <row r="50" spans="1:8" ht="34.5">
      <c r="A50" s="156" t="s">
        <v>44</v>
      </c>
      <c r="B50" s="157">
        <v>1821778</v>
      </c>
      <c r="C50" s="157">
        <v>1726141</v>
      </c>
      <c r="D50" s="157">
        <v>1830923</v>
      </c>
      <c r="E50" s="157">
        <f t="shared" ref="E50:E55" si="2">D50-B50</f>
        <v>9145</v>
      </c>
      <c r="F50" s="343">
        <f t="shared" si="1"/>
        <v>5.0198212954597103E-3</v>
      </c>
      <c r="G50" s="24"/>
      <c r="H50" s="24"/>
    </row>
    <row r="51" spans="1:8" ht="34.5">
      <c r="A51" s="158" t="s">
        <v>45</v>
      </c>
      <c r="B51" s="159">
        <v>655326</v>
      </c>
      <c r="C51" s="159">
        <v>649251</v>
      </c>
      <c r="D51" s="159">
        <v>653250</v>
      </c>
      <c r="E51" s="159">
        <f t="shared" si="2"/>
        <v>-2076</v>
      </c>
      <c r="F51" s="343">
        <f t="shared" si="1"/>
        <v>-3.1678889590829604E-3</v>
      </c>
      <c r="G51" s="24"/>
      <c r="H51" s="24"/>
    </row>
    <row r="52" spans="1:8" ht="34.5">
      <c r="A52" s="156" t="s">
        <v>74</v>
      </c>
      <c r="B52" s="157">
        <v>1774390</v>
      </c>
      <c r="C52" s="157">
        <v>1945547</v>
      </c>
      <c r="D52" s="157">
        <v>1906777</v>
      </c>
      <c r="E52" s="157">
        <f t="shared" si="2"/>
        <v>132387</v>
      </c>
      <c r="F52" s="343">
        <f t="shared" si="1"/>
        <v>7.4609865925754762E-2</v>
      </c>
      <c r="G52" s="24"/>
      <c r="H52" s="24"/>
    </row>
    <row r="53" spans="1:8" ht="34.5">
      <c r="A53" s="156" t="s">
        <v>46</v>
      </c>
      <c r="B53" s="157">
        <v>278802</v>
      </c>
      <c r="C53" s="157">
        <v>130000</v>
      </c>
      <c r="D53" s="157">
        <v>130000</v>
      </c>
      <c r="E53" s="157">
        <f t="shared" si="2"/>
        <v>-148802</v>
      </c>
      <c r="F53" s="343">
        <f t="shared" si="1"/>
        <v>-0.53371927030652577</v>
      </c>
      <c r="G53" s="24"/>
      <c r="H53" s="24"/>
    </row>
    <row r="54" spans="1:8" ht="34.5">
      <c r="A54" s="153" t="s">
        <v>47</v>
      </c>
      <c r="B54" s="160">
        <v>1789228</v>
      </c>
      <c r="C54" s="160">
        <v>1550658</v>
      </c>
      <c r="D54" s="160">
        <v>1510228</v>
      </c>
      <c r="E54" s="159">
        <f t="shared" si="2"/>
        <v>-279000</v>
      </c>
      <c r="F54" s="343">
        <f t="shared" si="1"/>
        <v>-0.15593317341333804</v>
      </c>
      <c r="G54" s="24"/>
      <c r="H54" s="24"/>
    </row>
    <row r="55" spans="1:8" ht="35.25">
      <c r="A55" s="114" t="s">
        <v>48</v>
      </c>
      <c r="B55" s="116">
        <f>SUM(B47:B54)</f>
        <v>11643151</v>
      </c>
      <c r="C55" s="116">
        <f>SUM(C47:C54)</f>
        <v>11620068</v>
      </c>
      <c r="D55" s="116">
        <f>SUM(D47:D54)</f>
        <v>11749639</v>
      </c>
      <c r="E55" s="127">
        <f t="shared" si="2"/>
        <v>106488</v>
      </c>
      <c r="F55" s="344">
        <f t="shared" si="1"/>
        <v>9.1459777512118492E-3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43" t="str">
        <f t="shared" si="1"/>
        <v xml:space="preserve">  </v>
      </c>
      <c r="G56" s="24"/>
      <c r="H56" s="24"/>
    </row>
    <row r="57" spans="1:8" ht="34.5">
      <c r="A57" s="117" t="s">
        <v>50</v>
      </c>
      <c r="B57" s="118">
        <v>260423</v>
      </c>
      <c r="C57" s="118">
        <v>285099</v>
      </c>
      <c r="D57" s="118">
        <v>285099</v>
      </c>
      <c r="E57" s="157">
        <f>D57-B57</f>
        <v>24676</v>
      </c>
      <c r="F57" s="343">
        <f t="shared" si="1"/>
        <v>9.4753535594014351E-2</v>
      </c>
      <c r="G57" s="24"/>
      <c r="H57" s="24"/>
    </row>
    <row r="58" spans="1:8" ht="34.5">
      <c r="A58" s="279" t="s">
        <v>51</v>
      </c>
      <c r="B58" s="280"/>
      <c r="C58" s="280"/>
      <c r="D58" s="280"/>
      <c r="E58" s="281"/>
      <c r="F58" s="343" t="str">
        <f t="shared" si="1"/>
        <v xml:space="preserve">  </v>
      </c>
      <c r="G58" s="24"/>
      <c r="H58" s="24"/>
    </row>
    <row r="59" spans="1:8" ht="34.5">
      <c r="A59" s="176" t="s">
        <v>52</v>
      </c>
      <c r="B59" s="177"/>
      <c r="C59" s="177"/>
      <c r="D59" s="177"/>
      <c r="E59" s="167"/>
      <c r="F59" s="343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11903574</v>
      </c>
      <c r="C60" s="116">
        <f>C59+C58+C57+C56+C55</f>
        <v>11905167</v>
      </c>
      <c r="D60" s="116">
        <f>D59+D58+D57+D56+D55</f>
        <v>12034738</v>
      </c>
      <c r="E60" s="127">
        <f>D60-B60</f>
        <v>131164</v>
      </c>
      <c r="F60" s="344">
        <f t="shared" si="1"/>
        <v>1.1018875507473637E-2</v>
      </c>
      <c r="G60" s="24"/>
      <c r="H60" s="24"/>
    </row>
    <row r="61" spans="1:8" ht="34.5">
      <c r="A61" s="117"/>
      <c r="B61" s="118"/>
      <c r="C61" s="118"/>
      <c r="D61" s="118"/>
      <c r="E61" s="128"/>
      <c r="F61" s="361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3448089</v>
      </c>
      <c r="C63" s="254">
        <v>3878633</v>
      </c>
      <c r="D63" s="254">
        <v>4068919</v>
      </c>
      <c r="E63" s="166">
        <f t="shared" ref="E63:E72" si="3">D63-B63</f>
        <v>620830</v>
      </c>
      <c r="F63" s="343">
        <f t="shared" ref="F63:F80" si="4">IF(ISBLANK(E63),"  ",IF(B63&gt;0,E63/B63,IF(E63&gt;0,1,0)))</f>
        <v>0.18005045693426128</v>
      </c>
      <c r="G63" s="24"/>
      <c r="H63" s="24"/>
    </row>
    <row r="64" spans="1:8" ht="34.5">
      <c r="A64" s="150" t="s">
        <v>56</v>
      </c>
      <c r="B64" s="254">
        <v>1478895</v>
      </c>
      <c r="C64" s="254">
        <v>1515252</v>
      </c>
      <c r="D64" s="254">
        <v>1515252</v>
      </c>
      <c r="E64" s="166">
        <f t="shared" si="3"/>
        <v>36357</v>
      </c>
      <c r="F64" s="343">
        <f t="shared" si="4"/>
        <v>2.4583895408396134E-2</v>
      </c>
      <c r="G64" s="24"/>
      <c r="H64" s="24"/>
    </row>
    <row r="65" spans="1:8" ht="34.5">
      <c r="A65" s="30" t="s">
        <v>57</v>
      </c>
      <c r="B65" s="92">
        <v>1185604</v>
      </c>
      <c r="C65" s="92">
        <v>1434676</v>
      </c>
      <c r="D65" s="92">
        <v>1480970</v>
      </c>
      <c r="E65" s="98">
        <f t="shared" si="3"/>
        <v>295366</v>
      </c>
      <c r="F65" s="343">
        <f t="shared" si="4"/>
        <v>0.2491270272367502</v>
      </c>
      <c r="G65" s="24"/>
      <c r="H65" s="24"/>
    </row>
    <row r="66" spans="1:8" ht="35.25">
      <c r="A66" s="114" t="s">
        <v>58</v>
      </c>
      <c r="B66" s="116">
        <f>SUM(B63:B65)</f>
        <v>6112588</v>
      </c>
      <c r="C66" s="116">
        <f>SUM(C63:C65)</f>
        <v>6828561</v>
      </c>
      <c r="D66" s="116">
        <f>SUM(D63:D65)</f>
        <v>7065141</v>
      </c>
      <c r="E66" s="127">
        <f t="shared" si="3"/>
        <v>952553</v>
      </c>
      <c r="F66" s="344">
        <f t="shared" si="4"/>
        <v>0.15583464810649761</v>
      </c>
      <c r="G66" s="24"/>
      <c r="H66" s="24"/>
    </row>
    <row r="67" spans="1:8" ht="34.5">
      <c r="A67" s="117" t="s">
        <v>59</v>
      </c>
      <c r="B67" s="118">
        <v>62018</v>
      </c>
      <c r="C67" s="118">
        <v>120250</v>
      </c>
      <c r="D67" s="118">
        <v>120750</v>
      </c>
      <c r="E67" s="128">
        <f t="shared" si="3"/>
        <v>58732</v>
      </c>
      <c r="F67" s="343">
        <f t="shared" si="4"/>
        <v>0.94701538263084906</v>
      </c>
      <c r="G67" s="24"/>
      <c r="H67" s="24"/>
    </row>
    <row r="68" spans="1:8" ht="34.5">
      <c r="A68" s="126" t="s">
        <v>60</v>
      </c>
      <c r="B68" s="118">
        <v>1855811</v>
      </c>
      <c r="C68" s="118">
        <v>1300800</v>
      </c>
      <c r="D68" s="118">
        <v>1300800</v>
      </c>
      <c r="E68" s="128">
        <f t="shared" si="3"/>
        <v>-555011</v>
      </c>
      <c r="F68" s="343">
        <f t="shared" si="4"/>
        <v>-0.29906655365228463</v>
      </c>
      <c r="G68" s="24"/>
      <c r="H68" s="24"/>
    </row>
    <row r="69" spans="1:8" ht="34.5">
      <c r="A69" s="151" t="s">
        <v>61</v>
      </c>
      <c r="B69" s="166">
        <v>300526</v>
      </c>
      <c r="C69" s="166">
        <v>244975</v>
      </c>
      <c r="D69" s="166">
        <v>244975</v>
      </c>
      <c r="E69" s="166">
        <f t="shared" si="3"/>
        <v>-55551</v>
      </c>
      <c r="F69" s="343">
        <f t="shared" si="4"/>
        <v>-0.18484590351583557</v>
      </c>
      <c r="G69" s="24"/>
      <c r="H69" s="24"/>
    </row>
    <row r="70" spans="1:8" ht="35.25">
      <c r="A70" s="265" t="s">
        <v>62</v>
      </c>
      <c r="B70" s="174">
        <f>SUM(B67:B69)</f>
        <v>2218355</v>
      </c>
      <c r="C70" s="174">
        <f>SUM(C67:C69)</f>
        <v>1666025</v>
      </c>
      <c r="D70" s="174">
        <f>SUM(D67:D69)</f>
        <v>1666525</v>
      </c>
      <c r="E70" s="174">
        <f t="shared" si="3"/>
        <v>-551830</v>
      </c>
      <c r="F70" s="344">
        <f t="shared" si="4"/>
        <v>-0.24875639832218016</v>
      </c>
      <c r="G70" s="24"/>
      <c r="H70" s="24"/>
    </row>
    <row r="71" spans="1:8" ht="34.5">
      <c r="A71" s="176" t="s">
        <v>63</v>
      </c>
      <c r="B71" s="177">
        <v>985504</v>
      </c>
      <c r="C71" s="177">
        <v>1175000</v>
      </c>
      <c r="D71" s="177">
        <v>1175000</v>
      </c>
      <c r="E71" s="177">
        <f t="shared" si="3"/>
        <v>189496</v>
      </c>
      <c r="F71" s="343">
        <f t="shared" si="4"/>
        <v>0.19228333928629412</v>
      </c>
      <c r="G71" s="24"/>
      <c r="H71" s="24"/>
    </row>
    <row r="72" spans="1:8" ht="34.5">
      <c r="A72" s="117" t="s">
        <v>64</v>
      </c>
      <c r="B72" s="118">
        <v>454674</v>
      </c>
      <c r="C72" s="118">
        <v>315989</v>
      </c>
      <c r="D72" s="118">
        <v>315989</v>
      </c>
      <c r="E72" s="128">
        <f t="shared" si="3"/>
        <v>-138685</v>
      </c>
      <c r="F72" s="343">
        <f t="shared" si="4"/>
        <v>-0.30502074013468988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43" t="str">
        <f t="shared" si="4"/>
        <v xml:space="preserve">  </v>
      </c>
      <c r="G73" s="24"/>
      <c r="H73" s="24"/>
    </row>
    <row r="74" spans="1:8" ht="34.5">
      <c r="A74" s="126" t="s">
        <v>66</v>
      </c>
      <c r="B74" s="128">
        <v>141536</v>
      </c>
      <c r="C74" s="128">
        <v>144110</v>
      </c>
      <c r="D74" s="128">
        <v>144110</v>
      </c>
      <c r="E74" s="128">
        <f>D74-B74</f>
        <v>2574</v>
      </c>
      <c r="F74" s="343">
        <f t="shared" si="4"/>
        <v>1.8186185846710376E-2</v>
      </c>
      <c r="G74" s="24"/>
      <c r="H74" s="24"/>
    </row>
    <row r="75" spans="1:8" ht="35.25">
      <c r="A75" s="114" t="s">
        <v>67</v>
      </c>
      <c r="B75" s="116">
        <f>SUM(B71:B74)</f>
        <v>1581714</v>
      </c>
      <c r="C75" s="116">
        <f>SUM(C71:C74)</f>
        <v>1635099</v>
      </c>
      <c r="D75" s="116">
        <f>SUM(D71:D74)</f>
        <v>1635099</v>
      </c>
      <c r="E75" s="116">
        <f>D75-B75</f>
        <v>53385</v>
      </c>
      <c r="F75" s="344">
        <f t="shared" si="4"/>
        <v>3.3751360865491485E-2</v>
      </c>
      <c r="G75" s="24"/>
      <c r="H75" s="24"/>
    </row>
    <row r="76" spans="1:8" ht="34.5">
      <c r="A76" s="117" t="s">
        <v>68</v>
      </c>
      <c r="B76" s="118">
        <v>1890044</v>
      </c>
      <c r="C76" s="118">
        <v>1740482</v>
      </c>
      <c r="D76" s="118">
        <v>1632973</v>
      </c>
      <c r="E76" s="118">
        <f>D76-B76</f>
        <v>-257071</v>
      </c>
      <c r="F76" s="343">
        <f t="shared" si="4"/>
        <v>-0.13601323567070397</v>
      </c>
      <c r="G76" s="24"/>
      <c r="H76" s="24"/>
    </row>
    <row r="77" spans="1:8" ht="34.5">
      <c r="A77" s="117" t="s">
        <v>69</v>
      </c>
      <c r="B77" s="118">
        <v>100873</v>
      </c>
      <c r="C77" s="118">
        <v>35000</v>
      </c>
      <c r="D77" s="118">
        <v>35000</v>
      </c>
      <c r="E77" s="118">
        <f>D77-B77</f>
        <v>-65873</v>
      </c>
      <c r="F77" s="343">
        <f t="shared" si="4"/>
        <v>-0.65302905633816777</v>
      </c>
      <c r="G77" s="24"/>
      <c r="H77" s="24"/>
    </row>
    <row r="78" spans="1:8" ht="34.5">
      <c r="A78" s="150" t="s">
        <v>70</v>
      </c>
      <c r="B78" s="254"/>
      <c r="C78" s="254"/>
      <c r="D78" s="254"/>
      <c r="E78" s="254"/>
      <c r="F78" s="343" t="str">
        <f t="shared" si="4"/>
        <v xml:space="preserve">  </v>
      </c>
      <c r="G78" s="24"/>
      <c r="H78" s="24"/>
    </row>
    <row r="79" spans="1:8" ht="35.25">
      <c r="A79" s="119" t="s">
        <v>71</v>
      </c>
      <c r="B79" s="120">
        <f>SUM(B76:B78)</f>
        <v>1990917</v>
      </c>
      <c r="C79" s="120">
        <f>SUM(C76:C78)</f>
        <v>1775482</v>
      </c>
      <c r="D79" s="120">
        <f>SUM(D76:D78)</f>
        <v>1667973</v>
      </c>
      <c r="E79" s="120">
        <f>D79-B79</f>
        <v>-322944</v>
      </c>
      <c r="F79" s="344">
        <f t="shared" si="4"/>
        <v>-0.16220867067788361</v>
      </c>
      <c r="G79" s="24"/>
      <c r="H79" s="24"/>
    </row>
    <row r="80" spans="1:8" ht="35.25">
      <c r="A80" s="274" t="s">
        <v>53</v>
      </c>
      <c r="B80" s="275">
        <f>B79+B75+B70+B66</f>
        <v>11903574</v>
      </c>
      <c r="C80" s="275">
        <f>C79+C75+C70+C66</f>
        <v>11905167</v>
      </c>
      <c r="D80" s="275">
        <f>D79+D75+D70+D66</f>
        <v>12034738</v>
      </c>
      <c r="E80" s="275">
        <f>D80-B80</f>
        <v>131164</v>
      </c>
      <c r="F80" s="390">
        <f t="shared" si="4"/>
        <v>1.1018875507473637E-2</v>
      </c>
      <c r="G80" s="24"/>
      <c r="H80" s="24"/>
    </row>
    <row r="81" spans="1:49" ht="35.25">
      <c r="A81" s="259"/>
      <c r="B81" s="260"/>
      <c r="C81" s="260"/>
      <c r="D81" s="260"/>
      <c r="E81" s="260"/>
      <c r="F81" s="387" t="s">
        <v>35</v>
      </c>
      <c r="G81" s="24"/>
      <c r="H81" s="24"/>
    </row>
    <row r="82" spans="1:49" s="413" customFormat="1" ht="44.25">
      <c r="A82" s="262" t="s">
        <v>99</v>
      </c>
      <c r="B82" s="286"/>
      <c r="C82" s="286"/>
      <c r="D82" s="278"/>
      <c r="E82" s="278"/>
      <c r="F82" s="392"/>
      <c r="G82" s="412"/>
      <c r="H82" s="412"/>
    </row>
    <row r="83" spans="1:49" s="411" customFormat="1" ht="44.25">
      <c r="A83" s="262" t="s">
        <v>72</v>
      </c>
      <c r="B83" s="286"/>
      <c r="C83" s="286"/>
      <c r="D83" s="286"/>
      <c r="E83" s="286"/>
      <c r="F83" s="414"/>
      <c r="G83" s="113"/>
      <c r="H83" s="113"/>
    </row>
    <row r="84" spans="1:49" s="411" customFormat="1" ht="44.25">
      <c r="A84" s="411" t="s">
        <v>35</v>
      </c>
      <c r="F84" s="317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30" workbookViewId="0">
      <selection activeCell="E6" sqref="E6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276" t="s">
        <v>1</v>
      </c>
      <c r="C1" s="271" t="s">
        <v>312</v>
      </c>
      <c r="D1" s="141"/>
      <c r="E1" s="332"/>
      <c r="F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/>
      <c r="C7" s="92"/>
      <c r="D7" s="92"/>
      <c r="E7" s="178"/>
      <c r="F7" s="342"/>
      <c r="G7" s="24"/>
      <c r="H7" s="24"/>
      <c r="I7" s="24"/>
      <c r="J7" s="24"/>
    </row>
    <row r="8" spans="1:10" ht="34.5">
      <c r="A8" s="153" t="s">
        <v>14</v>
      </c>
      <c r="B8" s="93">
        <v>4848775</v>
      </c>
      <c r="C8" s="93">
        <v>4848775</v>
      </c>
      <c r="D8" s="93">
        <v>3463684</v>
      </c>
      <c r="E8" s="178">
        <f>D8-B8</f>
        <v>-1385091</v>
      </c>
      <c r="F8" s="343">
        <f>IF(ISBLANK(E8),"  ",IF(B8&gt;0,E8/B8,IF(E8&gt;0,1,0)))</f>
        <v>-0.28565792390861611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308785</v>
      </c>
      <c r="E9" s="93">
        <f>D9-B9</f>
        <v>308785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121348</v>
      </c>
      <c r="C10" s="93">
        <f>SUM(C11:C25)</f>
        <v>125115</v>
      </c>
      <c r="D10" s="93">
        <f>SUM(D11:D25)</f>
        <v>134363</v>
      </c>
      <c r="E10" s="93">
        <f>D10-B10</f>
        <v>13015</v>
      </c>
      <c r="F10" s="343">
        <f t="shared" si="0"/>
        <v>0.10725351880541913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26122</v>
      </c>
      <c r="E11" s="93">
        <f>D11-B11</f>
        <v>26122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125115-3767</f>
        <v>121348</v>
      </c>
      <c r="C12" s="93">
        <v>125115</v>
      </c>
      <c r="D12" s="93">
        <v>108241</v>
      </c>
      <c r="E12" s="93">
        <f>D12-B12</f>
        <v>-13107</v>
      </c>
      <c r="F12" s="343">
        <f t="shared" si="0"/>
        <v>-0.10801166891914164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116"/>
      <c r="C26" s="116"/>
      <c r="D26" s="116"/>
      <c r="E26" s="116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42.75" customHeight="1">
      <c r="A29" s="117" t="s">
        <v>30</v>
      </c>
      <c r="B29" s="94"/>
      <c r="C29" s="94"/>
      <c r="D29" s="94"/>
      <c r="E29" s="94"/>
      <c r="F29" s="343" t="str">
        <f t="shared" si="0"/>
        <v xml:space="preserve">  </v>
      </c>
      <c r="G29" s="24"/>
      <c r="H29" s="24"/>
    </row>
    <row r="30" spans="1:8" ht="42.75" customHeight="1">
      <c r="A30" s="279" t="s">
        <v>32</v>
      </c>
      <c r="B30" s="393"/>
      <c r="C30" s="393"/>
      <c r="D30" s="393"/>
      <c r="E30" s="393"/>
      <c r="F30" s="343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B30+B29+B27+B10+B9+B8</f>
        <v>4970123</v>
      </c>
      <c r="C31" s="403">
        <f>C30+C29+C27+C10+C9+C8</f>
        <v>4973890</v>
      </c>
      <c r="D31" s="403">
        <f>D30+D29+D27+D10+D9+D8</f>
        <v>3906832</v>
      </c>
      <c r="E31" s="403">
        <f>D31-B31</f>
        <v>-1063291</v>
      </c>
      <c r="F31" s="344">
        <f t="shared" si="0"/>
        <v>-0.21393655649970836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38"/>
      <c r="D33" s="138"/>
      <c r="E33" s="138"/>
      <c r="F33" s="35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55" t="str">
        <f>IF(ISBLANK(E35),"  ",IF(B35&gt;0,E35/B35,IF(E35&gt;0,1,0)))</f>
        <v xml:space="preserve">  </v>
      </c>
      <c r="G35" s="24"/>
      <c r="H35" s="24"/>
    </row>
    <row r="36" spans="1:8" ht="35.25">
      <c r="A36" s="139" t="s">
        <v>35</v>
      </c>
      <c r="B36" s="133"/>
      <c r="C36" s="133"/>
      <c r="D36" s="133"/>
      <c r="E36" s="133"/>
      <c r="F36" s="356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97</v>
      </c>
      <c r="B37" s="147">
        <v>0</v>
      </c>
      <c r="C37" s="147">
        <v>0</v>
      </c>
      <c r="D37" s="147">
        <v>650072</v>
      </c>
      <c r="E37" s="147">
        <f>D37-B37</f>
        <v>650072</v>
      </c>
      <c r="F37" s="366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2108715</v>
      </c>
      <c r="C39" s="147">
        <v>2108715</v>
      </c>
      <c r="D39" s="147">
        <v>1787138</v>
      </c>
      <c r="E39" s="147">
        <f>D39-B39</f>
        <v>-321577</v>
      </c>
      <c r="F39" s="366">
        <f>IF(ISBLANK(E39),"  ",IF(B39&gt;0,E39/B39,IF(E39&gt;0,1,0)))</f>
        <v>-0.152499033771752</v>
      </c>
      <c r="G39" s="24"/>
      <c r="H39" s="24"/>
    </row>
    <row r="40" spans="1:8" ht="35.25">
      <c r="A40" s="132" t="s">
        <v>35</v>
      </c>
      <c r="B40" s="133"/>
      <c r="C40" s="133"/>
      <c r="D40" s="133"/>
      <c r="E40" s="133"/>
      <c r="F40" s="356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5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47">
        <f>B41+B39+B37+B35+B31</f>
        <v>7078838</v>
      </c>
      <c r="C43" s="147">
        <f>C41+C39+C37+C35+C31</f>
        <v>7082605</v>
      </c>
      <c r="D43" s="147">
        <f>D41+D39+D37+D35+D31</f>
        <v>6344042</v>
      </c>
      <c r="E43" s="147">
        <f>D43-B43</f>
        <v>-734796</v>
      </c>
      <c r="F43" s="366">
        <f>IF(ISBLANK(E43),"  ",IF(B43&gt;0,E43/B43,IF(E43&gt;0,1,0)))</f>
        <v>-0.10380178215690203</v>
      </c>
      <c r="G43" s="24"/>
      <c r="H43" s="24"/>
    </row>
    <row r="44" spans="1:8" ht="35.25">
      <c r="A44" s="407"/>
      <c r="B44" s="408"/>
      <c r="C44" s="408"/>
      <c r="D44" s="408"/>
      <c r="E44" s="408"/>
      <c r="F44" s="383" t="str">
        <f>IF(ISBLANK(E44),"  ",IF(C44&gt;0,E44/C44,IF(E44&gt;0,1,0)))</f>
        <v xml:space="preserve">  </v>
      </c>
      <c r="G44" s="24"/>
      <c r="H44" s="24"/>
    </row>
    <row r="45" spans="1:8" ht="35.25">
      <c r="A45" s="298"/>
      <c r="B45" s="299"/>
      <c r="C45" s="299"/>
      <c r="D45" s="299"/>
      <c r="E45" s="299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72" t="s">
        <v>40</v>
      </c>
      <c r="B46" s="401"/>
      <c r="C46" s="401"/>
      <c r="D46" s="401"/>
      <c r="E46" s="401"/>
      <c r="F46" s="399" t="str">
        <f>IF(ISBLANK(E46),"  ",IF(C46&gt;0,E46/C46,IF(E46&gt;0,1,0)))</f>
        <v xml:space="preserve">  </v>
      </c>
      <c r="G46" s="24"/>
      <c r="H46" s="24"/>
    </row>
    <row r="47" spans="1:8" ht="34.5">
      <c r="A47" s="263" t="s">
        <v>41</v>
      </c>
      <c r="B47" s="264">
        <v>3519544</v>
      </c>
      <c r="C47" s="264">
        <v>3523311</v>
      </c>
      <c r="D47" s="264">
        <v>2992033</v>
      </c>
      <c r="E47" s="157">
        <f>D47-B47</f>
        <v>-527511</v>
      </c>
      <c r="F47" s="343">
        <f t="shared" ref="F47:F60" si="1">IF(ISBLANK(E47),"  ",IF(B47&gt;0,E47/B47,IF(E47&gt;0,1,0)))</f>
        <v>-0.14988049588242114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43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43" t="str">
        <f t="shared" si="1"/>
        <v xml:space="preserve">  </v>
      </c>
      <c r="G49" s="24"/>
      <c r="H49" s="24"/>
    </row>
    <row r="50" spans="1:8" ht="34.5">
      <c r="A50" s="156" t="s">
        <v>44</v>
      </c>
      <c r="B50" s="157">
        <v>509461</v>
      </c>
      <c r="C50" s="157">
        <v>509461</v>
      </c>
      <c r="D50" s="157">
        <v>533471</v>
      </c>
      <c r="E50" s="157">
        <f>D50-B50</f>
        <v>24010</v>
      </c>
      <c r="F50" s="343">
        <f t="shared" si="1"/>
        <v>4.7128239453069029E-2</v>
      </c>
      <c r="G50" s="24"/>
      <c r="H50" s="24"/>
    </row>
    <row r="51" spans="1:8" ht="34.5">
      <c r="A51" s="158" t="s">
        <v>45</v>
      </c>
      <c r="B51" s="159">
        <v>529107</v>
      </c>
      <c r="C51" s="159">
        <v>529107</v>
      </c>
      <c r="D51" s="159">
        <v>467438</v>
      </c>
      <c r="E51" s="159">
        <f>D51-B51</f>
        <v>-61669</v>
      </c>
      <c r="F51" s="343">
        <f t="shared" si="1"/>
        <v>-0.11655298455699886</v>
      </c>
      <c r="G51" s="24"/>
      <c r="H51" s="24"/>
    </row>
    <row r="52" spans="1:8" ht="34.5">
      <c r="A52" s="156" t="s">
        <v>74</v>
      </c>
      <c r="B52" s="157">
        <v>1602042</v>
      </c>
      <c r="C52" s="157">
        <v>1598867</v>
      </c>
      <c r="D52" s="157">
        <v>1510912</v>
      </c>
      <c r="E52" s="157">
        <f>D52-B52</f>
        <v>-91130</v>
      </c>
      <c r="F52" s="343">
        <f t="shared" si="1"/>
        <v>-5.6883652238830192E-2</v>
      </c>
      <c r="G52" s="24"/>
      <c r="H52" s="24"/>
    </row>
    <row r="53" spans="1:8" ht="34.5">
      <c r="A53" s="156" t="s">
        <v>46</v>
      </c>
      <c r="B53" s="157">
        <v>6832</v>
      </c>
      <c r="C53" s="157">
        <v>10000</v>
      </c>
      <c r="D53" s="157">
        <v>7600</v>
      </c>
      <c r="E53" s="157"/>
      <c r="F53" s="343" t="str">
        <f t="shared" si="1"/>
        <v xml:space="preserve">  </v>
      </c>
      <c r="G53" s="24"/>
      <c r="H53" s="24"/>
    </row>
    <row r="54" spans="1:8" ht="34.5">
      <c r="A54" s="153" t="s">
        <v>47</v>
      </c>
      <c r="B54" s="160">
        <v>762723</v>
      </c>
      <c r="C54" s="160">
        <v>762723</v>
      </c>
      <c r="D54" s="160">
        <v>651954</v>
      </c>
      <c r="E54" s="159">
        <f>D54-B54</f>
        <v>-110769</v>
      </c>
      <c r="F54" s="343">
        <f t="shared" si="1"/>
        <v>-0.1452283463328102</v>
      </c>
      <c r="G54" s="24"/>
      <c r="H54" s="24"/>
    </row>
    <row r="55" spans="1:8" ht="35.25">
      <c r="A55" s="114" t="s">
        <v>48</v>
      </c>
      <c r="B55" s="116">
        <f>SUM(B47:B54)</f>
        <v>6929709</v>
      </c>
      <c r="C55" s="116">
        <f>SUM(C47:C54)</f>
        <v>6933469</v>
      </c>
      <c r="D55" s="116">
        <f>SUM(D47:D54)</f>
        <v>6163408</v>
      </c>
      <c r="E55" s="127">
        <f>D55-B55</f>
        <v>-766301</v>
      </c>
      <c r="F55" s="344">
        <f t="shared" si="1"/>
        <v>-0.11058198836343633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43" t="str">
        <f t="shared" si="1"/>
        <v xml:space="preserve">  </v>
      </c>
      <c r="G56" s="24"/>
      <c r="H56" s="24"/>
    </row>
    <row r="57" spans="1:8" ht="34.5">
      <c r="A57" s="117" t="s">
        <v>50</v>
      </c>
      <c r="B57" s="118">
        <v>149129</v>
      </c>
      <c r="C57" s="118">
        <v>149136</v>
      </c>
      <c r="D57" s="118">
        <v>180634</v>
      </c>
      <c r="E57" s="157">
        <f>D57-B57</f>
        <v>31505</v>
      </c>
      <c r="F57" s="343">
        <f t="shared" si="1"/>
        <v>0.21126005002380491</v>
      </c>
      <c r="G57" s="24"/>
      <c r="H57" s="24"/>
    </row>
    <row r="58" spans="1:8" ht="34.5">
      <c r="A58" s="279" t="s">
        <v>51</v>
      </c>
      <c r="B58" s="280"/>
      <c r="C58" s="280"/>
      <c r="D58" s="280"/>
      <c r="E58" s="281"/>
      <c r="F58" s="343" t="str">
        <f t="shared" si="1"/>
        <v xml:space="preserve">  </v>
      </c>
      <c r="G58" s="24"/>
      <c r="H58" s="24"/>
    </row>
    <row r="59" spans="1:8" ht="34.5">
      <c r="A59" s="176" t="s">
        <v>52</v>
      </c>
      <c r="B59" s="177"/>
      <c r="C59" s="177"/>
      <c r="D59" s="177"/>
      <c r="E59" s="167"/>
      <c r="F59" s="343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7078838</v>
      </c>
      <c r="C60" s="116">
        <f>C59+C58+C57+C56+C55</f>
        <v>7082605</v>
      </c>
      <c r="D60" s="116">
        <f>D59+D58+D57+D56+D55</f>
        <v>6344042</v>
      </c>
      <c r="E60" s="127">
        <f>D60-B60</f>
        <v>-734796</v>
      </c>
      <c r="F60" s="344">
        <f t="shared" si="1"/>
        <v>-0.10380178215690203</v>
      </c>
      <c r="G60" s="24"/>
      <c r="H60" s="24"/>
    </row>
    <row r="61" spans="1:8" ht="34.5">
      <c r="A61" s="117"/>
      <c r="B61" s="118"/>
      <c r="C61" s="118"/>
      <c r="D61" s="118"/>
      <c r="E61" s="128"/>
      <c r="F61" s="361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4235370</v>
      </c>
      <c r="C63" s="254">
        <v>4235370</v>
      </c>
      <c r="D63" s="254">
        <v>4063818</v>
      </c>
      <c r="E63" s="166">
        <f t="shared" ref="E63:E72" si="2">D63-B63</f>
        <v>-171552</v>
      </c>
      <c r="F63" s="343">
        <f t="shared" ref="F63:F80" si="3">IF(ISBLANK(E63),"  ",IF(B63&gt;0,E63/B63,IF(E63&gt;0,1,0)))</f>
        <v>-4.0504607625780037E-2</v>
      </c>
      <c r="G63" s="24"/>
      <c r="H63" s="24"/>
    </row>
    <row r="64" spans="1:8" ht="34.5">
      <c r="A64" s="150" t="s">
        <v>56</v>
      </c>
      <c r="B64" s="254">
        <v>193446</v>
      </c>
      <c r="C64" s="254">
        <v>193446</v>
      </c>
      <c r="D64" s="254">
        <v>18180</v>
      </c>
      <c r="E64" s="166">
        <f t="shared" si="2"/>
        <v>-175266</v>
      </c>
      <c r="F64" s="343">
        <f t="shared" si="3"/>
        <v>-0.90602028473062246</v>
      </c>
      <c r="G64" s="24"/>
      <c r="H64" s="24"/>
    </row>
    <row r="65" spans="1:8" ht="34.5">
      <c r="A65" s="30" t="s">
        <v>57</v>
      </c>
      <c r="B65" s="92">
        <v>1257761</v>
      </c>
      <c r="C65" s="92">
        <v>1257761</v>
      </c>
      <c r="D65" s="92">
        <v>1221558</v>
      </c>
      <c r="E65" s="98">
        <f t="shared" si="2"/>
        <v>-36203</v>
      </c>
      <c r="F65" s="343">
        <f t="shared" si="3"/>
        <v>-2.8783687838945554E-2</v>
      </c>
      <c r="G65" s="24"/>
      <c r="H65" s="24"/>
    </row>
    <row r="66" spans="1:8" ht="35.25">
      <c r="A66" s="114" t="s">
        <v>58</v>
      </c>
      <c r="B66" s="116">
        <f>SUM(B63:B65)</f>
        <v>5686577</v>
      </c>
      <c r="C66" s="116">
        <f>SUM(C63:C65)</f>
        <v>5686577</v>
      </c>
      <c r="D66" s="116">
        <f>SUM(D63:D65)</f>
        <v>5303556</v>
      </c>
      <c r="E66" s="127">
        <f t="shared" si="2"/>
        <v>-383021</v>
      </c>
      <c r="F66" s="344">
        <f t="shared" si="3"/>
        <v>-6.7355282448474718E-2</v>
      </c>
      <c r="G66" s="24"/>
      <c r="H66" s="24"/>
    </row>
    <row r="67" spans="1:8" ht="34.5">
      <c r="A67" s="117" t="s">
        <v>59</v>
      </c>
      <c r="B67" s="118">
        <v>37830</v>
      </c>
      <c r="C67" s="118">
        <v>37830</v>
      </c>
      <c r="D67" s="118">
        <v>19976</v>
      </c>
      <c r="E67" s="128">
        <f t="shared" si="2"/>
        <v>-17854</v>
      </c>
      <c r="F67" s="343">
        <f t="shared" si="3"/>
        <v>-0.47195347607718741</v>
      </c>
      <c r="G67" s="24"/>
      <c r="H67" s="24"/>
    </row>
    <row r="68" spans="1:8" ht="34.5">
      <c r="A68" s="126" t="s">
        <v>60</v>
      </c>
      <c r="B68" s="118">
        <v>616568</v>
      </c>
      <c r="C68" s="118">
        <v>616568</v>
      </c>
      <c r="D68" s="118">
        <v>567068</v>
      </c>
      <c r="E68" s="128">
        <f t="shared" si="2"/>
        <v>-49500</v>
      </c>
      <c r="F68" s="343">
        <f t="shared" si="3"/>
        <v>-8.0283115568761276E-2</v>
      </c>
      <c r="G68" s="24"/>
      <c r="H68" s="24"/>
    </row>
    <row r="69" spans="1:8" ht="34.5">
      <c r="A69" s="151" t="s">
        <v>61</v>
      </c>
      <c r="B69" s="166">
        <v>239900</v>
      </c>
      <c r="C69" s="166">
        <v>239900</v>
      </c>
      <c r="D69" s="166">
        <v>150645</v>
      </c>
      <c r="E69" s="166">
        <f t="shared" si="2"/>
        <v>-89255</v>
      </c>
      <c r="F69" s="343">
        <f t="shared" si="3"/>
        <v>-0.3720508545227178</v>
      </c>
      <c r="G69" s="24"/>
      <c r="H69" s="24"/>
    </row>
    <row r="70" spans="1:8" ht="35.25">
      <c r="A70" s="265" t="s">
        <v>62</v>
      </c>
      <c r="B70" s="174">
        <f>SUM(B67:B69)</f>
        <v>894298</v>
      </c>
      <c r="C70" s="174">
        <f>SUM(C67:C69)</f>
        <v>894298</v>
      </c>
      <c r="D70" s="174">
        <f>SUM(D67:D69)</f>
        <v>737689</v>
      </c>
      <c r="E70" s="174">
        <f t="shared" si="2"/>
        <v>-156609</v>
      </c>
      <c r="F70" s="344">
        <f t="shared" si="3"/>
        <v>-0.17511947918926354</v>
      </c>
      <c r="G70" s="24"/>
      <c r="H70" s="24"/>
    </row>
    <row r="71" spans="1:8" ht="34.5">
      <c r="A71" s="176" t="s">
        <v>63</v>
      </c>
      <c r="B71" s="177">
        <v>109982</v>
      </c>
      <c r="C71" s="177">
        <v>109982</v>
      </c>
      <c r="D71" s="177">
        <v>60163</v>
      </c>
      <c r="E71" s="177">
        <f t="shared" si="2"/>
        <v>-49819</v>
      </c>
      <c r="F71" s="343">
        <f t="shared" si="3"/>
        <v>-0.45297412303831536</v>
      </c>
      <c r="G71" s="24"/>
      <c r="H71" s="24"/>
    </row>
    <row r="72" spans="1:8" ht="34.5">
      <c r="A72" s="117" t="s">
        <v>64</v>
      </c>
      <c r="B72" s="118">
        <v>37307</v>
      </c>
      <c r="C72" s="118">
        <v>37300</v>
      </c>
      <c r="D72" s="118">
        <v>9000</v>
      </c>
      <c r="E72" s="128">
        <f t="shared" si="2"/>
        <v>-28307</v>
      </c>
      <c r="F72" s="343">
        <f t="shared" si="3"/>
        <v>-0.75875840994987531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43" t="str">
        <f t="shared" si="3"/>
        <v xml:space="preserve">  </v>
      </c>
      <c r="G73" s="24"/>
      <c r="H73" s="24"/>
    </row>
    <row r="74" spans="1:8" ht="34.5">
      <c r="A74" s="126" t="s">
        <v>66</v>
      </c>
      <c r="B74" s="128">
        <v>149129</v>
      </c>
      <c r="C74" s="128">
        <v>149136</v>
      </c>
      <c r="D74" s="128">
        <v>180634</v>
      </c>
      <c r="E74" s="128">
        <f>D74-B74</f>
        <v>31505</v>
      </c>
      <c r="F74" s="343">
        <f t="shared" si="3"/>
        <v>0.21126005002380491</v>
      </c>
      <c r="G74" s="24"/>
      <c r="H74" s="24"/>
    </row>
    <row r="75" spans="1:8" ht="35.25">
      <c r="A75" s="114" t="s">
        <v>67</v>
      </c>
      <c r="B75" s="116">
        <f>SUM(B71:B74)</f>
        <v>296418</v>
      </c>
      <c r="C75" s="116">
        <f>SUM(C71:C74)</f>
        <v>296418</v>
      </c>
      <c r="D75" s="116">
        <f>SUM(D71:D74)</f>
        <v>249797</v>
      </c>
      <c r="E75" s="116">
        <f>D75-B75</f>
        <v>-46621</v>
      </c>
      <c r="F75" s="344">
        <f t="shared" si="3"/>
        <v>-0.15728127171764197</v>
      </c>
      <c r="G75" s="24"/>
      <c r="H75" s="24"/>
    </row>
    <row r="76" spans="1:8" ht="34.5">
      <c r="A76" s="117" t="s">
        <v>68</v>
      </c>
      <c r="B76" s="118">
        <v>201545</v>
      </c>
      <c r="C76" s="118">
        <f>201545+3767</f>
        <v>205312</v>
      </c>
      <c r="D76" s="118">
        <v>53000</v>
      </c>
      <c r="E76" s="118">
        <f>D76-B76</f>
        <v>-148545</v>
      </c>
      <c r="F76" s="343">
        <f t="shared" si="3"/>
        <v>-0.73703143218636036</v>
      </c>
      <c r="G76" s="24"/>
      <c r="H76" s="24"/>
    </row>
    <row r="77" spans="1:8" ht="34.5">
      <c r="A77" s="117" t="s">
        <v>69</v>
      </c>
      <c r="B77" s="118"/>
      <c r="C77" s="118"/>
      <c r="D77" s="118"/>
      <c r="E77" s="118"/>
      <c r="F77" s="343" t="str">
        <f t="shared" si="3"/>
        <v xml:space="preserve">  </v>
      </c>
      <c r="G77" s="24"/>
      <c r="H77" s="24"/>
    </row>
    <row r="78" spans="1:8" ht="34.5">
      <c r="A78" s="150" t="s">
        <v>70</v>
      </c>
      <c r="B78" s="254"/>
      <c r="C78" s="254"/>
      <c r="D78" s="254"/>
      <c r="E78" s="254"/>
      <c r="F78" s="343" t="str">
        <f t="shared" si="3"/>
        <v xml:space="preserve">  </v>
      </c>
      <c r="G78" s="24"/>
      <c r="H78" s="24"/>
    </row>
    <row r="79" spans="1:8" ht="35.25">
      <c r="A79" s="119" t="s">
        <v>71</v>
      </c>
      <c r="B79" s="120">
        <f>SUM(B76:B78)</f>
        <v>201545</v>
      </c>
      <c r="C79" s="120">
        <f>SUM(C76:C78)</f>
        <v>205312</v>
      </c>
      <c r="D79" s="120">
        <f>SUM(D76:D78)</f>
        <v>53000</v>
      </c>
      <c r="E79" s="120">
        <f>D79-B79</f>
        <v>-148545</v>
      </c>
      <c r="F79" s="344">
        <f t="shared" si="3"/>
        <v>-0.73703143218636036</v>
      </c>
      <c r="G79" s="24"/>
      <c r="H79" s="24"/>
    </row>
    <row r="80" spans="1:8" ht="35.25">
      <c r="A80" s="274" t="s">
        <v>53</v>
      </c>
      <c r="B80" s="275">
        <f>B79+B75+B70+B66</f>
        <v>7078838</v>
      </c>
      <c r="C80" s="275">
        <f>C79+C75+C70+C66</f>
        <v>7082605</v>
      </c>
      <c r="D80" s="275">
        <f>D79+D75+D70+D66</f>
        <v>6344042</v>
      </c>
      <c r="E80" s="275">
        <f>D80-B80</f>
        <v>-734796</v>
      </c>
      <c r="F80" s="390">
        <f t="shared" si="3"/>
        <v>-0.10380178215690203</v>
      </c>
      <c r="G80" s="24"/>
      <c r="H80" s="24"/>
    </row>
    <row r="81" spans="1:49" ht="35.25">
      <c r="A81" s="259"/>
      <c r="B81" s="260"/>
      <c r="C81" s="260"/>
      <c r="D81" s="260"/>
      <c r="E81" s="260"/>
      <c r="F81" s="475" t="s">
        <v>35</v>
      </c>
      <c r="G81" s="24"/>
      <c r="H81" s="24"/>
    </row>
    <row r="82" spans="1:49" s="413" customFormat="1" ht="44.25">
      <c r="A82" s="262" t="s">
        <v>99</v>
      </c>
      <c r="B82" s="286"/>
      <c r="C82" s="286"/>
      <c r="D82" s="278"/>
      <c r="E82" s="278"/>
      <c r="F82" s="392"/>
      <c r="G82" s="412"/>
      <c r="H82" s="412"/>
    </row>
    <row r="83" spans="1:49" s="411" customFormat="1" ht="44.25">
      <c r="A83" s="262" t="s">
        <v>72</v>
      </c>
      <c r="B83" s="286"/>
      <c r="C83" s="286"/>
      <c r="D83" s="286"/>
      <c r="E83" s="286"/>
      <c r="F83" s="414"/>
      <c r="G83" s="113"/>
      <c r="H83" s="113"/>
    </row>
    <row r="84" spans="1:49" s="411" customFormat="1" ht="44.25">
      <c r="A84" s="411" t="s">
        <v>35</v>
      </c>
      <c r="F84" s="317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zoomScale="30" zoomScaleNormal="30" workbookViewId="0">
      <selection activeCell="I37" sqref="I37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25.33203125" style="332" customWidth="1"/>
    <col min="7" max="16384" width="8.88671875" style="16"/>
  </cols>
  <sheetData>
    <row r="1" spans="1:10" ht="45">
      <c r="A1" s="17" t="s">
        <v>0</v>
      </c>
      <c r="B1" s="276"/>
      <c r="C1" s="276" t="s">
        <v>1</v>
      </c>
      <c r="D1" s="271" t="s">
        <v>273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89</v>
      </c>
      <c r="F5" s="365" t="s">
        <v>11</v>
      </c>
      <c r="G5" s="24"/>
      <c r="H5" s="24"/>
      <c r="I5" s="24"/>
      <c r="J5" s="24"/>
    </row>
    <row r="6" spans="1:10" ht="35.25">
      <c r="A6" s="119" t="s">
        <v>12</v>
      </c>
      <c r="B6" s="92"/>
      <c r="C6" s="92"/>
      <c r="D6" s="92"/>
      <c r="E6" s="92"/>
      <c r="F6" s="342"/>
      <c r="G6" s="24"/>
      <c r="H6" s="24"/>
      <c r="I6" s="24"/>
      <c r="J6" s="24"/>
    </row>
    <row r="7" spans="1:10" ht="34.5">
      <c r="A7" s="30" t="s">
        <v>13</v>
      </c>
      <c r="B7" s="92"/>
      <c r="C7" s="92"/>
      <c r="D7" s="92"/>
      <c r="E7" s="178"/>
      <c r="F7" s="342"/>
      <c r="G7" s="24"/>
      <c r="H7" s="24"/>
      <c r="I7" s="24"/>
      <c r="J7" s="24"/>
    </row>
    <row r="8" spans="1:10" ht="34.5">
      <c r="A8" s="153" t="s">
        <v>14</v>
      </c>
      <c r="B8" s="93">
        <v>3209060</v>
      </c>
      <c r="C8" s="93">
        <v>3209060</v>
      </c>
      <c r="D8" s="93">
        <v>2314401</v>
      </c>
      <c r="E8" s="178">
        <f>D8-B8</f>
        <v>-894659</v>
      </c>
      <c r="F8" s="343">
        <f>IF(ISBLANK(E8),"  ",IF(B8&gt;0,E8/B8,IF(E8&gt;0,1,0)))</f>
        <v>-0.27879160875770476</v>
      </c>
      <c r="G8" s="24"/>
      <c r="H8" s="24"/>
      <c r="I8" s="24"/>
      <c r="J8" s="24"/>
    </row>
    <row r="9" spans="1:10" ht="34.5">
      <c r="A9" s="252" t="s">
        <v>87</v>
      </c>
      <c r="B9" s="93">
        <v>0</v>
      </c>
      <c r="C9" s="93">
        <v>0</v>
      </c>
      <c r="D9" s="93">
        <v>200476</v>
      </c>
      <c r="E9" s="93">
        <f>D9-B9</f>
        <v>200476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363" t="s">
        <v>15</v>
      </c>
      <c r="B10" s="93">
        <f>SUM(B11:B25)</f>
        <v>33501</v>
      </c>
      <c r="C10" s="93">
        <f>SUM(C11:C25)</f>
        <v>34541</v>
      </c>
      <c r="D10" s="93">
        <f>SUM(D11:D25)</f>
        <v>46842</v>
      </c>
      <c r="E10" s="93">
        <f>D10-B10</f>
        <v>13341</v>
      </c>
      <c r="F10" s="343">
        <f t="shared" si="0"/>
        <v>0.39822691859944481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16959</v>
      </c>
      <c r="E11" s="93">
        <f>D11-B11</f>
        <v>16959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33501</v>
      </c>
      <c r="C12" s="93">
        <v>34541</v>
      </c>
      <c r="D12" s="93">
        <v>29883</v>
      </c>
      <c r="E12" s="93">
        <f>D12-B12</f>
        <v>-3618</v>
      </c>
      <c r="F12" s="343">
        <f t="shared" si="0"/>
        <v>-0.10799677621563536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8" ht="35.25">
      <c r="A24" s="117" t="s">
        <v>90</v>
      </c>
      <c r="B24" s="116"/>
      <c r="C24" s="116"/>
      <c r="D24" s="116"/>
      <c r="E24" s="116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93"/>
      <c r="C25" s="93"/>
      <c r="D25" s="93"/>
      <c r="E25" s="93"/>
      <c r="F25" s="343" t="str">
        <f t="shared" si="0"/>
        <v xml:space="preserve">  </v>
      </c>
      <c r="G25" s="24"/>
      <c r="H25" s="24"/>
    </row>
    <row r="26" spans="1:8" ht="35.25">
      <c r="A26" s="114" t="s">
        <v>29</v>
      </c>
      <c r="B26" s="116"/>
      <c r="C26" s="116"/>
      <c r="D26" s="116"/>
      <c r="E26" s="116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35.25">
      <c r="A28" s="114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8" ht="42.75" customHeight="1">
      <c r="A29" s="117" t="s">
        <v>30</v>
      </c>
      <c r="B29" s="94"/>
      <c r="C29" s="94"/>
      <c r="D29" s="94"/>
      <c r="E29" s="94"/>
      <c r="F29" s="343" t="str">
        <f t="shared" si="0"/>
        <v xml:space="preserve">  </v>
      </c>
      <c r="G29" s="24"/>
      <c r="H29" s="24"/>
    </row>
    <row r="30" spans="1:8" ht="42.75" customHeight="1">
      <c r="A30" s="279" t="s">
        <v>32</v>
      </c>
      <c r="B30" s="393"/>
      <c r="C30" s="393"/>
      <c r="D30" s="393"/>
      <c r="E30" s="393"/>
      <c r="F30" s="343" t="str">
        <f t="shared" si="0"/>
        <v xml:space="preserve">  </v>
      </c>
      <c r="G30" s="24"/>
      <c r="H30" s="24"/>
    </row>
    <row r="31" spans="1:8" ht="35.25">
      <c r="A31" s="402" t="s">
        <v>33</v>
      </c>
      <c r="B31" s="403">
        <f>B30+B29+B27+B10+B9+B8</f>
        <v>3242561</v>
      </c>
      <c r="C31" s="403">
        <f>C30+C29+C27+C10+C9+C8</f>
        <v>3243601</v>
      </c>
      <c r="D31" s="403">
        <f>D30+D29+D27+D10+D9+D8</f>
        <v>2561719</v>
      </c>
      <c r="E31" s="403">
        <f>D31-B31</f>
        <v>-680842</v>
      </c>
      <c r="F31" s="344">
        <f t="shared" si="0"/>
        <v>-0.20997045236774267</v>
      </c>
      <c r="G31" s="24"/>
      <c r="H31" s="24"/>
    </row>
    <row r="32" spans="1:8" ht="35.25">
      <c r="A32" s="132"/>
      <c r="B32" s="405"/>
      <c r="C32" s="405"/>
      <c r="D32" s="405"/>
      <c r="E32" s="148"/>
      <c r="F32" s="406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34</v>
      </c>
      <c r="B33" s="147"/>
      <c r="C33" s="138"/>
      <c r="D33" s="138"/>
      <c r="E33" s="138"/>
      <c r="F33" s="355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33"/>
      <c r="D34" s="133"/>
      <c r="E34" s="133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7" t="s">
        <v>36</v>
      </c>
      <c r="B35" s="147"/>
      <c r="C35" s="147"/>
      <c r="D35" s="147"/>
      <c r="E35" s="147"/>
      <c r="F35" s="355" t="str">
        <f>IF(ISBLANK(E35),"  ",IF(B35&gt;0,E35/B35,IF(E35&gt;0,1,0)))</f>
        <v xml:space="preserve">  </v>
      </c>
      <c r="G35" s="24"/>
      <c r="H35" s="24"/>
    </row>
    <row r="36" spans="1:8" ht="35.25">
      <c r="A36" s="139" t="s">
        <v>35</v>
      </c>
      <c r="B36" s="133"/>
      <c r="C36" s="133"/>
      <c r="D36" s="133"/>
      <c r="E36" s="133"/>
      <c r="F36" s="356" t="str">
        <f>IF(ISBLANK(E36),"  ",IF(C36&gt;0,E36/C36,IF(E36&gt;0,1,0)))</f>
        <v xml:space="preserve">  </v>
      </c>
      <c r="G36" s="24"/>
      <c r="H36" s="24"/>
    </row>
    <row r="37" spans="1:8" ht="35.25">
      <c r="A37" s="130" t="s">
        <v>97</v>
      </c>
      <c r="B37" s="147">
        <v>0</v>
      </c>
      <c r="C37" s="147">
        <v>0</v>
      </c>
      <c r="D37" s="147">
        <v>480150</v>
      </c>
      <c r="E37" s="147">
        <f>D37-B37</f>
        <v>480150</v>
      </c>
      <c r="F37" s="366">
        <f>IF(ISBLANK(E37),"  ",IF(B37&gt;0,E37/B37,IF(E37&gt;0,1,0)))</f>
        <v>1</v>
      </c>
      <c r="G37" s="24"/>
      <c r="H37" s="24"/>
    </row>
    <row r="38" spans="1:8" ht="35.25">
      <c r="A38" s="132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0" t="s">
        <v>37</v>
      </c>
      <c r="B39" s="147">
        <v>1392740</v>
      </c>
      <c r="C39" s="147">
        <v>1426584</v>
      </c>
      <c r="D39" s="147">
        <v>1631393</v>
      </c>
      <c r="E39" s="147">
        <f>D39-B39</f>
        <v>238653</v>
      </c>
      <c r="F39" s="366">
        <f>IF(ISBLANK(E39),"  ",IF(B39&gt;0,E39/B39,IF(E39&gt;0,1,0)))</f>
        <v>0.17135502678173958</v>
      </c>
      <c r="G39" s="24"/>
      <c r="H39" s="24"/>
    </row>
    <row r="40" spans="1:8" ht="35.25">
      <c r="A40" s="132" t="s">
        <v>35</v>
      </c>
      <c r="B40" s="133"/>
      <c r="C40" s="133"/>
      <c r="D40" s="133"/>
      <c r="E40" s="133"/>
      <c r="F40" s="356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55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137" t="s">
        <v>39</v>
      </c>
      <c r="B43" s="147">
        <f>B41+B39+B37+B35+B31</f>
        <v>4635301</v>
      </c>
      <c r="C43" s="147">
        <f>C41+C39+C37+C35+C31</f>
        <v>4670185</v>
      </c>
      <c r="D43" s="147">
        <f>D41+D39+D37+D35+D31</f>
        <v>4673262</v>
      </c>
      <c r="E43" s="147">
        <f>D43-B43</f>
        <v>37961</v>
      </c>
      <c r="F43" s="366">
        <f>IF(ISBLANK(E43),"  ",IF(B43&gt;0,E43/B43,IF(E43&gt;0,1,0)))</f>
        <v>8.1895436779617983E-3</v>
      </c>
      <c r="G43" s="24"/>
      <c r="H43" s="24"/>
    </row>
    <row r="44" spans="1:8" ht="35.25">
      <c r="A44" s="407"/>
      <c r="B44" s="408"/>
      <c r="C44" s="408"/>
      <c r="D44" s="408"/>
      <c r="E44" s="408"/>
      <c r="F44" s="383" t="str">
        <f>IF(ISBLANK(E44),"  ",IF(C44&gt;0,E44/C44,IF(E44&gt;0,1,0)))</f>
        <v xml:space="preserve">  </v>
      </c>
      <c r="G44" s="24"/>
      <c r="H44" s="24"/>
    </row>
    <row r="45" spans="1:8" ht="35.25">
      <c r="A45" s="298"/>
      <c r="B45" s="299"/>
      <c r="C45" s="299"/>
      <c r="D45" s="299"/>
      <c r="E45" s="299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72" t="s">
        <v>40</v>
      </c>
      <c r="B46" s="401"/>
      <c r="C46" s="401"/>
      <c r="D46" s="401"/>
      <c r="E46" s="401"/>
      <c r="F46" s="399" t="str">
        <f>IF(ISBLANK(E46),"  ",IF(C46&gt;0,E46/C46,IF(E46&gt;0,1,0)))</f>
        <v xml:space="preserve">  </v>
      </c>
      <c r="G46" s="24"/>
      <c r="H46" s="24"/>
    </row>
    <row r="47" spans="1:8" ht="34.5">
      <c r="A47" s="263" t="s">
        <v>41</v>
      </c>
      <c r="B47" s="264">
        <v>1596221</v>
      </c>
      <c r="C47" s="264">
        <v>1475044</v>
      </c>
      <c r="D47" s="264">
        <v>1608920</v>
      </c>
      <c r="E47" s="157">
        <f>D47-B47</f>
        <v>12699</v>
      </c>
      <c r="F47" s="343">
        <f t="shared" ref="F47:F60" si="1">IF(ISBLANK(E47),"  ",IF(B47&gt;0,E47/B47,IF(E47&gt;0,1,0)))</f>
        <v>7.955665286949614E-3</v>
      </c>
      <c r="G47" s="24"/>
      <c r="H47" s="24"/>
    </row>
    <row r="48" spans="1:8" ht="34.5">
      <c r="A48" s="168" t="s">
        <v>42</v>
      </c>
      <c r="B48" s="169"/>
      <c r="C48" s="169"/>
      <c r="D48" s="169"/>
      <c r="E48" s="169"/>
      <c r="F48" s="343" t="str">
        <f t="shared" si="1"/>
        <v xml:space="preserve">  </v>
      </c>
      <c r="G48" s="24"/>
      <c r="H48" s="24"/>
    </row>
    <row r="49" spans="1:8" ht="34.5">
      <c r="A49" s="155" t="s">
        <v>43</v>
      </c>
      <c r="B49" s="154"/>
      <c r="C49" s="154"/>
      <c r="D49" s="154"/>
      <c r="E49" s="154"/>
      <c r="F49" s="343" t="str">
        <f t="shared" si="1"/>
        <v xml:space="preserve">  </v>
      </c>
      <c r="G49" s="24"/>
      <c r="H49" s="24"/>
    </row>
    <row r="50" spans="1:8" ht="34.5">
      <c r="A50" s="156" t="s">
        <v>44</v>
      </c>
      <c r="B50" s="157">
        <v>304061</v>
      </c>
      <c r="C50" s="157">
        <v>275097</v>
      </c>
      <c r="D50" s="157">
        <v>306800</v>
      </c>
      <c r="E50" s="157">
        <f>D50-B50</f>
        <v>2739</v>
      </c>
      <c r="F50" s="343">
        <f t="shared" si="1"/>
        <v>9.0080608825202843E-3</v>
      </c>
      <c r="G50" s="24"/>
      <c r="H50" s="24"/>
    </row>
    <row r="51" spans="1:8" ht="34.5">
      <c r="A51" s="158" t="s">
        <v>45</v>
      </c>
      <c r="B51" s="159">
        <v>652552</v>
      </c>
      <c r="C51" s="159">
        <v>602276</v>
      </c>
      <c r="D51" s="159">
        <v>659270</v>
      </c>
      <c r="E51" s="159">
        <f>D51-C51</f>
        <v>56994</v>
      </c>
      <c r="F51" s="343">
        <f t="shared" si="1"/>
        <v>8.7340165994434157E-2</v>
      </c>
      <c r="G51" s="24"/>
      <c r="H51" s="24"/>
    </row>
    <row r="52" spans="1:8" ht="34.5">
      <c r="A52" s="156" t="s">
        <v>74</v>
      </c>
      <c r="B52" s="157">
        <v>1564353</v>
      </c>
      <c r="C52" s="157">
        <v>1439862</v>
      </c>
      <c r="D52" s="157">
        <v>1575340</v>
      </c>
      <c r="E52" s="157">
        <f>D52-B52</f>
        <v>10987</v>
      </c>
      <c r="F52" s="343">
        <f t="shared" si="1"/>
        <v>7.0233508677389313E-3</v>
      </c>
      <c r="G52" s="24"/>
      <c r="H52" s="24"/>
    </row>
    <row r="53" spans="1:8" ht="34.5">
      <c r="A53" s="156" t="s">
        <v>46</v>
      </c>
      <c r="B53" s="157"/>
      <c r="C53" s="157"/>
      <c r="D53" s="157"/>
      <c r="E53" s="157"/>
      <c r="F53" s="343" t="str">
        <f t="shared" si="1"/>
        <v xml:space="preserve">  </v>
      </c>
      <c r="G53" s="24"/>
      <c r="H53" s="24"/>
    </row>
    <row r="54" spans="1:8" ht="34.5">
      <c r="A54" s="153" t="s">
        <v>47</v>
      </c>
      <c r="B54" s="160">
        <f>482600-34884</f>
        <v>447716</v>
      </c>
      <c r="C54" s="160">
        <v>807508</v>
      </c>
      <c r="D54" s="160">
        <v>434478</v>
      </c>
      <c r="E54" s="159">
        <f>D54-B54</f>
        <v>-13238</v>
      </c>
      <c r="F54" s="343">
        <f t="shared" si="1"/>
        <v>-2.956785104843249E-2</v>
      </c>
      <c r="G54" s="24"/>
      <c r="H54" s="24"/>
    </row>
    <row r="55" spans="1:8" ht="35.25">
      <c r="A55" s="114" t="s">
        <v>48</v>
      </c>
      <c r="B55" s="116">
        <f>SUM(B47:B54)</f>
        <v>4564903</v>
      </c>
      <c r="C55" s="116">
        <f>SUM(C47:C54)</f>
        <v>4599787</v>
      </c>
      <c r="D55" s="116">
        <f>SUM(D47:D54)</f>
        <v>4584808</v>
      </c>
      <c r="E55" s="127">
        <f>D55-B55</f>
        <v>19905</v>
      </c>
      <c r="F55" s="344">
        <f t="shared" si="1"/>
        <v>4.3604431463275346E-3</v>
      </c>
      <c r="G55" s="24"/>
      <c r="H55" s="24"/>
    </row>
    <row r="56" spans="1:8" ht="34.5">
      <c r="A56" s="117" t="s">
        <v>49</v>
      </c>
      <c r="B56" s="93"/>
      <c r="C56" s="93"/>
      <c r="D56" s="93"/>
      <c r="E56" s="97"/>
      <c r="F56" s="343" t="str">
        <f t="shared" si="1"/>
        <v xml:space="preserve">  </v>
      </c>
      <c r="G56" s="24"/>
      <c r="H56" s="24"/>
    </row>
    <row r="57" spans="1:8" ht="34.5">
      <c r="A57" s="117" t="s">
        <v>50</v>
      </c>
      <c r="B57" s="118">
        <v>70398</v>
      </c>
      <c r="C57" s="118">
        <v>70398</v>
      </c>
      <c r="D57" s="118">
        <v>88454</v>
      </c>
      <c r="E57" s="157">
        <f>D57-B57</f>
        <v>18056</v>
      </c>
      <c r="F57" s="343">
        <f t="shared" si="1"/>
        <v>0.2564845592204324</v>
      </c>
      <c r="G57" s="24"/>
      <c r="H57" s="24"/>
    </row>
    <row r="58" spans="1:8" ht="34.5">
      <c r="A58" s="279" t="s">
        <v>51</v>
      </c>
      <c r="B58" s="280"/>
      <c r="C58" s="280"/>
      <c r="D58" s="280"/>
      <c r="E58" s="281"/>
      <c r="F58" s="343" t="str">
        <f t="shared" si="1"/>
        <v xml:space="preserve">  </v>
      </c>
      <c r="G58" s="24"/>
      <c r="H58" s="24"/>
    </row>
    <row r="59" spans="1:8" ht="34.5">
      <c r="A59" s="176" t="s">
        <v>52</v>
      </c>
      <c r="B59" s="177"/>
      <c r="C59" s="177"/>
      <c r="D59" s="177"/>
      <c r="E59" s="167"/>
      <c r="F59" s="343" t="str">
        <f t="shared" si="1"/>
        <v xml:space="preserve">  </v>
      </c>
      <c r="G59" s="24"/>
      <c r="H59" s="24"/>
    </row>
    <row r="60" spans="1:8" ht="35.25">
      <c r="A60" s="114" t="s">
        <v>53</v>
      </c>
      <c r="B60" s="116">
        <f>B59+B58+B57+B56+B55</f>
        <v>4635301</v>
      </c>
      <c r="C60" s="116">
        <f>C59+C58+C57+C56+C55</f>
        <v>4670185</v>
      </c>
      <c r="D60" s="116">
        <f>D59+D58+D57+D56+D55</f>
        <v>4673262</v>
      </c>
      <c r="E60" s="127">
        <f>D60-B60</f>
        <v>37961</v>
      </c>
      <c r="F60" s="344">
        <f t="shared" si="1"/>
        <v>8.1895436779617983E-3</v>
      </c>
      <c r="G60" s="24"/>
      <c r="H60" s="24"/>
    </row>
    <row r="61" spans="1:8" ht="34.5">
      <c r="A61" s="117"/>
      <c r="B61" s="118"/>
      <c r="C61" s="118"/>
      <c r="D61" s="118"/>
      <c r="E61" s="128"/>
      <c r="F61" s="361" t="str">
        <f>IF(ISBLANK(E61),"  ",IF(C61&gt;0,E61/C61,IF(E61&gt;0,1,0)))</f>
        <v xml:space="preserve">  </v>
      </c>
      <c r="G61" s="24"/>
      <c r="H61" s="24"/>
    </row>
    <row r="62" spans="1:8" ht="35.25">
      <c r="A62" s="119" t="s">
        <v>54</v>
      </c>
      <c r="B62" s="177"/>
      <c r="C62" s="177"/>
      <c r="D62" s="177"/>
      <c r="E62" s="167"/>
      <c r="F62" s="371" t="str">
        <f>IF(ISBLANK(E62),"  ",IF(C62&gt;0,E62/C62,IF(E62&gt;0,1,0)))</f>
        <v xml:space="preserve">  </v>
      </c>
      <c r="G62" s="24"/>
      <c r="H62" s="24"/>
    </row>
    <row r="63" spans="1:8" ht="34.5">
      <c r="A63" s="151" t="s">
        <v>55</v>
      </c>
      <c r="B63" s="254">
        <v>2582077</v>
      </c>
      <c r="C63" s="254">
        <v>2457062</v>
      </c>
      <c r="D63" s="254">
        <v>2594000</v>
      </c>
      <c r="E63" s="166">
        <f t="shared" ref="E63:E72" si="2">D63-B63</f>
        <v>11923</v>
      </c>
      <c r="F63" s="343">
        <f t="shared" ref="F63:F80" si="3">IF(ISBLANK(E63),"  ",IF(B63&gt;0,E63/B63,IF(E63&gt;0,1,0)))</f>
        <v>4.6176004820925173E-3</v>
      </c>
      <c r="G63" s="24"/>
      <c r="H63" s="24"/>
    </row>
    <row r="64" spans="1:8" ht="34.5">
      <c r="A64" s="150" t="s">
        <v>56</v>
      </c>
      <c r="B64" s="254">
        <v>230794</v>
      </c>
      <c r="C64" s="254">
        <v>204985</v>
      </c>
      <c r="D64" s="254">
        <v>234100</v>
      </c>
      <c r="E64" s="166">
        <f t="shared" si="2"/>
        <v>3306</v>
      </c>
      <c r="F64" s="343">
        <f t="shared" si="3"/>
        <v>1.432446250769084E-2</v>
      </c>
      <c r="G64" s="24"/>
      <c r="H64" s="24"/>
    </row>
    <row r="65" spans="1:8" ht="34.5">
      <c r="A65" s="30" t="s">
        <v>57</v>
      </c>
      <c r="B65" s="92">
        <v>671288</v>
      </c>
      <c r="C65" s="92">
        <v>662976</v>
      </c>
      <c r="D65" s="92">
        <v>680220</v>
      </c>
      <c r="E65" s="98">
        <f t="shared" si="2"/>
        <v>8932</v>
      </c>
      <c r="F65" s="343">
        <f t="shared" si="3"/>
        <v>1.3305764440895712E-2</v>
      </c>
      <c r="G65" s="24"/>
      <c r="H65" s="24"/>
    </row>
    <row r="66" spans="1:8" ht="35.25">
      <c r="A66" s="114" t="s">
        <v>58</v>
      </c>
      <c r="B66" s="116">
        <f>SUM(B63:B65)</f>
        <v>3484159</v>
      </c>
      <c r="C66" s="116">
        <f>SUM(C63:C65)</f>
        <v>3325023</v>
      </c>
      <c r="D66" s="116">
        <f>SUM(D63:D65)</f>
        <v>3508320</v>
      </c>
      <c r="E66" s="127">
        <f t="shared" si="2"/>
        <v>24161</v>
      </c>
      <c r="F66" s="344">
        <f t="shared" si="3"/>
        <v>6.9345285332845031E-3</v>
      </c>
      <c r="G66" s="24"/>
      <c r="H66" s="24"/>
    </row>
    <row r="67" spans="1:8" ht="34.5">
      <c r="A67" s="117" t="s">
        <v>59</v>
      </c>
      <c r="B67" s="118">
        <v>54834</v>
      </c>
      <c r="C67" s="118">
        <v>50669</v>
      </c>
      <c r="D67" s="118">
        <v>55970</v>
      </c>
      <c r="E67" s="128">
        <f t="shared" si="2"/>
        <v>1136</v>
      </c>
      <c r="F67" s="343">
        <f t="shared" si="3"/>
        <v>2.0717073348652297E-2</v>
      </c>
      <c r="G67" s="24"/>
      <c r="H67" s="24"/>
    </row>
    <row r="68" spans="1:8" ht="34.5">
      <c r="A68" s="126" t="s">
        <v>60</v>
      </c>
      <c r="B68" s="118">
        <f>702152-34884</f>
        <v>667268</v>
      </c>
      <c r="C68" s="118">
        <v>896167</v>
      </c>
      <c r="D68" s="118">
        <v>655548</v>
      </c>
      <c r="E68" s="128">
        <f t="shared" si="2"/>
        <v>-11720</v>
      </c>
      <c r="F68" s="343">
        <f t="shared" si="3"/>
        <v>-1.7564157130268498E-2</v>
      </c>
      <c r="G68" s="24"/>
      <c r="H68" s="24"/>
    </row>
    <row r="69" spans="1:8" ht="34.5">
      <c r="A69" s="151" t="s">
        <v>61</v>
      </c>
      <c r="B69" s="166">
        <v>155437</v>
      </c>
      <c r="C69" s="166">
        <v>91193</v>
      </c>
      <c r="D69" s="166">
        <v>159200</v>
      </c>
      <c r="E69" s="166">
        <f t="shared" si="2"/>
        <v>3763</v>
      </c>
      <c r="F69" s="343">
        <f t="shared" si="3"/>
        <v>2.4209165127993978E-2</v>
      </c>
      <c r="G69" s="24"/>
      <c r="H69" s="24"/>
    </row>
    <row r="70" spans="1:8" ht="35.25">
      <c r="A70" s="265" t="s">
        <v>62</v>
      </c>
      <c r="B70" s="174">
        <f>SUM(B67:B69)</f>
        <v>877539</v>
      </c>
      <c r="C70" s="174">
        <f>SUM(C67:C69)</f>
        <v>1038029</v>
      </c>
      <c r="D70" s="174">
        <f>SUM(D67:D69)</f>
        <v>870718</v>
      </c>
      <c r="E70" s="174">
        <f t="shared" si="2"/>
        <v>-6821</v>
      </c>
      <c r="F70" s="344">
        <f t="shared" si="3"/>
        <v>-7.7728739121566111E-3</v>
      </c>
      <c r="G70" s="24"/>
      <c r="H70" s="24"/>
    </row>
    <row r="71" spans="1:8" ht="34.5">
      <c r="A71" s="176" t="s">
        <v>63</v>
      </c>
      <c r="B71" s="177">
        <v>40000</v>
      </c>
      <c r="C71" s="177">
        <v>74831</v>
      </c>
      <c r="D71" s="177">
        <v>40470</v>
      </c>
      <c r="E71" s="177">
        <f t="shared" si="2"/>
        <v>470</v>
      </c>
      <c r="F71" s="343">
        <f t="shared" si="3"/>
        <v>1.175E-2</v>
      </c>
      <c r="G71" s="24"/>
      <c r="H71" s="24"/>
    </row>
    <row r="72" spans="1:8" ht="34.5">
      <c r="A72" s="117" t="s">
        <v>64</v>
      </c>
      <c r="B72" s="118">
        <v>6060</v>
      </c>
      <c r="C72" s="118">
        <v>71464</v>
      </c>
      <c r="D72" s="118">
        <v>6100</v>
      </c>
      <c r="E72" s="128">
        <f t="shared" si="2"/>
        <v>40</v>
      </c>
      <c r="F72" s="343">
        <f t="shared" si="3"/>
        <v>6.6006600660066007E-3</v>
      </c>
      <c r="G72" s="24"/>
      <c r="H72" s="24"/>
    </row>
    <row r="73" spans="1:8" ht="34.5">
      <c r="A73" s="117" t="s">
        <v>65</v>
      </c>
      <c r="B73" s="118"/>
      <c r="C73" s="118"/>
      <c r="D73" s="118"/>
      <c r="E73" s="128"/>
      <c r="F73" s="343" t="str">
        <f t="shared" si="3"/>
        <v xml:space="preserve">  </v>
      </c>
      <c r="G73" s="24"/>
      <c r="H73" s="24"/>
    </row>
    <row r="74" spans="1:8" ht="34.5">
      <c r="A74" s="126" t="s">
        <v>66</v>
      </c>
      <c r="B74" s="128">
        <v>70398</v>
      </c>
      <c r="C74" s="128">
        <v>70398</v>
      </c>
      <c r="D74" s="128">
        <v>88454</v>
      </c>
      <c r="E74" s="128">
        <f>D74-B74</f>
        <v>18056</v>
      </c>
      <c r="F74" s="343">
        <f t="shared" si="3"/>
        <v>0.2564845592204324</v>
      </c>
      <c r="G74" s="24"/>
      <c r="H74" s="24"/>
    </row>
    <row r="75" spans="1:8" ht="35.25">
      <c r="A75" s="114" t="s">
        <v>67</v>
      </c>
      <c r="B75" s="116">
        <f>SUM(B71:B74)</f>
        <v>116458</v>
      </c>
      <c r="C75" s="116">
        <f>SUM(C71:C74)</f>
        <v>216693</v>
      </c>
      <c r="D75" s="116">
        <f>SUM(D71:D74)</f>
        <v>135024</v>
      </c>
      <c r="E75" s="116">
        <f>D75-B75</f>
        <v>18566</v>
      </c>
      <c r="F75" s="344">
        <f t="shared" si="3"/>
        <v>0.15942228099400643</v>
      </c>
      <c r="G75" s="24"/>
      <c r="H75" s="24"/>
    </row>
    <row r="76" spans="1:8" ht="34.5">
      <c r="A76" s="117" t="s">
        <v>68</v>
      </c>
      <c r="B76" s="118">
        <v>120022</v>
      </c>
      <c r="C76" s="118">
        <v>68400</v>
      </c>
      <c r="D76" s="118">
        <v>121200</v>
      </c>
      <c r="E76" s="118">
        <f>D76-B76</f>
        <v>1178</v>
      </c>
      <c r="F76" s="343">
        <f t="shared" si="3"/>
        <v>9.8148672743330386E-3</v>
      </c>
      <c r="G76" s="24"/>
      <c r="H76" s="24"/>
    </row>
    <row r="77" spans="1:8" ht="34.5">
      <c r="A77" s="117" t="s">
        <v>69</v>
      </c>
      <c r="B77" s="118">
        <v>37123</v>
      </c>
      <c r="C77" s="118">
        <v>22040</v>
      </c>
      <c r="D77" s="118">
        <v>38000</v>
      </c>
      <c r="E77" s="118">
        <f>D77-B77</f>
        <v>877</v>
      </c>
      <c r="F77" s="343">
        <f t="shared" si="3"/>
        <v>2.3624168305363253E-2</v>
      </c>
      <c r="G77" s="24"/>
      <c r="H77" s="24"/>
    </row>
    <row r="78" spans="1:8" ht="34.5">
      <c r="A78" s="150" t="s">
        <v>70</v>
      </c>
      <c r="B78" s="254"/>
      <c r="C78" s="254"/>
      <c r="D78" s="254"/>
      <c r="E78" s="254"/>
      <c r="F78" s="343" t="str">
        <f t="shared" si="3"/>
        <v xml:space="preserve">  </v>
      </c>
      <c r="G78" s="24"/>
      <c r="H78" s="24"/>
    </row>
    <row r="79" spans="1:8" ht="35.25">
      <c r="A79" s="119" t="s">
        <v>71</v>
      </c>
      <c r="B79" s="120">
        <f>SUM(B76:B78)</f>
        <v>157145</v>
      </c>
      <c r="C79" s="120">
        <f>SUM(C76:C78)</f>
        <v>90440</v>
      </c>
      <c r="D79" s="120">
        <f>SUM(D76:D78)</f>
        <v>159200</v>
      </c>
      <c r="E79" s="120">
        <f>D79-B79</f>
        <v>2055</v>
      </c>
      <c r="F79" s="344">
        <f t="shared" si="3"/>
        <v>1.3077094403258138E-2</v>
      </c>
      <c r="G79" s="24"/>
      <c r="H79" s="24"/>
    </row>
    <row r="80" spans="1:8" ht="35.25">
      <c r="A80" s="274" t="s">
        <v>53</v>
      </c>
      <c r="B80" s="275">
        <f>B79+B75+B70+B66</f>
        <v>4635301</v>
      </c>
      <c r="C80" s="275">
        <f>C79+C75+C70+C66</f>
        <v>4670185</v>
      </c>
      <c r="D80" s="275">
        <f>D79+D75+D70+D66</f>
        <v>4673262</v>
      </c>
      <c r="E80" s="275">
        <f>D80-B80</f>
        <v>37961</v>
      </c>
      <c r="F80" s="390">
        <f t="shared" si="3"/>
        <v>8.1895436779617983E-3</v>
      </c>
      <c r="G80" s="24"/>
      <c r="H80" s="24"/>
    </row>
    <row r="81" spans="1:49" ht="35.25">
      <c r="A81" s="259"/>
      <c r="B81" s="260"/>
      <c r="C81" s="260"/>
      <c r="D81" s="260"/>
      <c r="E81" s="260"/>
      <c r="F81" s="387" t="s">
        <v>35</v>
      </c>
      <c r="G81" s="24"/>
      <c r="H81" s="24"/>
    </row>
    <row r="82" spans="1:49" s="413" customFormat="1" ht="44.25">
      <c r="A82" s="262" t="s">
        <v>99</v>
      </c>
      <c r="B82" s="286"/>
      <c r="C82" s="286"/>
      <c r="D82" s="278"/>
      <c r="E82" s="278"/>
      <c r="F82" s="392"/>
      <c r="G82" s="412"/>
      <c r="H82" s="412"/>
    </row>
    <row r="83" spans="1:49" s="411" customFormat="1" ht="44.25">
      <c r="A83" s="262" t="s">
        <v>72</v>
      </c>
      <c r="B83" s="286"/>
      <c r="C83" s="286"/>
      <c r="D83" s="286"/>
      <c r="E83" s="286"/>
      <c r="F83" s="414"/>
      <c r="G83" s="113"/>
      <c r="H83" s="113"/>
    </row>
    <row r="84" spans="1:49" s="411" customFormat="1" ht="44.25">
      <c r="A84" s="411" t="s">
        <v>35</v>
      </c>
      <c r="F84" s="317"/>
    </row>
    <row r="85" spans="1:49" s="163" customFormat="1" ht="44.25">
      <c r="B85" s="179"/>
      <c r="C85" s="179"/>
      <c r="D85" s="179"/>
      <c r="E85" s="179"/>
      <c r="F85" s="376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</row>
    <row r="86" spans="1:49" s="163" customFormat="1" ht="44.25">
      <c r="A86" s="179"/>
      <c r="B86" s="179"/>
      <c r="C86" s="179"/>
      <c r="D86" s="179"/>
      <c r="E86" s="179"/>
      <c r="F86" s="376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</row>
    <row r="87" spans="1:49" s="163" customFormat="1" ht="44.25">
      <c r="F87" s="375"/>
    </row>
    <row r="88" spans="1:49" s="163" customFormat="1" ht="44.25">
      <c r="F88" s="375"/>
    </row>
    <row r="89" spans="1:49" s="163" customFormat="1" ht="44.25">
      <c r="F89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1"/>
  <sheetViews>
    <sheetView topLeftCell="A49" zoomScale="30" workbookViewId="0">
      <selection activeCell="K40" sqref="K40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2.109375" style="332" customWidth="1"/>
    <col min="7" max="16384" width="8.88671875" style="16"/>
  </cols>
  <sheetData>
    <row r="1" spans="1:10" ht="45">
      <c r="A1" s="17" t="s">
        <v>0</v>
      </c>
      <c r="B1" s="276"/>
      <c r="C1" s="276" t="s">
        <v>1</v>
      </c>
      <c r="D1" s="271" t="s">
        <v>313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4.5">
      <c r="A6" s="30" t="s">
        <v>12</v>
      </c>
      <c r="B6" s="92"/>
      <c r="C6" s="92"/>
      <c r="D6" s="92"/>
      <c r="E6" s="178"/>
      <c r="F6" s="342"/>
      <c r="G6" s="24"/>
      <c r="H6" s="24"/>
      <c r="I6" s="24"/>
      <c r="J6" s="24"/>
    </row>
    <row r="7" spans="1:10" ht="34.5">
      <c r="A7" s="153" t="s">
        <v>13</v>
      </c>
      <c r="B7" s="93"/>
      <c r="C7" s="93"/>
      <c r="D7" s="93"/>
      <c r="E7" s="178"/>
      <c r="F7" s="343"/>
      <c r="G7" s="24"/>
      <c r="H7" s="24"/>
      <c r="I7" s="24"/>
      <c r="J7" s="24"/>
    </row>
    <row r="8" spans="1:10" ht="34.5">
      <c r="A8" s="252" t="s">
        <v>14</v>
      </c>
      <c r="B8" s="93">
        <v>7916689</v>
      </c>
      <c r="C8" s="93">
        <v>7916689</v>
      </c>
      <c r="D8" s="93">
        <v>5553732</v>
      </c>
      <c r="E8" s="93">
        <f>D8-B8</f>
        <v>-2362957</v>
      </c>
      <c r="F8" s="343">
        <f>IF(ISBLANK(E8),"  ",IF(B8&gt;0,E8/B8,IF(E8&gt;0,1,0)))</f>
        <v>-0.29847793692539898</v>
      </c>
      <c r="G8" s="24"/>
      <c r="H8" s="24"/>
      <c r="I8" s="24"/>
      <c r="J8" s="24"/>
    </row>
    <row r="9" spans="1:10" ht="34.5">
      <c r="A9" s="415" t="s">
        <v>87</v>
      </c>
      <c r="B9" s="93">
        <v>0</v>
      </c>
      <c r="C9" s="93">
        <v>0</v>
      </c>
      <c r="D9" s="93">
        <v>400779</v>
      </c>
      <c r="E9" s="93">
        <f>D9-B9</f>
        <v>400779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v>549084</v>
      </c>
      <c r="C10" s="93">
        <v>557715</v>
      </c>
      <c r="D10" s="93">
        <v>457134</v>
      </c>
      <c r="E10" s="93">
        <f>D10-B10</f>
        <v>-91950</v>
      </c>
      <c r="F10" s="343">
        <f t="shared" si="0"/>
        <v>-0.16746071639312018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33904</v>
      </c>
      <c r="E11" s="93">
        <f>D11-B11</f>
        <v>33904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278063</v>
      </c>
      <c r="C12" s="93">
        <v>286694</v>
      </c>
      <c r="D12" s="93">
        <v>248029</v>
      </c>
      <c r="E12" s="93">
        <f>D12-B12</f>
        <v>-30034</v>
      </c>
      <c r="F12" s="343">
        <f t="shared" si="0"/>
        <v>-0.10801149379816805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>
        <v>176021</v>
      </c>
      <c r="C14" s="93">
        <v>176021</v>
      </c>
      <c r="D14" s="93">
        <v>175201</v>
      </c>
      <c r="E14" s="93">
        <f>D14-B14</f>
        <v>-820</v>
      </c>
      <c r="F14" s="343">
        <f t="shared" si="0"/>
        <v>-4.6585350611574759E-3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5.25">
      <c r="A23" s="117" t="s">
        <v>28</v>
      </c>
      <c r="B23" s="116"/>
      <c r="C23" s="116"/>
      <c r="D23" s="116"/>
      <c r="E23" s="116"/>
      <c r="F23" s="343" t="str">
        <f t="shared" si="0"/>
        <v xml:space="preserve">  </v>
      </c>
      <c r="G23" s="24"/>
      <c r="H23" s="24"/>
    </row>
    <row r="24" spans="1:8" ht="34.5">
      <c r="A24" s="117" t="s">
        <v>90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118">
        <v>95000</v>
      </c>
      <c r="C25" s="118">
        <v>95000</v>
      </c>
      <c r="D25" s="118">
        <v>0</v>
      </c>
      <c r="E25" s="93">
        <f>D25-B25</f>
        <v>-95000</v>
      </c>
      <c r="F25" s="343">
        <f t="shared" si="0"/>
        <v>-1</v>
      </c>
      <c r="G25" s="24"/>
      <c r="H25" s="24"/>
    </row>
    <row r="26" spans="1:8" ht="35.25">
      <c r="A26" s="114" t="s">
        <v>218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42.75" customHeight="1">
      <c r="A28" s="114" t="s">
        <v>220</v>
      </c>
      <c r="B28" s="94"/>
      <c r="C28" s="94"/>
      <c r="D28" s="94"/>
      <c r="E28" s="94"/>
      <c r="F28" s="343" t="str">
        <f t="shared" si="0"/>
        <v xml:space="preserve">  </v>
      </c>
      <c r="G28" s="24"/>
      <c r="H28" s="24"/>
    </row>
    <row r="29" spans="1:8" ht="42.75" customHeight="1">
      <c r="A29" s="279" t="s">
        <v>30</v>
      </c>
      <c r="B29" s="393"/>
      <c r="C29" s="393"/>
      <c r="D29" s="393"/>
      <c r="E29" s="393"/>
      <c r="F29" s="343" t="str">
        <f t="shared" si="0"/>
        <v xml:space="preserve">  </v>
      </c>
      <c r="G29" s="24"/>
      <c r="H29" s="24"/>
    </row>
    <row r="30" spans="1:8" ht="35.25">
      <c r="A30" s="416" t="s">
        <v>32</v>
      </c>
      <c r="B30" s="403"/>
      <c r="C30" s="403"/>
      <c r="D30" s="403"/>
      <c r="E30" s="403"/>
      <c r="F30" s="343" t="str">
        <f t="shared" si="0"/>
        <v xml:space="preserve">  </v>
      </c>
      <c r="G30" s="24"/>
      <c r="H30" s="24"/>
    </row>
    <row r="31" spans="1:8" ht="35.25">
      <c r="A31" s="417" t="s">
        <v>33</v>
      </c>
      <c r="B31" s="432">
        <v>8465773</v>
      </c>
      <c r="C31" s="432">
        <v>8474404</v>
      </c>
      <c r="D31" s="432">
        <v>6411645</v>
      </c>
      <c r="E31" s="284">
        <f>D31-B31</f>
        <v>-2054128</v>
      </c>
      <c r="F31" s="390">
        <f t="shared" si="0"/>
        <v>-0.24263915415638951</v>
      </c>
      <c r="G31" s="24"/>
      <c r="H31" s="24"/>
    </row>
    <row r="32" spans="1:8" ht="35.25">
      <c r="A32" s="33"/>
      <c r="B32" s="92"/>
      <c r="C32" s="92"/>
      <c r="D32" s="92"/>
      <c r="E32" s="92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274</v>
      </c>
      <c r="B33" s="147">
        <v>-103603</v>
      </c>
      <c r="C33" s="138">
        <v>0</v>
      </c>
      <c r="D33" s="138">
        <v>0</v>
      </c>
      <c r="E33" s="465">
        <f>D33-B33</f>
        <v>103603</v>
      </c>
      <c r="F33" s="345">
        <f>IF(ISBLANK(E33),"  ",IF(B33&gt;0,E33/B33,IF(E33&gt;0,1,0)))</f>
        <v>1</v>
      </c>
      <c r="G33" s="24"/>
      <c r="H33" s="24"/>
    </row>
    <row r="34" spans="1:8" ht="35.25">
      <c r="A34" s="132"/>
      <c r="B34" s="133"/>
      <c r="C34" s="140"/>
      <c r="D34" s="140"/>
      <c r="E34" s="140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0" t="s">
        <v>36</v>
      </c>
      <c r="B35" s="147"/>
      <c r="C35" s="147"/>
      <c r="D35" s="147"/>
      <c r="E35" s="147"/>
      <c r="F35" s="397" t="str">
        <f>IF(ISBLANK(E35),"  ",IF(B35&gt;0,E35/B35,IF(E35&gt;0,1,0)))</f>
        <v xml:space="preserve">  </v>
      </c>
      <c r="G35" s="24"/>
      <c r="H35" s="24"/>
    </row>
    <row r="36" spans="1:8" ht="35.25">
      <c r="A36" s="33"/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7" t="s">
        <v>275</v>
      </c>
      <c r="B37" s="147">
        <v>0</v>
      </c>
      <c r="C37" s="147">
        <v>0</v>
      </c>
      <c r="D37" s="147">
        <v>1087514</v>
      </c>
      <c r="E37" s="299">
        <f>D37-B37</f>
        <v>1087514</v>
      </c>
      <c r="F37" s="345">
        <f>IF(ISBLANK(E37),"  ",IF(B37&gt;0,E37/B37,IF(E37&gt;0,1,0)))</f>
        <v>1</v>
      </c>
      <c r="G37" s="24"/>
      <c r="H37" s="24"/>
    </row>
    <row r="38" spans="1:8" ht="35.25">
      <c r="A38" s="139"/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7" t="s">
        <v>37</v>
      </c>
      <c r="B39" s="147">
        <v>3082589</v>
      </c>
      <c r="C39" s="147">
        <v>3702944</v>
      </c>
      <c r="D39" s="147">
        <v>3264752</v>
      </c>
      <c r="E39" s="401">
        <f>D39-B39</f>
        <v>182163</v>
      </c>
      <c r="F39" s="399">
        <f>IF(ISBLANK(E39),"  ",IF(B39&gt;0,E39/B39,IF(E39&gt;0,1,0)))</f>
        <v>5.9094157540950154E-2</v>
      </c>
      <c r="G39" s="24"/>
      <c r="H39" s="24"/>
    </row>
    <row r="40" spans="1:8" ht="35.25">
      <c r="A40" s="119"/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42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294" t="s">
        <v>39</v>
      </c>
      <c r="B43" s="398">
        <v>11444759</v>
      </c>
      <c r="C43" s="398">
        <v>12177348</v>
      </c>
      <c r="D43" s="398">
        <v>10763911</v>
      </c>
      <c r="E43" s="401">
        <f>D43-B43</f>
        <v>-680848</v>
      </c>
      <c r="F43" s="399">
        <f>IF(ISBLANK(E43),"  ",IF(B43&gt;0,E43/B43,IF(E43&gt;0,1,0)))</f>
        <v>-5.9489937708605313E-2</v>
      </c>
      <c r="G43" s="24"/>
      <c r="H43" s="24"/>
    </row>
    <row r="44" spans="1:8" ht="35.25">
      <c r="A44" s="33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8" ht="35.25">
      <c r="A45" s="33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30" t="s">
        <v>40</v>
      </c>
      <c r="B46" s="147"/>
      <c r="C46" s="147"/>
      <c r="D46" s="147"/>
      <c r="E46" s="147"/>
      <c r="F46" s="366" t="str">
        <f>IF(ISBLANK(E46),"  ",IF(C46&gt;0,E46/C46,IF(E46&gt;0,1,0)))</f>
        <v xml:space="preserve">  </v>
      </c>
      <c r="G46" s="24"/>
      <c r="H46" s="24"/>
    </row>
    <row r="47" spans="1:8" ht="34.5">
      <c r="A47" s="430" t="s">
        <v>41</v>
      </c>
      <c r="B47" s="431">
        <v>5892922</v>
      </c>
      <c r="C47" s="431">
        <v>6236199</v>
      </c>
      <c r="D47" s="431">
        <v>5838343</v>
      </c>
      <c r="E47" s="93">
        <f>D47-B47</f>
        <v>-54579</v>
      </c>
      <c r="F47" s="343">
        <f t="shared" ref="F47:F59" si="1">IF(ISBLANK(E47),"  ",IF(B47&gt;0,E47/B47,IF(E47&gt;0,1,0)))</f>
        <v>-9.2617889732801491E-3</v>
      </c>
      <c r="G47" s="24"/>
      <c r="H47" s="24"/>
    </row>
    <row r="48" spans="1:8" ht="34.5">
      <c r="A48" s="279" t="s">
        <v>42</v>
      </c>
      <c r="B48" s="280"/>
      <c r="C48" s="280"/>
      <c r="D48" s="280"/>
      <c r="E48" s="280"/>
      <c r="F48" s="343" t="str">
        <f t="shared" si="1"/>
        <v xml:space="preserve">  </v>
      </c>
      <c r="G48" s="24"/>
      <c r="H48" s="24"/>
    </row>
    <row r="49" spans="1:8" ht="34.5">
      <c r="A49" s="430" t="s">
        <v>43</v>
      </c>
      <c r="B49" s="431"/>
      <c r="C49" s="431"/>
      <c r="D49" s="431"/>
      <c r="E49" s="431"/>
      <c r="F49" s="343" t="str">
        <f t="shared" si="1"/>
        <v xml:space="preserve">  </v>
      </c>
      <c r="G49" s="24"/>
      <c r="H49" s="24"/>
    </row>
    <row r="50" spans="1:8" ht="34.5">
      <c r="A50" s="150" t="s">
        <v>44</v>
      </c>
      <c r="B50" s="254">
        <v>466868</v>
      </c>
      <c r="C50" s="254">
        <v>668966</v>
      </c>
      <c r="D50" s="254">
        <v>554990</v>
      </c>
      <c r="E50" s="93">
        <f t="shared" ref="E50:E55" si="2">D50-B50</f>
        <v>88122</v>
      </c>
      <c r="F50" s="343">
        <f t="shared" si="1"/>
        <v>0.1887514243854794</v>
      </c>
      <c r="G50" s="24"/>
      <c r="H50" s="24"/>
    </row>
    <row r="51" spans="1:8" ht="34.5">
      <c r="A51" s="155" t="s">
        <v>45</v>
      </c>
      <c r="B51" s="154">
        <v>848560</v>
      </c>
      <c r="C51" s="154">
        <v>906695</v>
      </c>
      <c r="D51" s="154">
        <v>810012</v>
      </c>
      <c r="E51" s="93">
        <f t="shared" si="2"/>
        <v>-38548</v>
      </c>
      <c r="F51" s="343">
        <f t="shared" si="1"/>
        <v>-4.542754784576223E-2</v>
      </c>
      <c r="G51" s="24"/>
      <c r="H51" s="24"/>
    </row>
    <row r="52" spans="1:8" ht="34.5">
      <c r="A52" s="155" t="s">
        <v>74</v>
      </c>
      <c r="B52" s="154">
        <v>2602937</v>
      </c>
      <c r="C52" s="154">
        <v>2750437</v>
      </c>
      <c r="D52" s="154">
        <v>1935917</v>
      </c>
      <c r="E52" s="93">
        <f t="shared" si="2"/>
        <v>-667020</v>
      </c>
      <c r="F52" s="343">
        <f t="shared" si="1"/>
        <v>-0.25625668235535476</v>
      </c>
      <c r="G52" s="24"/>
      <c r="H52" s="24"/>
    </row>
    <row r="53" spans="1:8" ht="34.5">
      <c r="A53" s="168" t="s">
        <v>46</v>
      </c>
      <c r="B53" s="169">
        <v>181742</v>
      </c>
      <c r="C53" s="169">
        <v>0</v>
      </c>
      <c r="D53" s="169">
        <v>188047</v>
      </c>
      <c r="E53" s="93">
        <f t="shared" si="2"/>
        <v>6305</v>
      </c>
      <c r="F53" s="343">
        <f t="shared" si="1"/>
        <v>3.4692035963068524E-2</v>
      </c>
      <c r="G53" s="24"/>
      <c r="H53" s="24"/>
    </row>
    <row r="54" spans="1:8" ht="34.5">
      <c r="A54" s="263" t="s">
        <v>47</v>
      </c>
      <c r="B54" s="264">
        <v>999905</v>
      </c>
      <c r="C54" s="264">
        <v>1163226</v>
      </c>
      <c r="D54" s="264">
        <v>897930</v>
      </c>
      <c r="E54" s="93">
        <f t="shared" si="2"/>
        <v>-101975</v>
      </c>
      <c r="F54" s="343">
        <f t="shared" si="1"/>
        <v>-0.10198468854541182</v>
      </c>
      <c r="G54" s="24"/>
      <c r="H54" s="24"/>
    </row>
    <row r="55" spans="1:8" ht="35.25">
      <c r="A55" s="172" t="s">
        <v>48</v>
      </c>
      <c r="B55" s="295">
        <v>10992934</v>
      </c>
      <c r="C55" s="295">
        <v>11725523</v>
      </c>
      <c r="D55" s="295">
        <v>10225239</v>
      </c>
      <c r="E55" s="94">
        <f t="shared" si="2"/>
        <v>-767695</v>
      </c>
      <c r="F55" s="344">
        <f t="shared" si="1"/>
        <v>-6.9835314211838265E-2</v>
      </c>
      <c r="G55" s="24"/>
      <c r="H55" s="24"/>
    </row>
    <row r="56" spans="1:8" ht="34.5">
      <c r="A56" s="155" t="s">
        <v>49</v>
      </c>
      <c r="B56" s="154"/>
      <c r="C56" s="154"/>
      <c r="D56" s="154"/>
      <c r="E56" s="154"/>
      <c r="F56" s="343" t="str">
        <f t="shared" si="1"/>
        <v xml:space="preserve">  </v>
      </c>
      <c r="G56" s="24"/>
      <c r="H56" s="24"/>
    </row>
    <row r="57" spans="1:8" ht="34.5">
      <c r="A57" s="156" t="s">
        <v>276</v>
      </c>
      <c r="B57" s="157">
        <v>451825</v>
      </c>
      <c r="C57" s="157">
        <v>451825</v>
      </c>
      <c r="D57" s="157">
        <v>538672</v>
      </c>
      <c r="E57" s="93">
        <f>D57-B57</f>
        <v>86847</v>
      </c>
      <c r="F57" s="343">
        <f t="shared" si="1"/>
        <v>0.19221379959054943</v>
      </c>
      <c r="G57" s="24"/>
      <c r="H57" s="24"/>
    </row>
    <row r="58" spans="1:8" ht="34.5">
      <c r="A58" s="158" t="s">
        <v>51</v>
      </c>
      <c r="B58" s="159"/>
      <c r="C58" s="159"/>
      <c r="D58" s="159"/>
      <c r="E58" s="159"/>
      <c r="F58" s="343" t="str">
        <f t="shared" si="1"/>
        <v xml:space="preserve">  </v>
      </c>
      <c r="G58" s="24"/>
      <c r="H58" s="24"/>
    </row>
    <row r="59" spans="1:8" ht="34.5">
      <c r="A59" s="156" t="s">
        <v>52</v>
      </c>
      <c r="B59" s="157"/>
      <c r="C59" s="157"/>
      <c r="D59" s="157"/>
      <c r="E59" s="157"/>
      <c r="F59" s="343" t="str">
        <f t="shared" si="1"/>
        <v xml:space="preserve">  </v>
      </c>
      <c r="G59" s="24"/>
      <c r="H59" s="24"/>
    </row>
    <row r="60" spans="1:8" ht="35.25">
      <c r="A60" s="282" t="s">
        <v>53</v>
      </c>
      <c r="B60" s="268">
        <v>11444759</v>
      </c>
      <c r="C60" s="268">
        <v>12177348</v>
      </c>
      <c r="D60" s="268">
        <v>10763911</v>
      </c>
      <c r="E60" s="94">
        <f>D60-B60</f>
        <v>-680848</v>
      </c>
      <c r="F60" s="344">
        <f>IF(ISBLANK(E60),"  ",IF(B60&gt;0,E60/B60,IF(E60&gt;0,1,0)))</f>
        <v>-5.9489937708605313E-2</v>
      </c>
      <c r="G60" s="24"/>
      <c r="H60" s="24"/>
    </row>
    <row r="61" spans="1:8" ht="34.5">
      <c r="A61" s="427"/>
      <c r="B61" s="428"/>
      <c r="C61" s="428"/>
      <c r="D61" s="428"/>
      <c r="E61" s="428"/>
      <c r="F61" s="476" t="str">
        <f>IF(ISBLANK(E61),"  ",IF(C61&gt;0,E61/C61,IF(E61&gt;0,1,0)))</f>
        <v xml:space="preserve">  </v>
      </c>
      <c r="G61" s="24"/>
      <c r="H61" s="24"/>
    </row>
    <row r="62" spans="1:8" ht="35.25">
      <c r="A62" s="172" t="s">
        <v>54</v>
      </c>
      <c r="B62" s="169"/>
      <c r="C62" s="169"/>
      <c r="D62" s="169"/>
      <c r="E62" s="425"/>
      <c r="F62" s="397" t="str">
        <f t="shared" ref="F62:F80" si="3">IF(ISBLANK(E62),"  ",IF(B62&gt;0,E62/B62,IF(E62&gt;0,1,0)))</f>
        <v xml:space="preserve">  </v>
      </c>
      <c r="G62" s="24"/>
      <c r="H62" s="24"/>
    </row>
    <row r="63" spans="1:8" ht="34.5">
      <c r="A63" s="117" t="s">
        <v>55</v>
      </c>
      <c r="B63" s="118">
        <v>6704670</v>
      </c>
      <c r="C63" s="118">
        <v>7243693</v>
      </c>
      <c r="D63" s="118">
        <v>6620098</v>
      </c>
      <c r="E63" s="93">
        <f t="shared" ref="E63:E72" si="4">D63-B63</f>
        <v>-84572</v>
      </c>
      <c r="F63" s="343">
        <f t="shared" si="3"/>
        <v>-1.2613894494434476E-2</v>
      </c>
      <c r="G63" s="24"/>
      <c r="H63" s="24"/>
    </row>
    <row r="64" spans="1:8" ht="34.5">
      <c r="A64" s="117" t="s">
        <v>56</v>
      </c>
      <c r="B64" s="93">
        <v>182395</v>
      </c>
      <c r="C64" s="93">
        <v>198364</v>
      </c>
      <c r="D64" s="93">
        <v>170936</v>
      </c>
      <c r="E64" s="93">
        <f t="shared" si="4"/>
        <v>-11459</v>
      </c>
      <c r="F64" s="343">
        <f t="shared" si="3"/>
        <v>-6.2825187093944468E-2</v>
      </c>
      <c r="G64" s="24"/>
      <c r="H64" s="24"/>
    </row>
    <row r="65" spans="1:8" ht="34.5">
      <c r="A65" s="117" t="s">
        <v>57</v>
      </c>
      <c r="B65" s="118">
        <v>2095009</v>
      </c>
      <c r="C65" s="118">
        <v>2085441</v>
      </c>
      <c r="D65" s="118">
        <v>1938067</v>
      </c>
      <c r="E65" s="93">
        <f t="shared" si="4"/>
        <v>-156942</v>
      </c>
      <c r="F65" s="343">
        <f t="shared" si="3"/>
        <v>-7.4912327345610444E-2</v>
      </c>
      <c r="G65" s="24"/>
      <c r="H65" s="24"/>
    </row>
    <row r="66" spans="1:8" ht="35.25">
      <c r="A66" s="121" t="s">
        <v>58</v>
      </c>
      <c r="B66" s="122">
        <v>8982074</v>
      </c>
      <c r="C66" s="122">
        <v>9527498</v>
      </c>
      <c r="D66" s="122">
        <v>8729101</v>
      </c>
      <c r="E66" s="94">
        <f t="shared" si="4"/>
        <v>-252973</v>
      </c>
      <c r="F66" s="344">
        <f t="shared" si="3"/>
        <v>-2.8164207954643881E-2</v>
      </c>
      <c r="G66" s="24"/>
      <c r="H66" s="24"/>
    </row>
    <row r="67" spans="1:8" ht="34.5">
      <c r="A67" s="176" t="s">
        <v>59</v>
      </c>
      <c r="B67" s="177">
        <v>78954</v>
      </c>
      <c r="C67" s="177">
        <v>77704</v>
      </c>
      <c r="D67" s="177">
        <v>54995</v>
      </c>
      <c r="E67" s="93">
        <f t="shared" si="4"/>
        <v>-23959</v>
      </c>
      <c r="F67" s="343">
        <f t="shared" si="3"/>
        <v>-0.30345517643184639</v>
      </c>
      <c r="G67" s="24"/>
      <c r="H67" s="24"/>
    </row>
    <row r="68" spans="1:8" ht="34.5">
      <c r="A68" s="117" t="s">
        <v>60</v>
      </c>
      <c r="B68" s="118">
        <v>957379</v>
      </c>
      <c r="C68" s="118">
        <v>1208594</v>
      </c>
      <c r="D68" s="118">
        <v>600806</v>
      </c>
      <c r="E68" s="93">
        <f t="shared" si="4"/>
        <v>-356573</v>
      </c>
      <c r="F68" s="343">
        <f t="shared" si="3"/>
        <v>-0.37244706641779274</v>
      </c>
      <c r="G68" s="24"/>
      <c r="H68" s="24"/>
    </row>
    <row r="69" spans="1:8" ht="34.5">
      <c r="A69" s="150" t="s">
        <v>61</v>
      </c>
      <c r="B69" s="254">
        <v>582764</v>
      </c>
      <c r="C69" s="254">
        <v>682005</v>
      </c>
      <c r="D69" s="254">
        <v>575162</v>
      </c>
      <c r="E69" s="256">
        <f t="shared" si="4"/>
        <v>-7602</v>
      </c>
      <c r="F69" s="369">
        <f t="shared" si="3"/>
        <v>-1.3044731658098304E-2</v>
      </c>
      <c r="G69" s="24"/>
      <c r="H69" s="24"/>
    </row>
    <row r="70" spans="1:8" ht="35.25">
      <c r="A70" s="119" t="s">
        <v>62</v>
      </c>
      <c r="B70" s="120">
        <v>1619097</v>
      </c>
      <c r="C70" s="120">
        <v>1968303</v>
      </c>
      <c r="D70" s="120">
        <v>1230963</v>
      </c>
      <c r="E70" s="95">
        <f t="shared" si="4"/>
        <v>-388134</v>
      </c>
      <c r="F70" s="345">
        <f t="shared" si="3"/>
        <v>-0.23972251199279598</v>
      </c>
      <c r="G70" s="24"/>
      <c r="H70" s="24"/>
    </row>
    <row r="71" spans="1:8" ht="34.5">
      <c r="A71" s="151" t="s">
        <v>63</v>
      </c>
      <c r="B71" s="254">
        <v>41977</v>
      </c>
      <c r="C71" s="254">
        <v>77128</v>
      </c>
      <c r="D71" s="254">
        <v>77128</v>
      </c>
      <c r="E71" s="93">
        <f t="shared" si="4"/>
        <v>35151</v>
      </c>
      <c r="F71" s="343">
        <f t="shared" si="3"/>
        <v>0.8373871405769826</v>
      </c>
      <c r="G71" s="24"/>
      <c r="H71" s="24"/>
    </row>
    <row r="72" spans="1:8" ht="34.5">
      <c r="A72" s="150" t="s">
        <v>64</v>
      </c>
      <c r="B72" s="254">
        <v>249928</v>
      </c>
      <c r="C72" s="254">
        <v>88090</v>
      </c>
      <c r="D72" s="254">
        <v>188047</v>
      </c>
      <c r="E72" s="160">
        <f t="shared" si="4"/>
        <v>-61881</v>
      </c>
      <c r="F72" s="343">
        <f t="shared" si="3"/>
        <v>-0.24759530744854519</v>
      </c>
      <c r="G72" s="24"/>
      <c r="H72" s="24"/>
    </row>
    <row r="73" spans="1:8" ht="34.5">
      <c r="A73" s="30" t="s">
        <v>65</v>
      </c>
      <c r="B73" s="92"/>
      <c r="C73" s="92"/>
      <c r="D73" s="92"/>
      <c r="E73" s="98"/>
      <c r="F73" s="343" t="str">
        <f t="shared" si="3"/>
        <v xml:space="preserve">  </v>
      </c>
      <c r="G73" s="24"/>
      <c r="H73" s="24"/>
    </row>
    <row r="74" spans="1:8" ht="34.5">
      <c r="A74" s="117" t="s">
        <v>66</v>
      </c>
      <c r="B74" s="118">
        <v>451825</v>
      </c>
      <c r="C74" s="118">
        <v>451825</v>
      </c>
      <c r="D74" s="118">
        <v>538672</v>
      </c>
      <c r="E74" s="93">
        <f>D74-B74</f>
        <v>86847</v>
      </c>
      <c r="F74" s="343">
        <f t="shared" si="3"/>
        <v>0.19221379959054943</v>
      </c>
      <c r="G74" s="24"/>
      <c r="H74" s="24"/>
    </row>
    <row r="75" spans="1:8" ht="35.25">
      <c r="A75" s="114" t="s">
        <v>67</v>
      </c>
      <c r="B75" s="116">
        <v>743730</v>
      </c>
      <c r="C75" s="116">
        <v>617043</v>
      </c>
      <c r="D75" s="116">
        <v>803847</v>
      </c>
      <c r="E75" s="94">
        <f>D75-B75</f>
        <v>60117</v>
      </c>
      <c r="F75" s="344">
        <f t="shared" si="3"/>
        <v>8.0831753458916536E-2</v>
      </c>
      <c r="G75" s="24"/>
      <c r="H75" s="24"/>
    </row>
    <row r="76" spans="1:8" ht="34.5">
      <c r="A76" s="126" t="s">
        <v>68</v>
      </c>
      <c r="B76" s="118">
        <v>99858</v>
      </c>
      <c r="C76" s="118">
        <v>64504</v>
      </c>
      <c r="D76" s="118">
        <v>0</v>
      </c>
      <c r="E76" s="93">
        <f>D76-B76</f>
        <v>-99858</v>
      </c>
      <c r="F76" s="343">
        <f t="shared" si="3"/>
        <v>-1</v>
      </c>
      <c r="G76" s="24"/>
      <c r="H76" s="24"/>
    </row>
    <row r="77" spans="1:8" ht="34.5">
      <c r="A77" s="151" t="s">
        <v>69</v>
      </c>
      <c r="B77" s="166"/>
      <c r="C77" s="166"/>
      <c r="D77" s="166"/>
      <c r="E77" s="166"/>
      <c r="F77" s="343" t="str">
        <f t="shared" si="3"/>
        <v xml:space="preserve">  </v>
      </c>
      <c r="G77" s="24"/>
      <c r="H77" s="24"/>
    </row>
    <row r="78" spans="1:8" ht="34.5">
      <c r="A78" s="151" t="s">
        <v>70</v>
      </c>
      <c r="B78" s="166"/>
      <c r="C78" s="166"/>
      <c r="D78" s="166"/>
      <c r="E78" s="166"/>
      <c r="F78" s="343" t="str">
        <f t="shared" si="3"/>
        <v xml:space="preserve">  </v>
      </c>
      <c r="G78" s="24"/>
      <c r="H78" s="24"/>
    </row>
    <row r="79" spans="1:8" ht="35.25">
      <c r="A79" s="119" t="s">
        <v>71</v>
      </c>
      <c r="B79" s="120">
        <v>99858</v>
      </c>
      <c r="C79" s="120">
        <v>64504</v>
      </c>
      <c r="D79" s="120">
        <v>0</v>
      </c>
      <c r="E79" s="94">
        <f>D79-B79</f>
        <v>-99858</v>
      </c>
      <c r="F79" s="344">
        <f t="shared" si="3"/>
        <v>-1</v>
      </c>
      <c r="G79" s="24"/>
      <c r="H79" s="24"/>
    </row>
    <row r="80" spans="1:8" ht="36" thickBot="1">
      <c r="A80" s="164" t="s">
        <v>53</v>
      </c>
      <c r="B80" s="165">
        <v>11444759</v>
      </c>
      <c r="C80" s="165">
        <v>12177348</v>
      </c>
      <c r="D80" s="165">
        <v>10763911</v>
      </c>
      <c r="E80" s="94">
        <f>D80-B80</f>
        <v>-680848</v>
      </c>
      <c r="F80" s="344">
        <f t="shared" si="3"/>
        <v>-5.9489937708605313E-2</v>
      </c>
      <c r="G80" s="24"/>
      <c r="H80" s="24"/>
    </row>
    <row r="81" spans="1:49" ht="34.5">
      <c r="A81" s="418"/>
      <c r="B81" s="419"/>
      <c r="C81" s="419"/>
      <c r="D81" s="419"/>
      <c r="E81" s="420"/>
      <c r="F81" s="421"/>
      <c r="G81" s="24"/>
      <c r="H81" s="24"/>
    </row>
    <row r="82" spans="1:49" ht="44.25">
      <c r="A82" s="423" t="s">
        <v>99</v>
      </c>
      <c r="B82" s="422"/>
      <c r="C82" s="422"/>
      <c r="D82" s="422"/>
      <c r="E82" s="422"/>
      <c r="F82" s="392"/>
      <c r="G82" s="24"/>
      <c r="H82" s="24"/>
    </row>
    <row r="83" spans="1:49" ht="44.25">
      <c r="A83" s="262" t="s">
        <v>72</v>
      </c>
      <c r="B83" s="260"/>
      <c r="C83" s="260"/>
      <c r="D83" s="260"/>
      <c r="E83" s="260"/>
      <c r="F83" s="387"/>
      <c r="G83" s="24"/>
      <c r="H83" s="24"/>
    </row>
    <row r="84" spans="1:49" s="413" customFormat="1" ht="44.25">
      <c r="A84" s="262"/>
      <c r="B84" s="286"/>
      <c r="C84" s="286"/>
      <c r="D84" s="278"/>
      <c r="E84" s="278"/>
      <c r="F84" s="392"/>
      <c r="G84" s="412"/>
      <c r="H84" s="412"/>
    </row>
    <row r="85" spans="1:49" s="411" customFormat="1" ht="44.25">
      <c r="A85" s="262"/>
      <c r="B85" s="286"/>
      <c r="C85" s="286"/>
      <c r="D85" s="286"/>
      <c r="E85" s="286"/>
      <c r="F85" s="414"/>
      <c r="G85" s="113"/>
      <c r="H85" s="113"/>
    </row>
    <row r="86" spans="1:49" s="411" customFormat="1" ht="44.25">
      <c r="F86" s="317"/>
    </row>
    <row r="87" spans="1:49" s="163" customFormat="1" ht="44.25"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A88" s="179"/>
      <c r="B88" s="179"/>
      <c r="C88" s="179"/>
      <c r="D88" s="179"/>
      <c r="E88" s="179"/>
      <c r="F88" s="376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</row>
    <row r="89" spans="1:49" s="163" customFormat="1" ht="44.25">
      <c r="F89" s="375"/>
    </row>
    <row r="90" spans="1:49" s="163" customFormat="1" ht="44.25">
      <c r="F90" s="375"/>
    </row>
    <row r="91" spans="1:49" s="163" customFormat="1" ht="44.25">
      <c r="F91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1"/>
  <sheetViews>
    <sheetView zoomScale="30" workbookViewId="0">
      <selection activeCell="J70" sqref="J70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2.109375" style="332" customWidth="1"/>
    <col min="7" max="16384" width="8.88671875" style="16"/>
  </cols>
  <sheetData>
    <row r="1" spans="1:10" ht="45">
      <c r="A1" s="17" t="s">
        <v>0</v>
      </c>
      <c r="B1" s="276"/>
      <c r="C1" s="276" t="s">
        <v>256</v>
      </c>
      <c r="D1" s="271" t="s">
        <v>257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4.5">
      <c r="A6" s="30" t="s">
        <v>12</v>
      </c>
      <c r="B6" s="92"/>
      <c r="C6" s="92"/>
      <c r="D6" s="92"/>
      <c r="E6" s="178"/>
      <c r="F6" s="342"/>
      <c r="G6" s="24"/>
      <c r="H6" s="24"/>
      <c r="I6" s="24"/>
      <c r="J6" s="24"/>
    </row>
    <row r="7" spans="1:10" ht="34.5">
      <c r="A7" s="153" t="s">
        <v>13</v>
      </c>
      <c r="B7" s="93"/>
      <c r="C7" s="93"/>
      <c r="D7" s="93"/>
      <c r="E7" s="178"/>
      <c r="F7" s="343"/>
      <c r="G7" s="24"/>
      <c r="H7" s="24"/>
      <c r="I7" s="24"/>
      <c r="J7" s="24"/>
    </row>
    <row r="8" spans="1:10" ht="34.5">
      <c r="A8" s="252" t="s">
        <v>14</v>
      </c>
      <c r="B8" s="93">
        <v>76198019</v>
      </c>
      <c r="C8" s="93">
        <v>76198019</v>
      </c>
      <c r="D8" s="93">
        <v>54467345</v>
      </c>
      <c r="E8" s="93">
        <f>D8-B8</f>
        <v>-21730674</v>
      </c>
      <c r="F8" s="343">
        <f>IF(ISBLANK(E8),"  ",IF(B8&gt;0,E8/B8,IF(E8&gt;0,1,0)))</f>
        <v>-0.28518686292881185</v>
      </c>
      <c r="G8" s="24"/>
      <c r="H8" s="24"/>
      <c r="I8" s="24"/>
      <c r="J8" s="24"/>
    </row>
    <row r="9" spans="1:10" ht="34.5">
      <c r="A9" s="415" t="s">
        <v>87</v>
      </c>
      <c r="B9" s="93">
        <v>0</v>
      </c>
      <c r="C9" s="93">
        <v>0</v>
      </c>
      <c r="D9" s="93">
        <v>5089774</v>
      </c>
      <c r="E9" s="93">
        <f>D9-B9</f>
        <v>5089774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3193062</v>
      </c>
      <c r="C10" s="93">
        <f>SUM(C11:C25)</f>
        <v>3290996</v>
      </c>
      <c r="D10" s="93">
        <f>SUM(D11:D25)</f>
        <v>3244852</v>
      </c>
      <c r="E10" s="93">
        <f>D10-B10</f>
        <v>51790</v>
      </c>
      <c r="F10" s="343">
        <f t="shared" si="0"/>
        <v>1.6219540992313961E-2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430571</v>
      </c>
      <c r="E11" s="93">
        <f>D11-B11</f>
        <v>430571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f>3252996-97934</f>
        <v>3155062</v>
      </c>
      <c r="C12" s="93">
        <v>3252996</v>
      </c>
      <c r="D12" s="93">
        <v>2814281</v>
      </c>
      <c r="E12" s="93">
        <f>D12-B12</f>
        <v>-340781</v>
      </c>
      <c r="F12" s="343">
        <f t="shared" si="0"/>
        <v>-0.10801087268649555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5.25">
      <c r="A23" s="117" t="s">
        <v>28</v>
      </c>
      <c r="B23" s="116"/>
      <c r="C23" s="116"/>
      <c r="D23" s="116"/>
      <c r="E23" s="116"/>
      <c r="F23" s="343" t="str">
        <f t="shared" si="0"/>
        <v xml:space="preserve">  </v>
      </c>
      <c r="G23" s="24"/>
      <c r="H23" s="24"/>
    </row>
    <row r="24" spans="1:8" ht="34.5">
      <c r="A24" s="117" t="s">
        <v>90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8" ht="34.5">
      <c r="A25" s="117" t="s">
        <v>80</v>
      </c>
      <c r="B25" s="118">
        <v>38000</v>
      </c>
      <c r="C25" s="118">
        <f>40000-2000</f>
        <v>38000</v>
      </c>
      <c r="D25" s="118">
        <v>0</v>
      </c>
      <c r="E25" s="118">
        <f>D25-B25</f>
        <v>-38000</v>
      </c>
      <c r="F25" s="343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258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42.75" customHeight="1">
      <c r="A28" s="114" t="s">
        <v>31</v>
      </c>
      <c r="B28" s="94"/>
      <c r="C28" s="94"/>
      <c r="D28" s="94"/>
      <c r="E28" s="94"/>
      <c r="F28" s="343" t="str">
        <f t="shared" si="0"/>
        <v xml:space="preserve">  </v>
      </c>
      <c r="G28" s="24"/>
      <c r="H28" s="24"/>
    </row>
    <row r="29" spans="1:8" ht="42.75" customHeight="1">
      <c r="A29" s="279" t="s">
        <v>30</v>
      </c>
      <c r="B29" s="393"/>
      <c r="C29" s="393"/>
      <c r="D29" s="393"/>
      <c r="E29" s="393"/>
      <c r="F29" s="343" t="str">
        <f t="shared" si="0"/>
        <v xml:space="preserve">  </v>
      </c>
      <c r="G29" s="24"/>
      <c r="H29" s="24"/>
    </row>
    <row r="30" spans="1:8" ht="35.25">
      <c r="A30" s="416" t="s">
        <v>32</v>
      </c>
      <c r="B30" s="403"/>
      <c r="C30" s="403"/>
      <c r="D30" s="403"/>
      <c r="E30" s="403"/>
      <c r="F30" s="343" t="str">
        <f t="shared" si="0"/>
        <v xml:space="preserve">  </v>
      </c>
      <c r="G30" s="24"/>
      <c r="H30" s="24"/>
    </row>
    <row r="31" spans="1:8" ht="35.25">
      <c r="A31" s="417" t="s">
        <v>33</v>
      </c>
      <c r="B31" s="432">
        <f>B30+B29+B27+B10+B9+B8</f>
        <v>79391081</v>
      </c>
      <c r="C31" s="432">
        <f>C30+C29+C27+C10+C9+C8</f>
        <v>79489015</v>
      </c>
      <c r="D31" s="432">
        <f>D30+D29+D27+D10+D9+D8</f>
        <v>62801971</v>
      </c>
      <c r="E31" s="287">
        <f>D31-B31</f>
        <v>-16589110</v>
      </c>
      <c r="F31" s="390">
        <f t="shared" si="0"/>
        <v>-0.20895432825760366</v>
      </c>
      <c r="G31" s="24"/>
      <c r="H31" s="24"/>
    </row>
    <row r="32" spans="1:8" ht="35.25">
      <c r="A32" s="33"/>
      <c r="B32" s="92"/>
      <c r="C32" s="92"/>
      <c r="D32" s="92"/>
      <c r="E32" s="92"/>
      <c r="F32" s="342" t="str">
        <f>IF(ISBLANK(E32),"  ",IF(C32&gt;0,E32/C32,IF(E32&gt;0,1,0)))</f>
        <v xml:space="preserve">  </v>
      </c>
      <c r="G32" s="24"/>
      <c r="H32" s="24"/>
    </row>
    <row r="33" spans="1:8" ht="35.25">
      <c r="A33" s="130" t="s">
        <v>259</v>
      </c>
      <c r="B33" s="147"/>
      <c r="C33" s="138"/>
      <c r="D33" s="138"/>
      <c r="E33" s="138"/>
      <c r="F33" s="342" t="str">
        <f>IF(ISBLANK(E33),"  ",IF(B33&gt;0,E33/B33,IF(E33&gt;0,1,0)))</f>
        <v xml:space="preserve">  </v>
      </c>
      <c r="G33" s="24"/>
      <c r="H33" s="24"/>
    </row>
    <row r="34" spans="1:8" ht="35.25">
      <c r="A34" s="132" t="s">
        <v>35</v>
      </c>
      <c r="B34" s="133"/>
      <c r="C34" s="140"/>
      <c r="D34" s="140"/>
      <c r="E34" s="140"/>
      <c r="F34" s="356" t="str">
        <f>IF(ISBLANK(E34),"  ",IF(C34&gt;0,E34/C34,IF(E34&gt;0,1,0)))</f>
        <v xml:space="preserve">  </v>
      </c>
      <c r="G34" s="24"/>
      <c r="H34" s="24"/>
    </row>
    <row r="35" spans="1:8" ht="35.25">
      <c r="A35" s="130" t="s">
        <v>36</v>
      </c>
      <c r="B35" s="147"/>
      <c r="C35" s="147"/>
      <c r="D35" s="147"/>
      <c r="E35" s="147"/>
      <c r="F35" s="397" t="str">
        <f>IF(ISBLANK(E35),"  ",IF(B35&gt;0,E35/B35,IF(E35&gt;0,1,0)))</f>
        <v xml:space="preserve">  </v>
      </c>
      <c r="G35" s="24"/>
      <c r="H35" s="24"/>
    </row>
    <row r="36" spans="1:8" ht="35.25">
      <c r="A36" s="33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8" ht="35.25">
      <c r="A37" s="137" t="s">
        <v>153</v>
      </c>
      <c r="B37" s="147">
        <f>SUM('[6]BOR-2'!B13)</f>
        <v>0</v>
      </c>
      <c r="C37" s="147">
        <v>0</v>
      </c>
      <c r="D37" s="147">
        <v>11892426</v>
      </c>
      <c r="E37" s="147">
        <f>D37-B37</f>
        <v>11892426</v>
      </c>
      <c r="F37" s="345">
        <f>IF(ISBLANK(E37),"  ",IF(B37&gt;0,E37/B37,IF(E37&gt;0,1,0)))</f>
        <v>1</v>
      </c>
      <c r="G37" s="24"/>
      <c r="H37" s="24"/>
    </row>
    <row r="38" spans="1:8" ht="35.25">
      <c r="A38" s="139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8" ht="35.25">
      <c r="A39" s="137" t="s">
        <v>37</v>
      </c>
      <c r="B39" s="147">
        <f>SUM('[6]BOR-2'!B28)</f>
        <v>12598810.67</v>
      </c>
      <c r="C39" s="147">
        <f>13626000+1433000</f>
        <v>15059000</v>
      </c>
      <c r="D39" s="147">
        <v>14395880</v>
      </c>
      <c r="E39" s="147">
        <f>D39-B39</f>
        <v>1797069.33</v>
      </c>
      <c r="F39" s="399">
        <f>IF(ISBLANK(E39),"  ",IF(B39&gt;0,E39/B39,IF(E39&gt;0,1,0)))</f>
        <v>0.14263801378324864</v>
      </c>
      <c r="G39" s="24"/>
      <c r="H39" s="24"/>
    </row>
    <row r="40" spans="1:8" ht="35.25">
      <c r="A40" s="119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8" ht="35.25">
      <c r="A41" s="130" t="s">
        <v>38</v>
      </c>
      <c r="B41" s="147"/>
      <c r="C41" s="147"/>
      <c r="D41" s="147"/>
      <c r="E41" s="147"/>
      <c r="F41" s="342" t="str">
        <f>IF(ISBLANK(E41),"  ",IF(B41&gt;0,E41/B41,IF(E41&gt;0,1,0)))</f>
        <v xml:space="preserve">  </v>
      </c>
      <c r="G41" s="24"/>
      <c r="H41" s="24"/>
    </row>
    <row r="42" spans="1:8" ht="35.25">
      <c r="A42" s="132"/>
      <c r="B42" s="133"/>
      <c r="C42" s="133"/>
      <c r="D42" s="133"/>
      <c r="E42" s="133"/>
      <c r="F42" s="356" t="str">
        <f>IF(ISBLANK(E42),"  ",IF(C42&gt;0,E42/C42,IF(E42&gt;0,1,0)))</f>
        <v xml:space="preserve">  </v>
      </c>
      <c r="G42" s="24"/>
      <c r="H42" s="24"/>
    </row>
    <row r="43" spans="1:8" ht="35.25">
      <c r="A43" s="294" t="s">
        <v>39</v>
      </c>
      <c r="B43" s="398">
        <f>B41+B39+B37+B35+B31-B33</f>
        <v>91989891.670000002</v>
      </c>
      <c r="C43" s="398">
        <f>C41+C39+C37+C35+C31-C33</f>
        <v>94548015</v>
      </c>
      <c r="D43" s="398">
        <f>D41+D39+D37+D35+D31-D33</f>
        <v>89090277</v>
      </c>
      <c r="E43" s="398">
        <f>D43-B43</f>
        <v>-2899614.6700000018</v>
      </c>
      <c r="F43" s="345">
        <f>IF(ISBLANK(E43),"  ",IF(B43&gt;0,E43/B43,IF(E43&gt;0,1,0)))</f>
        <v>-3.1521014074045617E-2</v>
      </c>
      <c r="G43" s="24"/>
      <c r="H43" s="24"/>
    </row>
    <row r="44" spans="1:8" ht="35.25">
      <c r="A44" s="33"/>
      <c r="B44" s="95"/>
      <c r="C44" s="95"/>
      <c r="D44" s="95"/>
      <c r="E44" s="95"/>
      <c r="F44" s="343" t="str">
        <f>IF(ISBLANK(E44),"  ",IF(B44&gt;0,E44/B44,IF(E44&gt;0,1,0)))</f>
        <v xml:space="preserve">  </v>
      </c>
      <c r="G44" s="24"/>
      <c r="H44" s="24"/>
    </row>
    <row r="45" spans="1:8" ht="35.25">
      <c r="A45" s="33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</row>
    <row r="46" spans="1:8" ht="35.25">
      <c r="A46" s="130" t="s">
        <v>40</v>
      </c>
      <c r="B46" s="147"/>
      <c r="C46" s="147"/>
      <c r="D46" s="147"/>
      <c r="E46" s="147"/>
      <c r="F46" s="366" t="str">
        <f>IF(ISBLANK(E46),"  ",IF(C46&gt;0,E46/C46,IF(E46&gt;0,1,0)))</f>
        <v xml:space="preserve">  </v>
      </c>
      <c r="G46" s="24"/>
      <c r="H46" s="24"/>
    </row>
    <row r="47" spans="1:8" ht="34.5">
      <c r="A47" s="430" t="s">
        <v>41</v>
      </c>
      <c r="B47" s="431">
        <f>SUM('[6]BOR 4'!B24)</f>
        <v>50157332.409999996</v>
      </c>
      <c r="C47" s="431">
        <f>SUM('[6]BOR 4'!C24)</f>
        <v>51573445.589999996</v>
      </c>
      <c r="D47" s="431">
        <f>SUM('[6]BOR 4'!D24)</f>
        <v>47479388.900000006</v>
      </c>
      <c r="E47" s="431">
        <f>D47-B47</f>
        <v>-2677943.5099999905</v>
      </c>
      <c r="F47" s="343">
        <f t="shared" ref="F47:F60" si="1">IF(ISBLANK(E47),"  ",IF(B47&gt;0,E47/B47,IF(E47&gt;0,1,0)))</f>
        <v>-5.3390867921558005E-2</v>
      </c>
      <c r="G47" s="24"/>
      <c r="H47" s="24"/>
    </row>
    <row r="48" spans="1:8" ht="34.5">
      <c r="A48" s="279" t="s">
        <v>42</v>
      </c>
      <c r="B48" s="280"/>
      <c r="C48" s="280"/>
      <c r="D48" s="280"/>
      <c r="E48" s="280"/>
      <c r="F48" s="343" t="str">
        <f t="shared" si="1"/>
        <v xml:space="preserve">  </v>
      </c>
      <c r="G48" s="24"/>
      <c r="H48" s="24"/>
    </row>
    <row r="49" spans="1:8" ht="34.5">
      <c r="A49" s="430" t="s">
        <v>43</v>
      </c>
      <c r="B49" s="431"/>
      <c r="C49" s="431"/>
      <c r="D49" s="431"/>
      <c r="E49" s="431"/>
      <c r="F49" s="343" t="str">
        <f t="shared" si="1"/>
        <v xml:space="preserve">  </v>
      </c>
      <c r="G49" s="24"/>
      <c r="H49" s="24"/>
    </row>
    <row r="50" spans="1:8" ht="34.5">
      <c r="A50" s="150" t="s">
        <v>44</v>
      </c>
      <c r="B50" s="254">
        <f>+'[6]BOR 4'!B90</f>
        <v>1782677.5199999998</v>
      </c>
      <c r="C50" s="254">
        <f>+'[6]BOR 4'!C90</f>
        <v>1784032.5199999998</v>
      </c>
      <c r="D50" s="254">
        <f>+'[6]BOR 4'!D90</f>
        <v>1763404.78</v>
      </c>
      <c r="E50" s="254">
        <f t="shared" ref="E50:E55" si="2">D50-B50</f>
        <v>-19272.739999999758</v>
      </c>
      <c r="F50" s="343">
        <f t="shared" si="1"/>
        <v>-1.0811119669024469E-2</v>
      </c>
      <c r="G50" s="24"/>
      <c r="H50" s="24"/>
    </row>
    <row r="51" spans="1:8" ht="34.5">
      <c r="A51" s="155" t="s">
        <v>45</v>
      </c>
      <c r="B51" s="154">
        <f>+'[6]BOR 4'!B111</f>
        <v>6573365.21</v>
      </c>
      <c r="C51" s="154">
        <f>+'[6]BOR 4'!C111</f>
        <v>6763327.9500000011</v>
      </c>
      <c r="D51" s="154">
        <f>+'[6]BOR 4'!D111</f>
        <v>6507757.2199999997</v>
      </c>
      <c r="E51" s="154">
        <f t="shared" si="2"/>
        <v>-65607.990000000224</v>
      </c>
      <c r="F51" s="343">
        <f t="shared" si="1"/>
        <v>-9.9808831403725134E-3</v>
      </c>
      <c r="G51" s="24"/>
      <c r="H51" s="24"/>
    </row>
    <row r="52" spans="1:8" ht="34.5">
      <c r="A52" s="155" t="s">
        <v>74</v>
      </c>
      <c r="B52" s="154">
        <f>+'[6]BOR 4'!B132</f>
        <v>20334318.719999999</v>
      </c>
      <c r="C52" s="154">
        <f>+'[6]BOR 4'!C132</f>
        <v>20749211.030000001</v>
      </c>
      <c r="D52" s="154">
        <f>+'[6]BOR 4'!D132</f>
        <v>19442227.68</v>
      </c>
      <c r="E52" s="154">
        <f t="shared" si="2"/>
        <v>-892091.03999999911</v>
      </c>
      <c r="F52" s="343">
        <f t="shared" si="1"/>
        <v>-4.3871203765611044E-2</v>
      </c>
      <c r="G52" s="24"/>
      <c r="H52" s="24"/>
    </row>
    <row r="53" spans="1:8" ht="34.5">
      <c r="A53" s="168" t="s">
        <v>46</v>
      </c>
      <c r="B53" s="169">
        <f>+'[6]BOR 4'!B156</f>
        <v>8596</v>
      </c>
      <c r="C53" s="169">
        <f>+'[6]BOR 4'!C156</f>
        <v>9213</v>
      </c>
      <c r="D53" s="169">
        <f>+'[6]BOR 4'!D156</f>
        <v>0</v>
      </c>
      <c r="E53" s="169">
        <f t="shared" si="2"/>
        <v>-8596</v>
      </c>
      <c r="F53" s="343">
        <f t="shared" si="1"/>
        <v>-1</v>
      </c>
      <c r="G53" s="24"/>
      <c r="H53" s="24"/>
    </row>
    <row r="54" spans="1:8" ht="34.5">
      <c r="A54" s="263" t="s">
        <v>47</v>
      </c>
      <c r="B54" s="264">
        <f>+'[6]BOR 4'!B177</f>
        <v>10650430.645</v>
      </c>
      <c r="C54" s="264">
        <f>+'[6]BOR 4'!C177</f>
        <v>11165202.645</v>
      </c>
      <c r="D54" s="264">
        <f>+'[6]BOR 4'!D177</f>
        <v>10336326.420000002</v>
      </c>
      <c r="E54" s="157">
        <f t="shared" si="2"/>
        <v>-314104.22499999776</v>
      </c>
      <c r="F54" s="343">
        <f t="shared" si="1"/>
        <v>-2.9492161910603925E-2</v>
      </c>
      <c r="G54" s="24"/>
      <c r="H54" s="24"/>
    </row>
    <row r="55" spans="1:8" ht="35.25">
      <c r="A55" s="172" t="s">
        <v>48</v>
      </c>
      <c r="B55" s="295">
        <f>SUM(B47:B54)</f>
        <v>89506720.504999995</v>
      </c>
      <c r="C55" s="295">
        <f>SUM(C47:C54)</f>
        <v>92044432.734999999</v>
      </c>
      <c r="D55" s="295">
        <f>SUM(D47:D54)</f>
        <v>85529105.000000015</v>
      </c>
      <c r="E55" s="295">
        <f t="shared" si="2"/>
        <v>-3977615.5049999803</v>
      </c>
      <c r="F55" s="344">
        <f t="shared" si="1"/>
        <v>-4.4439294418990402E-2</v>
      </c>
      <c r="G55" s="24"/>
      <c r="H55" s="24"/>
    </row>
    <row r="56" spans="1:8" ht="34.5">
      <c r="A56" s="155" t="s">
        <v>49</v>
      </c>
      <c r="B56" s="154"/>
      <c r="C56" s="154"/>
      <c r="D56" s="154"/>
      <c r="E56" s="154"/>
      <c r="F56" s="343" t="str">
        <f t="shared" si="1"/>
        <v xml:space="preserve">  </v>
      </c>
      <c r="G56" s="24"/>
      <c r="H56" s="24"/>
    </row>
    <row r="57" spans="1:8" ht="34.5">
      <c r="A57" s="156" t="s">
        <v>50</v>
      </c>
      <c r="B57" s="157">
        <f>+'[6]BOR 4'!B243</f>
        <v>2183171.04</v>
      </c>
      <c r="C57" s="157">
        <f>+'[6]BOR 4'!C243</f>
        <v>2203582.59</v>
      </c>
      <c r="D57" s="157">
        <f>+'[6]BOR 4'!D243</f>
        <v>3280672</v>
      </c>
      <c r="E57" s="157">
        <f>D57-B57</f>
        <v>1097500.96</v>
      </c>
      <c r="F57" s="343">
        <f t="shared" si="1"/>
        <v>0.50270956324154981</v>
      </c>
      <c r="G57" s="24"/>
      <c r="H57" s="24"/>
    </row>
    <row r="58" spans="1:8" ht="34.5">
      <c r="A58" s="158" t="s">
        <v>51</v>
      </c>
      <c r="B58" s="159"/>
      <c r="C58" s="159"/>
      <c r="D58" s="159"/>
      <c r="E58" s="159"/>
      <c r="F58" s="343" t="str">
        <f t="shared" si="1"/>
        <v xml:space="preserve">  </v>
      </c>
      <c r="G58" s="24"/>
      <c r="H58" s="24"/>
    </row>
    <row r="59" spans="1:8" ht="34.5">
      <c r="A59" s="156" t="s">
        <v>52</v>
      </c>
      <c r="B59" s="157">
        <f>+'[6]BOR 4'!B288</f>
        <v>300000</v>
      </c>
      <c r="C59" s="157">
        <f>+'[6]BOR 4'!C288</f>
        <v>300000</v>
      </c>
      <c r="D59" s="157">
        <f>SUM('[6]BOR 4'!D288)</f>
        <v>280500</v>
      </c>
      <c r="E59" s="157">
        <f>D59-B59</f>
        <v>-19500</v>
      </c>
      <c r="F59" s="343">
        <f t="shared" si="1"/>
        <v>-6.5000000000000002E-2</v>
      </c>
      <c r="G59" s="24"/>
      <c r="H59" s="24"/>
    </row>
    <row r="60" spans="1:8" ht="35.25">
      <c r="A60" s="282" t="s">
        <v>53</v>
      </c>
      <c r="B60" s="268">
        <f>B59+B58+B57+B56+B55</f>
        <v>91989891.545000002</v>
      </c>
      <c r="C60" s="268">
        <f>C59+C58+C57+C56+C55</f>
        <v>94548015.325000003</v>
      </c>
      <c r="D60" s="268">
        <f>D59+D58+D57+D56+D55</f>
        <v>89090277.000000015</v>
      </c>
      <c r="E60" s="268">
        <f>D60-B60</f>
        <v>-2899614.5449999869</v>
      </c>
      <c r="F60" s="344">
        <f t="shared" si="1"/>
        <v>-3.1521012758032672E-2</v>
      </c>
      <c r="G60" s="24"/>
      <c r="H60" s="24"/>
    </row>
    <row r="61" spans="1:8" ht="34.5">
      <c r="A61" s="427"/>
      <c r="B61" s="428"/>
      <c r="C61" s="428"/>
      <c r="D61" s="428"/>
      <c r="E61" s="428"/>
      <c r="F61" s="426" t="str">
        <f>IF(ISBLANK(E61),"  ",IF(C61&gt;0,E61/C61,IF(E61&gt;0,1,0)))</f>
        <v xml:space="preserve">  </v>
      </c>
      <c r="G61" s="24"/>
      <c r="H61" s="24"/>
    </row>
    <row r="62" spans="1:8" ht="35.25">
      <c r="A62" s="172" t="s">
        <v>54</v>
      </c>
      <c r="B62" s="169"/>
      <c r="C62" s="169"/>
      <c r="D62" s="169"/>
      <c r="E62" s="425"/>
      <c r="F62" s="372" t="str">
        <f>IF(ISBLANK(E62),"  ",IF(C62&gt;0,E62/C62,IF(E62&gt;0,1,0)))</f>
        <v xml:space="preserve">  </v>
      </c>
      <c r="G62" s="24"/>
      <c r="H62" s="24"/>
    </row>
    <row r="63" spans="1:8" ht="34.5">
      <c r="A63" s="117" t="s">
        <v>55</v>
      </c>
      <c r="B63" s="118">
        <f>+'[6]BOR 4'!B292</f>
        <v>53020516.739999995</v>
      </c>
      <c r="C63" s="118">
        <f>+'[6]BOR 4'!C292</f>
        <v>54073216.759999998</v>
      </c>
      <c r="D63" s="118">
        <f>+'[6]BOR 4'!D292</f>
        <v>50862334.109999999</v>
      </c>
      <c r="E63" s="128">
        <f t="shared" ref="E63:E80" si="3">D63-B63</f>
        <v>-2158182.6299999952</v>
      </c>
      <c r="F63" s="343">
        <f t="shared" ref="F63:F80" si="4">IF(ISBLANK(E63),"  ",IF(B63&gt;0,E63/B63,IF(E63&gt;0,1,0)))</f>
        <v>-4.0704669865501496E-2</v>
      </c>
      <c r="G63" s="24"/>
      <c r="H63" s="24"/>
    </row>
    <row r="64" spans="1:8" ht="34.5">
      <c r="A64" s="117" t="s">
        <v>56</v>
      </c>
      <c r="B64" s="93">
        <f>+'[6]BOR 4'!B293</f>
        <v>886854.3899999999</v>
      </c>
      <c r="C64" s="93">
        <f>+'[6]BOR 4'!C293</f>
        <v>1043698.22</v>
      </c>
      <c r="D64" s="93">
        <f>+'[6]BOR 4'!D293</f>
        <v>815150</v>
      </c>
      <c r="E64" s="97">
        <f t="shared" si="3"/>
        <v>-71704.389999999898</v>
      </c>
      <c r="F64" s="343">
        <f t="shared" si="4"/>
        <v>-8.0852494849802684E-2</v>
      </c>
      <c r="G64" s="24"/>
      <c r="H64" s="24"/>
    </row>
    <row r="65" spans="1:8" ht="34.5">
      <c r="A65" s="117" t="s">
        <v>57</v>
      </c>
      <c r="B65" s="118">
        <f>+'[6]BOR 4'!B294</f>
        <v>19111922.750000004</v>
      </c>
      <c r="C65" s="118">
        <f>+'[6]BOR 4'!C294</f>
        <v>19295073.900000002</v>
      </c>
      <c r="D65" s="118">
        <f>+'[6]BOR 4'!D294</f>
        <v>19142669.390000004</v>
      </c>
      <c r="E65" s="157">
        <f t="shared" si="3"/>
        <v>30746.640000000596</v>
      </c>
      <c r="F65" s="343">
        <f t="shared" si="4"/>
        <v>1.6087674904399973E-3</v>
      </c>
      <c r="G65" s="24"/>
      <c r="H65" s="24"/>
    </row>
    <row r="66" spans="1:8" ht="35.25">
      <c r="A66" s="121" t="s">
        <v>58</v>
      </c>
      <c r="B66" s="122">
        <f>SUM(B63:B65)</f>
        <v>73019293.879999995</v>
      </c>
      <c r="C66" s="122">
        <f>SUM(C63:C65)</f>
        <v>74411988.879999995</v>
      </c>
      <c r="D66" s="122">
        <f>SUM(D63:D65)</f>
        <v>70820153.5</v>
      </c>
      <c r="E66" s="134">
        <f t="shared" si="3"/>
        <v>-2199140.3799999952</v>
      </c>
      <c r="F66" s="344">
        <f t="shared" si="4"/>
        <v>-3.0117250703821725E-2</v>
      </c>
      <c r="G66" s="24"/>
      <c r="H66" s="24"/>
    </row>
    <row r="67" spans="1:8" ht="34.5">
      <c r="A67" s="176" t="s">
        <v>59</v>
      </c>
      <c r="B67" s="177">
        <f>+'[6]BOR 4'!B296</f>
        <v>371910.92</v>
      </c>
      <c r="C67" s="177">
        <f>+'[6]BOR 4'!C296</f>
        <v>559718.40000000002</v>
      </c>
      <c r="D67" s="177">
        <f>+'[6]BOR 4'!D296</f>
        <v>269604.17000000004</v>
      </c>
      <c r="E67" s="167">
        <f t="shared" si="3"/>
        <v>-102306.74999999994</v>
      </c>
      <c r="F67" s="343">
        <f t="shared" si="4"/>
        <v>-0.27508401743084054</v>
      </c>
      <c r="G67" s="24"/>
      <c r="H67" s="24"/>
    </row>
    <row r="68" spans="1:8" ht="34.5">
      <c r="A68" s="117" t="s">
        <v>60</v>
      </c>
      <c r="B68" s="118">
        <f>+'[6]BOR 4'!B297</f>
        <v>8911774.8249999993</v>
      </c>
      <c r="C68" s="118">
        <f>+'[6]BOR 4'!C297</f>
        <v>9347609.2349999994</v>
      </c>
      <c r="D68" s="118">
        <f>+'[6]BOR 4'!D297</f>
        <v>8426761.9800000004</v>
      </c>
      <c r="E68" s="128">
        <f t="shared" si="3"/>
        <v>-485012.84499999881</v>
      </c>
      <c r="F68" s="343">
        <f t="shared" si="4"/>
        <v>-5.442382180027746E-2</v>
      </c>
      <c r="G68" s="24"/>
      <c r="H68" s="24"/>
    </row>
    <row r="69" spans="1:8" ht="34.5">
      <c r="A69" s="150" t="s">
        <v>61</v>
      </c>
      <c r="B69" s="254">
        <f>+'[6]BOR 4'!B298</f>
        <v>3526365.17</v>
      </c>
      <c r="C69" s="254">
        <f>+'[6]BOR 4'!C298</f>
        <v>3800670.44</v>
      </c>
      <c r="D69" s="254">
        <f>+'[6]BOR 4'!D298</f>
        <v>2710972.17</v>
      </c>
      <c r="E69" s="166">
        <f t="shared" si="3"/>
        <v>-815393</v>
      </c>
      <c r="F69" s="369">
        <f t="shared" si="4"/>
        <v>-0.23122761276592352</v>
      </c>
      <c r="G69" s="24"/>
      <c r="H69" s="24"/>
    </row>
    <row r="70" spans="1:8" ht="35.25">
      <c r="A70" s="119" t="s">
        <v>62</v>
      </c>
      <c r="B70" s="120">
        <f>SUM(B67:B69)</f>
        <v>12810050.914999999</v>
      </c>
      <c r="C70" s="120">
        <f>SUM(C67:C69)</f>
        <v>13707998.074999999</v>
      </c>
      <c r="D70" s="120">
        <f>SUM(D67:D69)</f>
        <v>11407338.32</v>
      </c>
      <c r="E70" s="161">
        <f t="shared" si="3"/>
        <v>-1402712.5949999988</v>
      </c>
      <c r="F70" s="345">
        <f t="shared" si="4"/>
        <v>-0.10950093831067328</v>
      </c>
      <c r="G70" s="24"/>
      <c r="H70" s="24"/>
    </row>
    <row r="71" spans="1:8" ht="34.5">
      <c r="A71" s="151" t="s">
        <v>63</v>
      </c>
      <c r="B71" s="254">
        <f>+'[6]BOR 4'!B300</f>
        <v>541161.37</v>
      </c>
      <c r="C71" s="254">
        <f>+'[6]BOR 4'!C300</f>
        <v>571754.64</v>
      </c>
      <c r="D71" s="254">
        <f>+'[6]BOR 4'!D300</f>
        <v>358994</v>
      </c>
      <c r="E71" s="166">
        <f t="shared" si="3"/>
        <v>-182167.37</v>
      </c>
      <c r="F71" s="343">
        <f t="shared" si="4"/>
        <v>-0.33662301135796147</v>
      </c>
      <c r="G71" s="24"/>
      <c r="H71" s="24"/>
    </row>
    <row r="72" spans="1:8" ht="34.5">
      <c r="A72" s="150" t="s">
        <v>64</v>
      </c>
      <c r="B72" s="254">
        <f>+'[6]BOR 4'!B301</f>
        <v>1650235.25</v>
      </c>
      <c r="C72" s="254">
        <f>+'[6]BOR 4'!C301</f>
        <v>1580025.05</v>
      </c>
      <c r="D72" s="254">
        <f>+'[6]BOR 4'!D301</f>
        <v>2298672.7199999997</v>
      </c>
      <c r="E72" s="166">
        <f t="shared" si="3"/>
        <v>648437.46999999974</v>
      </c>
      <c r="F72" s="343">
        <f t="shared" si="4"/>
        <v>0.39293638285814081</v>
      </c>
      <c r="G72" s="24"/>
      <c r="H72" s="24"/>
    </row>
    <row r="73" spans="1:8" ht="34.5">
      <c r="A73" s="30" t="s">
        <v>65</v>
      </c>
      <c r="B73" s="92">
        <f>+'[6]BOR 4'!B302</f>
        <v>0</v>
      </c>
      <c r="C73" s="92">
        <f>+'[6]BOR 4'!C302</f>
        <v>0</v>
      </c>
      <c r="D73" s="92">
        <f>+'[6]BOR 4'!D302</f>
        <v>0</v>
      </c>
      <c r="E73" s="166">
        <f t="shared" si="3"/>
        <v>0</v>
      </c>
      <c r="F73" s="343">
        <f t="shared" si="4"/>
        <v>0</v>
      </c>
      <c r="G73" s="24"/>
      <c r="H73" s="24"/>
    </row>
    <row r="74" spans="1:8" ht="34.5">
      <c r="A74" s="117" t="s">
        <v>66</v>
      </c>
      <c r="B74" s="118">
        <f>+'[6]BOR 4'!B303</f>
        <v>2183171.04</v>
      </c>
      <c r="C74" s="118">
        <f>+'[6]BOR 4'!C303</f>
        <v>2203582.59</v>
      </c>
      <c r="D74" s="118">
        <f>+'[6]BOR 4'!D303</f>
        <v>3280672</v>
      </c>
      <c r="E74" s="128">
        <f t="shared" si="3"/>
        <v>1097500.96</v>
      </c>
      <c r="F74" s="343">
        <f t="shared" si="4"/>
        <v>0.50270956324154981</v>
      </c>
      <c r="G74" s="24"/>
      <c r="H74" s="24"/>
    </row>
    <row r="75" spans="1:8" ht="35.25">
      <c r="A75" s="114" t="s">
        <v>67</v>
      </c>
      <c r="B75" s="116">
        <f>SUM(B71:B74)</f>
        <v>4374567.66</v>
      </c>
      <c r="C75" s="116">
        <f>SUM(C71:C74)</f>
        <v>4355362.2799999993</v>
      </c>
      <c r="D75" s="116">
        <f>SUM(D71:D74)</f>
        <v>5938338.7199999997</v>
      </c>
      <c r="E75" s="127">
        <f t="shared" si="3"/>
        <v>1563771.0599999996</v>
      </c>
      <c r="F75" s="344">
        <f t="shared" si="4"/>
        <v>0.3574687104050871</v>
      </c>
      <c r="G75" s="24"/>
      <c r="H75" s="24"/>
    </row>
    <row r="76" spans="1:8" ht="34.5">
      <c r="A76" s="126" t="s">
        <v>68</v>
      </c>
      <c r="B76" s="118">
        <f>+'[6]BOR 4'!B305</f>
        <v>1785349.59</v>
      </c>
      <c r="C76" s="118">
        <f>+'[6]BOR 4'!C305</f>
        <v>2072036.5899999999</v>
      </c>
      <c r="D76" s="118">
        <f>+'[6]BOR 4'!D305</f>
        <v>904069</v>
      </c>
      <c r="E76" s="128">
        <f t="shared" si="3"/>
        <v>-881280.59000000008</v>
      </c>
      <c r="F76" s="343">
        <f t="shared" si="4"/>
        <v>-0.49361794179480561</v>
      </c>
      <c r="G76" s="24"/>
      <c r="H76" s="24"/>
    </row>
    <row r="77" spans="1:8" ht="34.5">
      <c r="A77" s="151" t="s">
        <v>69</v>
      </c>
      <c r="B77" s="166">
        <f>+'[6]BOR 4'!B306</f>
        <v>0</v>
      </c>
      <c r="C77" s="166">
        <f>+'[6]BOR 4'!C306</f>
        <v>0</v>
      </c>
      <c r="D77" s="166">
        <f>+'[6]BOR 4'!D306</f>
        <v>0</v>
      </c>
      <c r="E77" s="128">
        <f t="shared" si="3"/>
        <v>0</v>
      </c>
      <c r="F77" s="343">
        <f t="shared" si="4"/>
        <v>0</v>
      </c>
      <c r="G77" s="24"/>
      <c r="H77" s="24"/>
    </row>
    <row r="78" spans="1:8" ht="34.5">
      <c r="A78" s="151" t="s">
        <v>70</v>
      </c>
      <c r="B78" s="166">
        <f>+'[6]BOR 4'!B307</f>
        <v>629.5</v>
      </c>
      <c r="C78" s="166">
        <f>+'[6]BOR 4'!C307</f>
        <v>629.5</v>
      </c>
      <c r="D78" s="166">
        <f>+'[6]BOR 4'!D307</f>
        <v>20377.46</v>
      </c>
      <c r="E78" s="166">
        <f t="shared" si="3"/>
        <v>19747.96</v>
      </c>
      <c r="F78" s="343">
        <f t="shared" si="4"/>
        <v>31.370865766481334</v>
      </c>
      <c r="G78" s="24"/>
      <c r="H78" s="24"/>
    </row>
    <row r="79" spans="1:8" ht="35.25">
      <c r="A79" s="119" t="s">
        <v>71</v>
      </c>
      <c r="B79" s="120">
        <f>SUM(B76:B78)</f>
        <v>1785979.09</v>
      </c>
      <c r="C79" s="120">
        <f>SUM(C76:C78)</f>
        <v>2072666.0899999999</v>
      </c>
      <c r="D79" s="120">
        <f>SUM(D76:D78)</f>
        <v>924446.46</v>
      </c>
      <c r="E79" s="120">
        <f t="shared" si="3"/>
        <v>-861532.63000000012</v>
      </c>
      <c r="F79" s="344">
        <f t="shared" si="4"/>
        <v>-0.48238673947744826</v>
      </c>
      <c r="G79" s="24"/>
      <c r="H79" s="24"/>
    </row>
    <row r="80" spans="1:8" ht="36" thickBot="1">
      <c r="A80" s="164" t="s">
        <v>53</v>
      </c>
      <c r="B80" s="165">
        <f>B79+B75+B70+B66</f>
        <v>91989891.544999987</v>
      </c>
      <c r="C80" s="165">
        <f>C79+C75+C70+C66</f>
        <v>94548015.324999988</v>
      </c>
      <c r="D80" s="165">
        <f>D79+D75+D70+D66</f>
        <v>89090277</v>
      </c>
      <c r="E80" s="424">
        <f t="shared" si="3"/>
        <v>-2899614.5449999869</v>
      </c>
      <c r="F80" s="344">
        <f t="shared" si="4"/>
        <v>-3.1521012758032679E-2</v>
      </c>
      <c r="G80" s="24"/>
      <c r="H80" s="24"/>
    </row>
    <row r="81" spans="1:49" ht="34.5">
      <c r="A81" s="418"/>
      <c r="B81" s="419"/>
      <c r="C81" s="419"/>
      <c r="D81" s="419"/>
      <c r="E81" s="420"/>
      <c r="F81" s="421" t="s">
        <v>35</v>
      </c>
      <c r="G81" s="24"/>
      <c r="H81" s="24"/>
    </row>
    <row r="82" spans="1:49" ht="44.25">
      <c r="A82" s="423" t="s">
        <v>99</v>
      </c>
      <c r="B82" s="422"/>
      <c r="C82" s="422"/>
      <c r="D82" s="422"/>
      <c r="E82" s="422"/>
      <c r="F82" s="392"/>
      <c r="G82" s="24"/>
      <c r="H82" s="24"/>
    </row>
    <row r="83" spans="1:49" ht="44.25">
      <c r="A83" s="262" t="s">
        <v>72</v>
      </c>
      <c r="B83" s="260"/>
      <c r="C83" s="260"/>
      <c r="D83" s="260"/>
      <c r="E83" s="260"/>
      <c r="F83" s="387"/>
      <c r="G83" s="24"/>
      <c r="H83" s="24"/>
    </row>
    <row r="84" spans="1:49" s="413" customFormat="1" ht="44.25">
      <c r="A84" s="262" t="s">
        <v>35</v>
      </c>
      <c r="B84" s="286"/>
      <c r="C84" s="286"/>
      <c r="D84" s="278"/>
      <c r="E84" s="278"/>
      <c r="F84" s="392"/>
      <c r="G84" s="412"/>
      <c r="H84" s="412"/>
    </row>
    <row r="85" spans="1:49" s="411" customFormat="1" ht="44.25">
      <c r="A85" s="262"/>
      <c r="B85" s="286"/>
      <c r="C85" s="286"/>
      <c r="D85" s="286"/>
      <c r="E85" s="286"/>
      <c r="F85" s="414"/>
      <c r="G85" s="113"/>
      <c r="H85" s="113"/>
    </row>
    <row r="86" spans="1:49" s="411" customFormat="1" ht="44.25">
      <c r="F86" s="317"/>
    </row>
    <row r="87" spans="1:49" s="163" customFormat="1" ht="44.25">
      <c r="B87" s="179"/>
      <c r="C87" s="179"/>
      <c r="D87" s="179"/>
      <c r="E87" s="179"/>
      <c r="F87" s="376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</row>
    <row r="88" spans="1:49" s="163" customFormat="1" ht="44.25">
      <c r="A88" s="179"/>
      <c r="B88" s="179"/>
      <c r="C88" s="179"/>
      <c r="D88" s="179"/>
      <c r="E88" s="179"/>
      <c r="F88" s="376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</row>
    <row r="89" spans="1:49" s="163" customFormat="1" ht="44.25">
      <c r="F89" s="375"/>
    </row>
    <row r="90" spans="1:49" s="163" customFormat="1" ht="44.25">
      <c r="F90" s="375"/>
    </row>
    <row r="91" spans="1:49" s="163" customFormat="1" ht="44.25">
      <c r="F91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3"/>
  <sheetViews>
    <sheetView topLeftCell="A61" zoomScale="30" zoomScaleNormal="30" workbookViewId="0">
      <selection activeCell="F85" sqref="F85"/>
    </sheetView>
  </sheetViews>
  <sheetFormatPr defaultRowHeight="15"/>
  <cols>
    <col min="1" max="1" width="135" style="14" customWidth="1"/>
    <col min="2" max="5" width="30.33203125" style="14" customWidth="1"/>
    <col min="6" max="6" width="45.5546875" style="321" customWidth="1"/>
    <col min="7" max="16384" width="8.88671875" style="14"/>
  </cols>
  <sheetData>
    <row r="1" spans="1:6" ht="45">
      <c r="A1" s="38" t="s">
        <v>0</v>
      </c>
      <c r="B1" s="39"/>
      <c r="C1" s="39"/>
      <c r="D1" s="39"/>
      <c r="E1" s="40" t="s">
        <v>1</v>
      </c>
      <c r="F1" s="303" t="s">
        <v>0</v>
      </c>
    </row>
    <row r="2" spans="1:6" ht="45">
      <c r="A2" s="38" t="s">
        <v>2</v>
      </c>
      <c r="B2" s="39"/>
      <c r="C2" s="39"/>
      <c r="D2" s="39"/>
      <c r="E2" s="39"/>
      <c r="F2" s="304"/>
    </row>
    <row r="3" spans="1:6" ht="45.75" thickBot="1">
      <c r="A3" s="47" t="s">
        <v>3</v>
      </c>
      <c r="B3" s="41"/>
      <c r="C3" s="41"/>
      <c r="D3" s="41"/>
      <c r="E3" s="41"/>
      <c r="F3" s="305"/>
    </row>
    <row r="4" spans="1:6" ht="36" customHeight="1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6" ht="35.25" customHeight="1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6" ht="35.25" customHeight="1">
      <c r="A6" s="55" t="s">
        <v>12</v>
      </c>
      <c r="B6" s="59"/>
      <c r="C6" s="59"/>
      <c r="D6" s="59"/>
      <c r="E6" s="59"/>
      <c r="F6" s="308"/>
    </row>
    <row r="7" spans="1:6" ht="35.25" customHeight="1">
      <c r="A7" s="55" t="s">
        <v>13</v>
      </c>
      <c r="B7" s="59"/>
      <c r="C7" s="59"/>
      <c r="D7" s="59"/>
      <c r="E7" s="59"/>
      <c r="F7" s="309"/>
    </row>
    <row r="8" spans="1:6" ht="34.5" customHeight="1">
      <c r="A8" s="56" t="s">
        <v>14</v>
      </c>
      <c r="B8" s="79">
        <v>48518329.770000003</v>
      </c>
      <c r="C8" s="79">
        <f>50237106+470032</f>
        <v>50707138</v>
      </c>
      <c r="D8" s="79">
        <f>41567731-D9</f>
        <v>38460058</v>
      </c>
      <c r="E8" s="79">
        <f>D8-B8</f>
        <v>-10058271.770000003</v>
      </c>
      <c r="F8" s="310">
        <f>IF(ISBLANK(E8),"  ",IF(B8&gt;0,E8/B8,IF(E8&gt;0,1,0)))</f>
        <v>-0.20730869792264084</v>
      </c>
    </row>
    <row r="9" spans="1:6" ht="34.5" customHeight="1">
      <c r="A9" s="56" t="s">
        <v>87</v>
      </c>
      <c r="B9" s="79">
        <v>0</v>
      </c>
      <c r="C9" s="79">
        <v>0</v>
      </c>
      <c r="D9" s="79">
        <f>3107673</f>
        <v>3107673</v>
      </c>
      <c r="E9" s="79">
        <f>D9-B9</f>
        <v>3107673</v>
      </c>
      <c r="F9" s="310">
        <f t="shared" ref="F9:F25" si="0">IF(ISBLANK(E9),"  ",IF(B9&gt;0,E9/B9,IF(E9&gt;0,1,0)))</f>
        <v>1</v>
      </c>
    </row>
    <row r="10" spans="1:6" ht="34.5" customHeight="1">
      <c r="A10" s="57" t="s">
        <v>15</v>
      </c>
      <c r="B10" s="80">
        <f>SUM(B11:B25)</f>
        <v>37337914</v>
      </c>
      <c r="C10" s="80">
        <f>SUM(C11:C25)</f>
        <v>38210990</v>
      </c>
      <c r="D10" s="80">
        <f>SUM(D11:D25)</f>
        <v>36612600</v>
      </c>
      <c r="E10" s="79">
        <f>B10-C10</f>
        <v>-873076</v>
      </c>
      <c r="F10" s="310">
        <f t="shared" si="0"/>
        <v>-2.3383095263436515E-2</v>
      </c>
    </row>
    <row r="11" spans="1:6" ht="34.5" customHeight="1">
      <c r="A11" s="60" t="s">
        <v>16</v>
      </c>
      <c r="B11" s="81">
        <v>118000</v>
      </c>
      <c r="C11" s="81">
        <v>296875</v>
      </c>
      <c r="D11" s="81">
        <f>6712600-6500000</f>
        <v>212600</v>
      </c>
      <c r="E11" s="79">
        <f>D11-B11</f>
        <v>94600</v>
      </c>
      <c r="F11" s="310">
        <f t="shared" si="0"/>
        <v>0.80169491525423731</v>
      </c>
    </row>
    <row r="12" spans="1:6" ht="34.5" customHeight="1">
      <c r="A12" s="57" t="s">
        <v>17</v>
      </c>
      <c r="B12" s="81"/>
      <c r="C12" s="81"/>
      <c r="D12" s="81"/>
      <c r="E12" s="79"/>
      <c r="F12" s="310" t="str">
        <f t="shared" si="0"/>
        <v xml:space="preserve">  </v>
      </c>
    </row>
    <row r="13" spans="1:6" ht="34.5" customHeight="1">
      <c r="A13" s="57" t="s">
        <v>18</v>
      </c>
      <c r="B13" s="81"/>
      <c r="C13" s="81"/>
      <c r="D13" s="81"/>
      <c r="E13" s="79"/>
      <c r="F13" s="310" t="str">
        <f t="shared" si="0"/>
        <v xml:space="preserve">  </v>
      </c>
    </row>
    <row r="14" spans="1:6" ht="34.5" customHeight="1">
      <c r="A14" s="57" t="s">
        <v>19</v>
      </c>
      <c r="B14" s="81"/>
      <c r="C14" s="81"/>
      <c r="D14" s="81"/>
      <c r="E14" s="79"/>
      <c r="F14" s="310" t="str">
        <f t="shared" si="0"/>
        <v xml:space="preserve">  </v>
      </c>
    </row>
    <row r="15" spans="1:6" ht="34.5" customHeight="1">
      <c r="A15" s="57" t="s">
        <v>20</v>
      </c>
      <c r="B15" s="81"/>
      <c r="C15" s="81"/>
      <c r="D15" s="81"/>
      <c r="E15" s="79"/>
      <c r="F15" s="310" t="str">
        <f t="shared" si="0"/>
        <v xml:space="preserve">  </v>
      </c>
    </row>
    <row r="16" spans="1:6" ht="34.5" customHeight="1">
      <c r="A16" s="57" t="s">
        <v>21</v>
      </c>
      <c r="B16" s="81"/>
      <c r="C16" s="81"/>
      <c r="D16" s="81"/>
      <c r="E16" s="79"/>
      <c r="F16" s="310" t="str">
        <f t="shared" si="0"/>
        <v xml:space="preserve">  </v>
      </c>
    </row>
    <row r="17" spans="1:6" ht="34.5" customHeight="1">
      <c r="A17" s="57" t="s">
        <v>22</v>
      </c>
      <c r="B17" s="81"/>
      <c r="C17" s="81"/>
      <c r="D17" s="81"/>
      <c r="E17" s="79"/>
      <c r="F17" s="310" t="str">
        <f t="shared" si="0"/>
        <v xml:space="preserve">  </v>
      </c>
    </row>
    <row r="18" spans="1:6" ht="34.5" customHeight="1">
      <c r="A18" s="57" t="s">
        <v>23</v>
      </c>
      <c r="B18" s="81"/>
      <c r="C18" s="81"/>
      <c r="D18" s="81"/>
      <c r="E18" s="79"/>
      <c r="F18" s="310" t="str">
        <f t="shared" si="0"/>
        <v xml:space="preserve">  </v>
      </c>
    </row>
    <row r="19" spans="1:6" ht="34.5" customHeight="1">
      <c r="A19" s="57" t="s">
        <v>24</v>
      </c>
      <c r="B19" s="81"/>
      <c r="C19" s="81"/>
      <c r="D19" s="81"/>
      <c r="E19" s="79"/>
      <c r="F19" s="310" t="str">
        <f t="shared" si="0"/>
        <v xml:space="preserve">  </v>
      </c>
    </row>
    <row r="20" spans="1:6" ht="34.5" customHeight="1">
      <c r="A20" s="57" t="s">
        <v>25</v>
      </c>
      <c r="B20" s="81"/>
      <c r="C20" s="81"/>
      <c r="D20" s="81"/>
      <c r="E20" s="79"/>
      <c r="F20" s="310" t="str">
        <f t="shared" si="0"/>
        <v xml:space="preserve">  </v>
      </c>
    </row>
    <row r="21" spans="1:6" ht="34.5" customHeight="1">
      <c r="A21" s="57" t="s">
        <v>26</v>
      </c>
      <c r="B21" s="81">
        <v>89115</v>
      </c>
      <c r="C21" s="81">
        <v>89115</v>
      </c>
      <c r="D21" s="81">
        <v>0</v>
      </c>
      <c r="E21" s="79">
        <f>D21-B21</f>
        <v>-89115</v>
      </c>
      <c r="F21" s="310">
        <f t="shared" si="0"/>
        <v>-1</v>
      </c>
    </row>
    <row r="22" spans="1:6" ht="34.5" customHeight="1">
      <c r="A22" s="57" t="s">
        <v>27</v>
      </c>
      <c r="B22" s="81">
        <v>35659557.82</v>
      </c>
      <c r="C22" s="81">
        <v>36000000</v>
      </c>
      <c r="D22" s="81">
        <v>36000000</v>
      </c>
      <c r="E22" s="79">
        <f>D22-B22</f>
        <v>340442.1799999997</v>
      </c>
      <c r="F22" s="310">
        <f t="shared" si="0"/>
        <v>9.5470106981825637E-3</v>
      </c>
    </row>
    <row r="23" spans="1:6" ht="34.5" customHeight="1">
      <c r="A23" s="61" t="s">
        <v>28</v>
      </c>
      <c r="B23" s="81">
        <v>65369.63</v>
      </c>
      <c r="C23" s="81">
        <v>400000</v>
      </c>
      <c r="D23" s="81">
        <v>400000</v>
      </c>
      <c r="E23" s="79">
        <f>D23-B23</f>
        <v>334630.37</v>
      </c>
      <c r="F23" s="310">
        <f t="shared" si="0"/>
        <v>5.1190494729739182</v>
      </c>
    </row>
    <row r="24" spans="1:6" ht="34.5" customHeight="1">
      <c r="A24" s="61" t="s">
        <v>90</v>
      </c>
      <c r="B24" s="81"/>
      <c r="C24" s="81"/>
      <c r="D24" s="81"/>
      <c r="E24" s="79"/>
      <c r="F24" s="310" t="str">
        <f t="shared" si="0"/>
        <v xml:space="preserve">  </v>
      </c>
    </row>
    <row r="25" spans="1:6" ht="34.5" customHeight="1">
      <c r="A25" s="61" t="s">
        <v>80</v>
      </c>
      <c r="B25" s="81">
        <v>1405871.55</v>
      </c>
      <c r="C25" s="81">
        <v>1425000</v>
      </c>
      <c r="D25" s="81">
        <v>0</v>
      </c>
      <c r="E25" s="79">
        <f>D25-B25</f>
        <v>-1405871.55</v>
      </c>
      <c r="F25" s="310">
        <f t="shared" si="0"/>
        <v>-1</v>
      </c>
    </row>
    <row r="26" spans="1:6" ht="35.25" customHeight="1">
      <c r="A26" s="62" t="s">
        <v>29</v>
      </c>
      <c r="B26" s="81"/>
      <c r="C26" s="81"/>
      <c r="D26" s="81"/>
      <c r="E26" s="81"/>
      <c r="F26" s="311" t="str">
        <f>IF(ISBLANK(E26),"  ",IF(C26&gt;0,E26/C26,IF(E26&gt;0,1,0)))</f>
        <v xml:space="preserve">  </v>
      </c>
    </row>
    <row r="27" spans="1:6" ht="34.5" customHeight="1">
      <c r="A27" s="60" t="s">
        <v>30</v>
      </c>
      <c r="B27" s="79"/>
      <c r="C27" s="79"/>
      <c r="D27" s="79"/>
      <c r="E27" s="79"/>
      <c r="F27" s="310" t="str">
        <f>IF(ISBLANK(E27),"  ",IF(B27&gt;0,E27/B27,IF(E27&gt;0,1,0)))</f>
        <v xml:space="preserve">  </v>
      </c>
    </row>
    <row r="28" spans="1:6" ht="35.25" customHeight="1">
      <c r="A28" s="63" t="s">
        <v>31</v>
      </c>
      <c r="B28" s="81"/>
      <c r="C28" s="81"/>
      <c r="D28" s="81"/>
      <c r="E28" s="81"/>
      <c r="F28" s="311" t="str">
        <f>IF(ISBLANK(E28),"  ",IF(C28&gt;0,E28/C28,IF(E28&gt;0,1,0)))</f>
        <v xml:space="preserve">  </v>
      </c>
    </row>
    <row r="29" spans="1:6" ht="34.5" customHeight="1">
      <c r="A29" s="60" t="s">
        <v>30</v>
      </c>
      <c r="B29" s="82"/>
      <c r="C29" s="82"/>
      <c r="D29" s="82"/>
      <c r="E29" s="79"/>
      <c r="F29" s="310" t="str">
        <f>IF(ISBLANK(E29),"  ",IF(B29&gt;0,E29/B29,IF(E29&gt;0,1,0)))</f>
        <v xml:space="preserve">  </v>
      </c>
    </row>
    <row r="30" spans="1:6" ht="34.5" customHeight="1">
      <c r="A30" s="57" t="s">
        <v>32</v>
      </c>
      <c r="B30" s="81"/>
      <c r="C30" s="81"/>
      <c r="D30" s="81"/>
      <c r="E30" s="79"/>
      <c r="F30" s="310" t="str">
        <f>IF(ISBLANK(E30),"  ",IF(B30&gt;0,E30/B30,IF(E30&gt;0,1,0)))</f>
        <v xml:space="preserve">  </v>
      </c>
    </row>
    <row r="31" spans="1:6" ht="35.25" customHeight="1">
      <c r="A31" s="63" t="s">
        <v>33</v>
      </c>
      <c r="B31" s="83">
        <f>B30+B29+B27+B10+B9+B8</f>
        <v>85856243.770000011</v>
      </c>
      <c r="C31" s="83">
        <f>C30+C29+C27+C10+C9+C8</f>
        <v>88918128</v>
      </c>
      <c r="D31" s="83">
        <f>D30+D29+D27+D10+D9+D8</f>
        <v>78180331</v>
      </c>
      <c r="E31" s="85">
        <f>D31-B31</f>
        <v>-7675912.7700000107</v>
      </c>
      <c r="F31" s="312">
        <f>IF(ISBLANK(E31),"  ",IF(B31&gt;0,E31/B31,IF(E31&gt;0,1,0)))</f>
        <v>-8.9404246365156467E-2</v>
      </c>
    </row>
    <row r="32" spans="1:6" ht="35.25" customHeight="1">
      <c r="A32" s="63"/>
      <c r="B32" s="81"/>
      <c r="C32" s="81"/>
      <c r="D32" s="81"/>
      <c r="E32" s="81"/>
      <c r="F32" s="311" t="str">
        <f>IF(ISBLANK(E32),"  ",IF(C32&gt;0,E32/C32,IF(E32&gt;0,1,0)))</f>
        <v xml:space="preserve">  </v>
      </c>
    </row>
    <row r="33" spans="1:6" ht="35.25" customHeight="1">
      <c r="A33" s="62" t="s">
        <v>151</v>
      </c>
      <c r="B33" s="84">
        <v>-6715</v>
      </c>
      <c r="C33" s="84">
        <v>0</v>
      </c>
      <c r="D33" s="84">
        <v>0</v>
      </c>
      <c r="E33" s="85">
        <f>D33-B33</f>
        <v>6715</v>
      </c>
      <c r="F33" s="312">
        <f>IF(ISBLANK(E33),"  ",IF(B33&gt;0,E33/B33,IF(E33&gt;0,1,0)))</f>
        <v>1</v>
      </c>
    </row>
    <row r="34" spans="1:6" ht="35.25" customHeight="1">
      <c r="A34" s="57" t="s">
        <v>35</v>
      </c>
      <c r="B34" s="83"/>
      <c r="C34" s="83"/>
      <c r="D34" s="83"/>
      <c r="E34" s="83"/>
      <c r="F34" s="313" t="str">
        <f>IF(ISBLANK(E34),"  ",IF(C34&gt;0,E34/C34,IF(E34&gt;0,1,0)))</f>
        <v xml:space="preserve">  </v>
      </c>
    </row>
    <row r="35" spans="1:6" ht="35.25" customHeight="1">
      <c r="A35" s="64" t="s">
        <v>36</v>
      </c>
      <c r="B35" s="85">
        <v>8550806.1999999993</v>
      </c>
      <c r="C35" s="85">
        <f>23426493</f>
        <v>23426493</v>
      </c>
      <c r="D35" s="85">
        <v>16390108</v>
      </c>
      <c r="E35" s="85">
        <f>D35-B35</f>
        <v>7839301.8000000007</v>
      </c>
      <c r="F35" s="312">
        <f>IF(ISBLANK(E35),"  ",IF(B35&gt;0,E35/B35,IF(E35&gt;0,1,0)))</f>
        <v>0.91679095709127423</v>
      </c>
    </row>
    <row r="36" spans="1:6" ht="35.25" customHeight="1">
      <c r="A36" s="57" t="s">
        <v>35</v>
      </c>
      <c r="B36" s="83"/>
      <c r="C36" s="83"/>
      <c r="D36" s="83"/>
      <c r="E36" s="83"/>
      <c r="F36" s="313" t="str">
        <f>IF(ISBLANK(E36),"  ",IF(C36&gt;0,E36/C36,IF(E36&gt;0,1,0)))</f>
        <v xml:space="preserve">  </v>
      </c>
    </row>
    <row r="37" spans="1:6" ht="35.25" customHeight="1">
      <c r="A37" s="64" t="s">
        <v>88</v>
      </c>
      <c r="B37" s="85"/>
      <c r="C37" s="85"/>
      <c r="D37" s="85"/>
      <c r="E37" s="85"/>
      <c r="F37" s="312" t="str">
        <f>IF(ISBLANK(E37),"  ",IF(B37&gt;0,E37/B37,IF(E37&gt;0,1,0)))</f>
        <v xml:space="preserve">  </v>
      </c>
    </row>
    <row r="38" spans="1:6" ht="35.25" customHeight="1">
      <c r="A38" s="57" t="s">
        <v>35</v>
      </c>
      <c r="B38" s="83"/>
      <c r="C38" s="83"/>
      <c r="D38" s="83"/>
      <c r="E38" s="83"/>
      <c r="F38" s="313" t="str">
        <f>IF(ISBLANK(E38),"  ",IF(C38&gt;0,E38/C38,IF(E38&gt;0,1,0)))</f>
        <v xml:space="preserve">  </v>
      </c>
    </row>
    <row r="39" spans="1:6" ht="35.25" customHeight="1">
      <c r="A39" s="62" t="s">
        <v>37</v>
      </c>
      <c r="B39" s="84">
        <f>1563772.4+6715.24</f>
        <v>1570487.64</v>
      </c>
      <c r="C39" s="84">
        <f>26550+520728+2019102</f>
        <v>2566380</v>
      </c>
      <c r="D39" s="84">
        <v>2000000</v>
      </c>
      <c r="E39" s="85">
        <f>D39-B39</f>
        <v>429512.3600000001</v>
      </c>
      <c r="F39" s="312">
        <f>IF(ISBLANK(E39),"  ",IF(B39&gt;0,E39/B39,IF(E39&gt;0,1,0)))</f>
        <v>0.27348980600700568</v>
      </c>
    </row>
    <row r="40" spans="1:6" ht="35.25" customHeight="1">
      <c r="A40" s="57" t="s">
        <v>35</v>
      </c>
      <c r="B40" s="83"/>
      <c r="C40" s="83"/>
      <c r="D40" s="83"/>
      <c r="E40" s="83"/>
      <c r="F40" s="313" t="str">
        <f>IF(ISBLANK(E40),"  ",IF(C40&gt;0,E40/C40,IF(E40&gt;0,1,0)))</f>
        <v xml:space="preserve">  </v>
      </c>
    </row>
    <row r="41" spans="1:6" ht="35.25" customHeight="1">
      <c r="A41" s="62" t="s">
        <v>38</v>
      </c>
      <c r="B41" s="84">
        <v>12326926.18</v>
      </c>
      <c r="C41" s="84">
        <f>15063873</f>
        <v>15063873</v>
      </c>
      <c r="D41" s="84">
        <v>15063873</v>
      </c>
      <c r="E41" s="85">
        <f>D41-B41</f>
        <v>2736946.8200000003</v>
      </c>
      <c r="F41" s="312">
        <f>IF(ISBLANK(E41),"  ",IF(B41&gt;0,E41/B41,IF(E41&gt;0,1,0)))</f>
        <v>0.2220299513467193</v>
      </c>
    </row>
    <row r="42" spans="1:6" ht="34.5" customHeight="1">
      <c r="A42" s="57"/>
      <c r="B42" s="81"/>
      <c r="C42" s="81"/>
      <c r="D42" s="81"/>
      <c r="E42" s="81"/>
      <c r="F42" s="311" t="str">
        <f>IF(ISBLANK(E42),"  ",IF(C42&gt;0,E42/C42,IF(E42&gt;0,1,0)))</f>
        <v xml:space="preserve">  </v>
      </c>
    </row>
    <row r="43" spans="1:6" ht="35.25" customHeight="1">
      <c r="A43" s="55" t="s">
        <v>39</v>
      </c>
      <c r="B43" s="86">
        <f>B41+B39+B37+B35+B31+B33</f>
        <v>108297748.79000001</v>
      </c>
      <c r="C43" s="86">
        <f>C41+C39+C37+C35+C31</f>
        <v>129974874</v>
      </c>
      <c r="D43" s="86">
        <f>D41+D39+D37+D35+D31</f>
        <v>111634312</v>
      </c>
      <c r="E43" s="85">
        <f>D43-B43</f>
        <v>3336563.2099999934</v>
      </c>
      <c r="F43" s="312">
        <f>IF(ISBLANK(E43),"  ",IF(B43&gt;0,E43/B43,IF(E43&gt;0,1,0)))</f>
        <v>3.0809164985228989E-2</v>
      </c>
    </row>
    <row r="44" spans="1:6" ht="34.5" customHeight="1">
      <c r="A44" s="65"/>
      <c r="B44" s="87"/>
      <c r="C44" s="87"/>
      <c r="D44" s="87"/>
      <c r="E44" s="87"/>
      <c r="F44" s="439" t="str">
        <f>IF(ISBLANK(E44),"  ",IF(B44&gt;0,E44/B44,IF(E44&gt;0,1,0)))</f>
        <v xml:space="preserve">  </v>
      </c>
    </row>
    <row r="45" spans="1:6" ht="34.5" customHeight="1">
      <c r="A45" s="66"/>
      <c r="B45" s="88"/>
      <c r="C45" s="88"/>
      <c r="D45" s="88"/>
      <c r="E45" s="84" t="s">
        <v>35</v>
      </c>
      <c r="F45" s="452"/>
    </row>
    <row r="46" spans="1:6" ht="35.25" customHeight="1">
      <c r="A46" s="55" t="s">
        <v>40</v>
      </c>
      <c r="B46" s="88"/>
      <c r="C46" s="88"/>
      <c r="D46" s="88"/>
      <c r="E46" s="88"/>
      <c r="F46" s="315" t="str">
        <f>IF(ISBLANK(E46),"  ",IF(C46&gt;0,E46/C46,IF(E46&gt;0,1,0)))</f>
        <v xml:space="preserve">  </v>
      </c>
    </row>
    <row r="47" spans="1:6" ht="34.5" customHeight="1">
      <c r="A47" s="60" t="s">
        <v>41</v>
      </c>
      <c r="B47" s="82"/>
      <c r="C47" s="82"/>
      <c r="D47" s="82"/>
      <c r="E47" s="79"/>
      <c r="F47" s="310" t="str">
        <f t="shared" ref="F47:F80" si="1">IF(ISBLANK(E47),"  ",IF(B47&gt;0,E47/B47,IF(E47&gt;0,1,0)))</f>
        <v xml:space="preserve">  </v>
      </c>
    </row>
    <row r="48" spans="1:6" ht="34.5" customHeight="1">
      <c r="A48" s="57" t="s">
        <v>42</v>
      </c>
      <c r="B48" s="81"/>
      <c r="C48" s="81"/>
      <c r="D48" s="81"/>
      <c r="E48" s="79"/>
      <c r="F48" s="310" t="str">
        <f t="shared" si="1"/>
        <v xml:space="preserve">  </v>
      </c>
    </row>
    <row r="49" spans="1:6" ht="34.5" customHeight="1">
      <c r="A49" s="57" t="s">
        <v>43</v>
      </c>
      <c r="B49" s="81"/>
      <c r="C49" s="81"/>
      <c r="D49" s="81"/>
      <c r="E49" s="79"/>
      <c r="F49" s="310" t="str">
        <f t="shared" si="1"/>
        <v xml:space="preserve">  </v>
      </c>
    </row>
    <row r="50" spans="1:6" ht="34.5" customHeight="1">
      <c r="A50" s="57" t="s">
        <v>44</v>
      </c>
      <c r="B50" s="81"/>
      <c r="C50" s="81"/>
      <c r="D50" s="81"/>
      <c r="E50" s="79"/>
      <c r="F50" s="310" t="str">
        <f t="shared" si="1"/>
        <v xml:space="preserve">  </v>
      </c>
    </row>
    <row r="51" spans="1:6" ht="34.5" customHeight="1">
      <c r="A51" s="57" t="s">
        <v>45</v>
      </c>
      <c r="B51" s="81"/>
      <c r="C51" s="81"/>
      <c r="D51" s="80"/>
      <c r="E51" s="79"/>
      <c r="F51" s="310" t="str">
        <f t="shared" si="1"/>
        <v xml:space="preserve">  </v>
      </c>
    </row>
    <row r="52" spans="1:6" ht="34.5" customHeight="1">
      <c r="A52" s="57" t="s">
        <v>74</v>
      </c>
      <c r="B52" s="81">
        <f>108297748.5</f>
        <v>108297748.5</v>
      </c>
      <c r="C52" s="81">
        <f>C43</f>
        <v>129974874</v>
      </c>
      <c r="D52" s="89">
        <v>111634312</v>
      </c>
      <c r="E52" s="79">
        <f t="shared" ref="E52:E80" si="2">D52-B52</f>
        <v>3336563.5</v>
      </c>
      <c r="F52" s="310">
        <f t="shared" si="1"/>
        <v>3.0809167745532585E-2</v>
      </c>
    </row>
    <row r="53" spans="1:6" ht="34.5" customHeight="1">
      <c r="A53" s="57" t="s">
        <v>46</v>
      </c>
      <c r="B53" s="81"/>
      <c r="C53" s="81"/>
      <c r="D53" s="81"/>
      <c r="E53" s="79"/>
      <c r="F53" s="310" t="str">
        <f t="shared" si="1"/>
        <v xml:space="preserve">  </v>
      </c>
    </row>
    <row r="54" spans="1:6" ht="34.5" customHeight="1">
      <c r="A54" s="57" t="s">
        <v>47</v>
      </c>
      <c r="B54" s="81"/>
      <c r="C54" s="81"/>
      <c r="D54" s="81"/>
      <c r="E54" s="79"/>
      <c r="F54" s="310" t="str">
        <f t="shared" si="1"/>
        <v xml:space="preserve">  </v>
      </c>
    </row>
    <row r="55" spans="1:6" ht="35.25" customHeight="1">
      <c r="A55" s="67" t="s">
        <v>48</v>
      </c>
      <c r="B55" s="83">
        <f>SUM(B47:B54)</f>
        <v>108297748.5</v>
      </c>
      <c r="C55" s="83">
        <f>SUM(C47:C54)</f>
        <v>129974874</v>
      </c>
      <c r="D55" s="83">
        <f>SUM(D47:D54)</f>
        <v>111634312</v>
      </c>
      <c r="E55" s="85">
        <f t="shared" si="2"/>
        <v>3336563.5</v>
      </c>
      <c r="F55" s="312">
        <f t="shared" si="1"/>
        <v>3.0809167745532585E-2</v>
      </c>
    </row>
    <row r="56" spans="1:6" ht="34.5" customHeight="1">
      <c r="A56" s="57" t="s">
        <v>49</v>
      </c>
      <c r="B56" s="81"/>
      <c r="C56" s="81"/>
      <c r="D56" s="81"/>
      <c r="E56" s="79"/>
      <c r="F56" s="310" t="str">
        <f t="shared" si="1"/>
        <v xml:space="preserve">  </v>
      </c>
    </row>
    <row r="57" spans="1:6" ht="34.5" customHeight="1">
      <c r="A57" s="57" t="s">
        <v>50</v>
      </c>
      <c r="B57" s="81"/>
      <c r="C57" s="81"/>
      <c r="D57" s="81"/>
      <c r="E57" s="79"/>
      <c r="F57" s="310" t="str">
        <f t="shared" si="1"/>
        <v xml:space="preserve">  </v>
      </c>
    </row>
    <row r="58" spans="1:6" ht="34.5" customHeight="1">
      <c r="A58" s="57" t="s">
        <v>51</v>
      </c>
      <c r="B58" s="81"/>
      <c r="C58" s="81"/>
      <c r="D58" s="81"/>
      <c r="E58" s="79"/>
      <c r="F58" s="310" t="str">
        <f t="shared" si="1"/>
        <v xml:space="preserve">  </v>
      </c>
    </row>
    <row r="59" spans="1:6" ht="34.5" customHeight="1">
      <c r="A59" s="57" t="s">
        <v>52</v>
      </c>
      <c r="B59" s="81"/>
      <c r="C59" s="81"/>
      <c r="D59" s="81"/>
      <c r="E59" s="79"/>
      <c r="F59" s="310" t="str">
        <f t="shared" si="1"/>
        <v xml:space="preserve">  </v>
      </c>
    </row>
    <row r="60" spans="1:6" ht="35.25" customHeight="1">
      <c r="A60" s="68" t="s">
        <v>53</v>
      </c>
      <c r="B60" s="91">
        <f>B59+B58+B57+B56+B55</f>
        <v>108297748.5</v>
      </c>
      <c r="C60" s="91">
        <f>C59+C58+C57+C56+C55</f>
        <v>129974874</v>
      </c>
      <c r="D60" s="91">
        <f>D59+D58+D57+D56+D55</f>
        <v>111634312</v>
      </c>
      <c r="E60" s="85">
        <f t="shared" si="2"/>
        <v>3336563.5</v>
      </c>
      <c r="F60" s="312">
        <f t="shared" si="1"/>
        <v>3.0809167745532585E-2</v>
      </c>
    </row>
    <row r="61" spans="1:6" ht="34.5" customHeight="1">
      <c r="A61" s="66"/>
      <c r="B61" s="88"/>
      <c r="C61" s="88"/>
      <c r="D61" s="88"/>
      <c r="E61" s="83" t="s">
        <v>35</v>
      </c>
      <c r="F61" s="439"/>
    </row>
    <row r="62" spans="1:6" ht="35.25" customHeight="1">
      <c r="A62" s="55" t="s">
        <v>54</v>
      </c>
      <c r="B62" s="88"/>
      <c r="C62" s="88"/>
      <c r="D62" s="88"/>
      <c r="E62" s="84" t="s">
        <v>35</v>
      </c>
      <c r="F62" s="452"/>
    </row>
    <row r="63" spans="1:6" ht="34.5" customHeight="1">
      <c r="A63" s="60" t="s">
        <v>55</v>
      </c>
      <c r="B63" s="82">
        <v>5713204.3600000003</v>
      </c>
      <c r="C63" s="82">
        <v>7265166.8700000001</v>
      </c>
      <c r="D63" s="82">
        <v>7172971.8399999999</v>
      </c>
      <c r="E63" s="79">
        <f t="shared" si="2"/>
        <v>1459767.4799999995</v>
      </c>
      <c r="F63" s="310">
        <f t="shared" si="1"/>
        <v>0.25550766050315055</v>
      </c>
    </row>
    <row r="64" spans="1:6" ht="34.5" customHeight="1">
      <c r="A64" s="57" t="s">
        <v>56</v>
      </c>
      <c r="B64" s="81">
        <v>56160.14</v>
      </c>
      <c r="C64" s="81">
        <v>86276.5</v>
      </c>
      <c r="D64" s="81">
        <v>92643.77</v>
      </c>
      <c r="E64" s="79">
        <f t="shared" si="2"/>
        <v>36483.630000000005</v>
      </c>
      <c r="F64" s="310">
        <f t="shared" si="1"/>
        <v>0.64963566686265395</v>
      </c>
    </row>
    <row r="65" spans="1:6" ht="34.5" customHeight="1">
      <c r="A65" s="57" t="s">
        <v>57</v>
      </c>
      <c r="B65" s="81">
        <v>1511066.89</v>
      </c>
      <c r="C65" s="81">
        <v>1916791.71</v>
      </c>
      <c r="D65" s="81">
        <v>2022957.18</v>
      </c>
      <c r="E65" s="79">
        <f t="shared" si="2"/>
        <v>511890.29000000004</v>
      </c>
      <c r="F65" s="310">
        <f t="shared" si="1"/>
        <v>0.33876084069316087</v>
      </c>
    </row>
    <row r="66" spans="1:6" ht="35.25" customHeight="1">
      <c r="A66" s="67" t="s">
        <v>58</v>
      </c>
      <c r="B66" s="90">
        <f>SUM(B63:B65)</f>
        <v>7280431.3899999997</v>
      </c>
      <c r="C66" s="90">
        <f>SUM(C63:C65)</f>
        <v>9268235.0800000001</v>
      </c>
      <c r="D66" s="90">
        <f>SUM(D63:D65)</f>
        <v>9288572.7899999991</v>
      </c>
      <c r="E66" s="85">
        <f t="shared" si="2"/>
        <v>2008141.3999999994</v>
      </c>
      <c r="F66" s="312">
        <f t="shared" si="1"/>
        <v>0.27582725424186705</v>
      </c>
    </row>
    <row r="67" spans="1:6" ht="34.5" customHeight="1">
      <c r="A67" s="57" t="s">
        <v>59</v>
      </c>
      <c r="B67" s="81">
        <v>106037.18</v>
      </c>
      <c r="C67" s="81">
        <v>129319</v>
      </c>
      <c r="D67" s="81">
        <v>128700</v>
      </c>
      <c r="E67" s="79">
        <f t="shared" si="2"/>
        <v>22662.820000000007</v>
      </c>
      <c r="F67" s="310">
        <f t="shared" si="1"/>
        <v>0.21372522354894771</v>
      </c>
    </row>
    <row r="68" spans="1:6" ht="34.5" customHeight="1">
      <c r="A68" s="57" t="s">
        <v>60</v>
      </c>
      <c r="B68" s="81">
        <v>2997446.55</v>
      </c>
      <c r="C68" s="81">
        <v>3493832.19</v>
      </c>
      <c r="D68" s="81">
        <v>3828177.42</v>
      </c>
      <c r="E68" s="79">
        <f t="shared" si="2"/>
        <v>830730.87000000011</v>
      </c>
      <c r="F68" s="310">
        <f t="shared" si="1"/>
        <v>0.27714618297363808</v>
      </c>
    </row>
    <row r="69" spans="1:6" ht="34.5" customHeight="1">
      <c r="A69" s="57" t="s">
        <v>61</v>
      </c>
      <c r="B69" s="81">
        <v>108054.42</v>
      </c>
      <c r="C69" s="81">
        <v>183069.58</v>
      </c>
      <c r="D69" s="81">
        <v>137689.69</v>
      </c>
      <c r="E69" s="79">
        <f t="shared" si="2"/>
        <v>29635.270000000004</v>
      </c>
      <c r="F69" s="310">
        <f t="shared" si="1"/>
        <v>0.27426245034677899</v>
      </c>
    </row>
    <row r="70" spans="1:6" ht="35.25" customHeight="1">
      <c r="A70" s="63" t="s">
        <v>62</v>
      </c>
      <c r="B70" s="83">
        <f>SUM(B67:B69)</f>
        <v>3211538.15</v>
      </c>
      <c r="C70" s="83">
        <f>SUM(C67:C69)</f>
        <v>3806220.77</v>
      </c>
      <c r="D70" s="83">
        <f>SUM(D67:D69)</f>
        <v>4094567.11</v>
      </c>
      <c r="E70" s="85">
        <f t="shared" si="2"/>
        <v>883028.96</v>
      </c>
      <c r="F70" s="312">
        <f t="shared" si="1"/>
        <v>0.27495515194175724</v>
      </c>
    </row>
    <row r="71" spans="1:6" ht="34.5" customHeight="1">
      <c r="A71" s="57" t="s">
        <v>63</v>
      </c>
      <c r="B71" s="81">
        <v>474298.21</v>
      </c>
      <c r="C71" s="81">
        <v>666175.30000000005</v>
      </c>
      <c r="D71" s="81">
        <v>684920</v>
      </c>
      <c r="E71" s="79">
        <f t="shared" si="2"/>
        <v>210621.78999999998</v>
      </c>
      <c r="F71" s="310">
        <f t="shared" si="1"/>
        <v>0.44407038769975532</v>
      </c>
    </row>
    <row r="72" spans="1:6" ht="34.5" customHeight="1">
      <c r="A72" s="57" t="s">
        <v>64</v>
      </c>
      <c r="B72" s="81">
        <f>87253942.62</f>
        <v>87253942.620000005</v>
      </c>
      <c r="C72" s="81">
        <f>125511247.18-19801566.17</f>
        <v>105709681.01000001</v>
      </c>
      <c r="D72" s="81">
        <f>205792847.01-95569359-16513714.09</f>
        <v>93709773.919999987</v>
      </c>
      <c r="E72" s="79">
        <f t="shared" si="2"/>
        <v>6455831.2999999821</v>
      </c>
      <c r="F72" s="310">
        <f t="shared" si="1"/>
        <v>7.3988992430013154E-2</v>
      </c>
    </row>
    <row r="73" spans="1:6" ht="34.5" customHeight="1">
      <c r="A73" s="57" t="s">
        <v>65</v>
      </c>
      <c r="B73" s="81"/>
      <c r="C73" s="81"/>
      <c r="D73" s="81"/>
      <c r="E73" s="79"/>
      <c r="F73" s="310" t="str">
        <f t="shared" si="1"/>
        <v xml:space="preserve">  </v>
      </c>
    </row>
    <row r="74" spans="1:6" ht="34.5" customHeight="1">
      <c r="A74" s="57" t="s">
        <v>66</v>
      </c>
      <c r="B74" s="81">
        <v>9535961.2799999993</v>
      </c>
      <c r="C74" s="81">
        <v>9828579.8399999999</v>
      </c>
      <c r="D74" s="81">
        <f>10100906.18-6500000</f>
        <v>3600906.1799999997</v>
      </c>
      <c r="E74" s="79">
        <f t="shared" si="2"/>
        <v>-5935055.0999999996</v>
      </c>
      <c r="F74" s="310">
        <f t="shared" si="1"/>
        <v>-0.62238666094919382</v>
      </c>
    </row>
    <row r="75" spans="1:6" ht="35.25" customHeight="1">
      <c r="A75" s="63" t="s">
        <v>67</v>
      </c>
      <c r="B75" s="83">
        <f>SUM(B71:B74)</f>
        <v>97264202.109999999</v>
      </c>
      <c r="C75" s="83">
        <f>SUM(C71:C74)</f>
        <v>116204436.15000001</v>
      </c>
      <c r="D75" s="83">
        <f>SUM(D71:D74)</f>
        <v>97995600.099999994</v>
      </c>
      <c r="E75" s="85">
        <f t="shared" si="2"/>
        <v>731397.98999999464</v>
      </c>
      <c r="F75" s="312">
        <f t="shared" si="1"/>
        <v>7.5197037978353767E-3</v>
      </c>
    </row>
    <row r="76" spans="1:6" ht="34.5" customHeight="1">
      <c r="A76" s="57" t="s">
        <v>68</v>
      </c>
      <c r="B76" s="81">
        <v>541576.9</v>
      </c>
      <c r="C76" s="81">
        <v>695982</v>
      </c>
      <c r="D76" s="81">
        <v>255572</v>
      </c>
      <c r="E76" s="79">
        <f t="shared" si="2"/>
        <v>-286004.90000000002</v>
      </c>
      <c r="F76" s="310">
        <f t="shared" si="1"/>
        <v>-0.52809656394133508</v>
      </c>
    </row>
    <row r="77" spans="1:6" ht="34.5" customHeight="1">
      <c r="A77" s="57" t="s">
        <v>69</v>
      </c>
      <c r="B77" s="81"/>
      <c r="C77" s="81"/>
      <c r="D77" s="81"/>
      <c r="E77" s="79"/>
      <c r="F77" s="310" t="str">
        <f t="shared" si="1"/>
        <v xml:space="preserve">  </v>
      </c>
    </row>
    <row r="78" spans="1:6" ht="34.5" customHeight="1">
      <c r="A78" s="69" t="s">
        <v>70</v>
      </c>
      <c r="B78" s="81"/>
      <c r="C78" s="81"/>
      <c r="D78" s="81"/>
      <c r="E78" s="79"/>
      <c r="F78" s="310" t="str">
        <f t="shared" si="1"/>
        <v xml:space="preserve">  </v>
      </c>
    </row>
    <row r="79" spans="1:6" ht="35.25" customHeight="1">
      <c r="A79" s="70" t="s">
        <v>71</v>
      </c>
      <c r="B79" s="91">
        <f>SUM(B76:B78)</f>
        <v>541576.9</v>
      </c>
      <c r="C79" s="91">
        <f>SUM(C76:C78)</f>
        <v>695982</v>
      </c>
      <c r="D79" s="91">
        <f>SUM(D76:D78)</f>
        <v>255572</v>
      </c>
      <c r="E79" s="85">
        <f t="shared" si="2"/>
        <v>-286004.90000000002</v>
      </c>
      <c r="F79" s="312">
        <f t="shared" si="1"/>
        <v>-0.52809656394133508</v>
      </c>
    </row>
    <row r="80" spans="1:6" ht="35.25" customHeight="1">
      <c r="A80" s="68" t="s">
        <v>53</v>
      </c>
      <c r="B80" s="91">
        <f>B79+B75+B70+B66</f>
        <v>108297748.55000001</v>
      </c>
      <c r="C80" s="91">
        <f>C79+C75+C70+C66</f>
        <v>129974874</v>
      </c>
      <c r="D80" s="91">
        <f>D79+D75+D70+D66</f>
        <v>111634312</v>
      </c>
      <c r="E80" s="84">
        <f t="shared" si="2"/>
        <v>3336563.4499999881</v>
      </c>
      <c r="F80" s="312">
        <f t="shared" si="1"/>
        <v>3.0809167269618069E-2</v>
      </c>
    </row>
    <row r="81" spans="1:6" ht="25.5" customHeight="1">
      <c r="A81" s="43"/>
      <c r="B81" s="43"/>
      <c r="C81" s="43"/>
      <c r="D81" s="43"/>
      <c r="E81" s="455" t="s">
        <v>35</v>
      </c>
      <c r="F81" s="316" t="s">
        <v>35</v>
      </c>
    </row>
    <row r="82" spans="1:6" s="44" customFormat="1" ht="44.25">
      <c r="A82" s="44" t="s">
        <v>99</v>
      </c>
      <c r="E82" s="456" t="s">
        <v>35</v>
      </c>
      <c r="F82" s="317"/>
    </row>
    <row r="83" spans="1:6" s="44" customFormat="1" ht="44.25">
      <c r="A83" s="44" t="s">
        <v>72</v>
      </c>
      <c r="F83" s="318"/>
    </row>
    <row r="84" spans="1:6" s="44" customFormat="1" ht="44.25">
      <c r="F84" s="318"/>
    </row>
    <row r="85" spans="1:6" s="44" customFormat="1" ht="45">
      <c r="A85" s="38"/>
      <c r="F85" s="318"/>
    </row>
    <row r="86" spans="1:6" ht="44.25">
      <c r="A86" s="73"/>
      <c r="B86" s="43"/>
      <c r="C86" s="43"/>
      <c r="D86" s="43"/>
      <c r="E86" s="43"/>
      <c r="F86" s="319"/>
    </row>
    <row r="87" spans="1:6" ht="15" customHeight="1">
      <c r="A87" s="15"/>
      <c r="B87" s="15"/>
      <c r="C87" s="15"/>
      <c r="D87" s="15"/>
      <c r="E87" s="15"/>
      <c r="F87" s="320"/>
    </row>
    <row r="88" spans="1:6" ht="15" customHeight="1">
      <c r="A88" s="15"/>
      <c r="B88" s="15"/>
      <c r="C88" s="15"/>
      <c r="D88" s="15"/>
      <c r="E88" s="15"/>
      <c r="F88" s="320"/>
    </row>
    <row r="89" spans="1:6" ht="15" customHeight="1">
      <c r="A89" s="15"/>
      <c r="B89" s="15"/>
      <c r="C89" s="15"/>
      <c r="D89" s="15"/>
      <c r="E89" s="15"/>
      <c r="F89" s="320"/>
    </row>
    <row r="90" spans="1:6" ht="15" customHeight="1">
      <c r="A90" s="15"/>
      <c r="B90" s="15"/>
      <c r="C90" s="15"/>
      <c r="D90" s="15"/>
      <c r="E90" s="15"/>
      <c r="F90" s="320"/>
    </row>
    <row r="91" spans="1:6" ht="15" customHeight="1">
      <c r="A91" s="15"/>
      <c r="B91" s="15"/>
      <c r="C91" s="15"/>
      <c r="D91" s="15"/>
      <c r="E91" s="15"/>
      <c r="F91" s="320"/>
    </row>
    <row r="92" spans="1:6" ht="15" customHeight="1">
      <c r="A92" s="15"/>
      <c r="B92" s="15"/>
      <c r="C92" s="15"/>
      <c r="D92" s="15"/>
      <c r="E92" s="15"/>
      <c r="F92" s="320"/>
    </row>
    <row r="93" spans="1:6" ht="15" customHeight="1">
      <c r="A93" s="15"/>
      <c r="B93" s="15"/>
      <c r="C93" s="15"/>
      <c r="D93" s="15">
        <f>D92-C92</f>
        <v>0</v>
      </c>
      <c r="E93" s="15"/>
      <c r="F93" s="320"/>
    </row>
  </sheetData>
  <phoneticPr fontId="28" type="noConversion"/>
  <printOptions horizontalCentered="1"/>
  <pageMargins left="0.45" right="0.45" top="0.5" bottom="0.5" header="0.3" footer="0.3"/>
  <pageSetup scale="24"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4"/>
  <sheetViews>
    <sheetView zoomScale="30" zoomScaleNormal="90" workbookViewId="0">
      <selection activeCell="H13" sqref="H13"/>
    </sheetView>
  </sheetViews>
  <sheetFormatPr defaultRowHeight="15"/>
  <cols>
    <col min="1" max="1" width="126.88671875" style="16" customWidth="1"/>
    <col min="2" max="2" width="35.21875" style="16" customWidth="1"/>
    <col min="3" max="3" width="36.88671875" style="16" customWidth="1"/>
    <col min="4" max="4" width="34.33203125" style="16" customWidth="1"/>
    <col min="5" max="5" width="33.21875" style="16" customWidth="1"/>
    <col min="6" max="6" width="32.109375" style="332" customWidth="1"/>
    <col min="7" max="16384" width="8.88671875" style="16"/>
  </cols>
  <sheetData>
    <row r="1" spans="1:10" ht="45">
      <c r="A1" s="17" t="s">
        <v>0</v>
      </c>
      <c r="B1" s="276"/>
      <c r="C1" s="276" t="s">
        <v>1</v>
      </c>
      <c r="D1" s="271" t="s">
        <v>252</v>
      </c>
      <c r="E1" s="141"/>
      <c r="G1" s="5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144"/>
      <c r="B5" s="145" t="s">
        <v>79</v>
      </c>
      <c r="C5" s="145" t="s">
        <v>93</v>
      </c>
      <c r="D5" s="145" t="s">
        <v>89</v>
      </c>
      <c r="E5" s="145" t="s">
        <v>79</v>
      </c>
      <c r="F5" s="365" t="s">
        <v>11</v>
      </c>
      <c r="G5" s="24"/>
      <c r="H5" s="24"/>
      <c r="I5" s="24"/>
      <c r="J5" s="24"/>
    </row>
    <row r="6" spans="1:10" ht="34.5">
      <c r="A6" s="30" t="s">
        <v>12</v>
      </c>
      <c r="B6" s="92"/>
      <c r="C6" s="92"/>
      <c r="D6" s="92"/>
      <c r="E6" s="178"/>
      <c r="F6" s="342"/>
      <c r="G6" s="24"/>
      <c r="H6" s="24"/>
      <c r="I6" s="24"/>
      <c r="J6" s="24"/>
    </row>
    <row r="7" spans="1:10" ht="34.5">
      <c r="A7" s="153" t="s">
        <v>13</v>
      </c>
      <c r="B7" s="93"/>
      <c r="C7" s="93"/>
      <c r="D7" s="93"/>
      <c r="E7" s="178"/>
      <c r="F7" s="343"/>
      <c r="G7" s="24"/>
      <c r="H7" s="24"/>
      <c r="I7" s="24"/>
      <c r="J7" s="24"/>
    </row>
    <row r="8" spans="1:10" ht="34.5">
      <c r="A8" s="252" t="s">
        <v>14</v>
      </c>
      <c r="B8" s="93">
        <v>4536397</v>
      </c>
      <c r="C8" s="93">
        <v>4536397</v>
      </c>
      <c r="D8" s="93">
        <v>4206599</v>
      </c>
      <c r="E8" s="93">
        <f>D8-B8</f>
        <v>-329798</v>
      </c>
      <c r="F8" s="343">
        <f>IF(ISBLANK(E8),"  ",IF(B8&gt;0,E8/B8,IF(E8&gt;0,1,0)))</f>
        <v>-7.2700427233330769E-2</v>
      </c>
      <c r="G8" s="24"/>
      <c r="H8" s="24"/>
      <c r="I8" s="24"/>
      <c r="J8" s="24"/>
    </row>
    <row r="9" spans="1:10" ht="34.5">
      <c r="A9" s="415" t="s">
        <v>87</v>
      </c>
      <c r="B9" s="93"/>
      <c r="C9" s="93"/>
      <c r="D9" s="93">
        <v>122506</v>
      </c>
      <c r="E9" s="93">
        <f>D9-B9</f>
        <v>122506</v>
      </c>
      <c r="F9" s="343">
        <f t="shared" ref="F9:F31" si="0">IF(ISBLANK(E9),"  ",IF(B9&gt;0,E9/B9,IF(E9&gt;0,1,0)))</f>
        <v>1</v>
      </c>
      <c r="G9" s="24"/>
      <c r="H9" s="24"/>
      <c r="I9" s="24"/>
      <c r="J9" s="24"/>
    </row>
    <row r="10" spans="1:10" ht="34.5">
      <c r="A10" s="255" t="s">
        <v>15</v>
      </c>
      <c r="B10" s="93">
        <f>SUM(B11:B25)</f>
        <v>10076469</v>
      </c>
      <c r="C10" s="93">
        <f>SUM(C11:C25)</f>
        <v>10095000</v>
      </c>
      <c r="D10" s="93">
        <f>SUM(D11:D25)</f>
        <v>10000000</v>
      </c>
      <c r="E10" s="93">
        <f>D10-B10</f>
        <v>-76469</v>
      </c>
      <c r="F10" s="343">
        <f t="shared" si="0"/>
        <v>-7.588868680090218E-3</v>
      </c>
      <c r="G10" s="24"/>
      <c r="H10" s="24"/>
      <c r="I10" s="24"/>
      <c r="J10" s="24"/>
    </row>
    <row r="11" spans="1:10" ht="34.5">
      <c r="A11" s="30" t="s">
        <v>16</v>
      </c>
      <c r="B11" s="93"/>
      <c r="C11" s="93"/>
      <c r="D11" s="93"/>
      <c r="E11" s="93"/>
      <c r="F11" s="343" t="str">
        <f t="shared" si="0"/>
        <v xml:space="preserve">  </v>
      </c>
      <c r="G11" s="24"/>
      <c r="H11" s="24"/>
      <c r="I11" s="24"/>
      <c r="J11" s="24"/>
    </row>
    <row r="12" spans="1:10" ht="34.5">
      <c r="A12" s="31" t="s">
        <v>17</v>
      </c>
      <c r="B12" s="93"/>
      <c r="C12" s="93"/>
      <c r="D12" s="93"/>
      <c r="E12" s="93"/>
      <c r="F12" s="343" t="str">
        <f t="shared" si="0"/>
        <v xml:space="preserve">  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/>
      <c r="C14" s="93"/>
      <c r="D14" s="93"/>
      <c r="E14" s="93"/>
      <c r="F14" s="343" t="str">
        <f t="shared" si="0"/>
        <v xml:space="preserve">  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</row>
    <row r="17" spans="1:8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</row>
    <row r="18" spans="1:8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8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8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8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8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8" ht="35.25">
      <c r="A23" s="117" t="s">
        <v>28</v>
      </c>
      <c r="B23" s="116"/>
      <c r="C23" s="116"/>
      <c r="D23" s="116"/>
      <c r="E23" s="116"/>
      <c r="F23" s="343" t="str">
        <f t="shared" si="0"/>
        <v xml:space="preserve">  </v>
      </c>
      <c r="G23" s="24"/>
      <c r="H23" s="24"/>
    </row>
    <row r="24" spans="1:8" ht="34.5">
      <c r="A24" s="117" t="s">
        <v>253</v>
      </c>
      <c r="B24" s="93">
        <v>9981691</v>
      </c>
      <c r="C24" s="93">
        <v>10000000</v>
      </c>
      <c r="D24" s="93">
        <v>10000000</v>
      </c>
      <c r="E24" s="93">
        <f>D24-B24</f>
        <v>18309</v>
      </c>
      <c r="F24" s="343">
        <f t="shared" si="0"/>
        <v>1.8342583436012996E-3</v>
      </c>
      <c r="G24" s="24"/>
      <c r="H24" s="24"/>
    </row>
    <row r="25" spans="1:8" ht="34.5">
      <c r="A25" s="117" t="s">
        <v>80</v>
      </c>
      <c r="B25" s="118">
        <v>94778</v>
      </c>
      <c r="C25" s="118">
        <v>95000</v>
      </c>
      <c r="D25" s="118">
        <v>0</v>
      </c>
      <c r="E25" s="118">
        <f>D25-B25</f>
        <v>-94778</v>
      </c>
      <c r="F25" s="343">
        <f t="shared" si="0"/>
        <v>-1</v>
      </c>
      <c r="G25" s="24"/>
      <c r="H25" s="24"/>
    </row>
    <row r="26" spans="1:8" ht="35.25">
      <c r="A26" s="114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8" ht="34.5">
      <c r="A27" s="117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8" ht="42.75" customHeight="1">
      <c r="A28" s="114" t="s">
        <v>31</v>
      </c>
      <c r="B28" s="94"/>
      <c r="C28" s="94"/>
      <c r="D28" s="94"/>
      <c r="E28" s="94"/>
      <c r="F28" s="343" t="str">
        <f t="shared" si="0"/>
        <v xml:space="preserve">  </v>
      </c>
      <c r="G28" s="24"/>
      <c r="H28" s="24"/>
    </row>
    <row r="29" spans="1:8" ht="42.75" customHeight="1">
      <c r="A29" s="279" t="s">
        <v>30</v>
      </c>
      <c r="B29" s="393"/>
      <c r="C29" s="393"/>
      <c r="D29" s="393"/>
      <c r="E29" s="393"/>
      <c r="F29" s="343" t="str">
        <f t="shared" si="0"/>
        <v xml:space="preserve">  </v>
      </c>
      <c r="G29" s="24"/>
      <c r="H29" s="24"/>
    </row>
    <row r="30" spans="1:8" ht="35.25">
      <c r="A30" s="416" t="s">
        <v>32</v>
      </c>
      <c r="B30" s="403"/>
      <c r="C30" s="403"/>
      <c r="D30" s="403"/>
      <c r="E30" s="403"/>
      <c r="F30" s="343" t="str">
        <f t="shared" si="0"/>
        <v xml:space="preserve">  </v>
      </c>
      <c r="G30" s="24"/>
      <c r="H30" s="24"/>
    </row>
    <row r="31" spans="1:8" ht="35.25">
      <c r="A31" s="417" t="s">
        <v>33</v>
      </c>
      <c r="B31" s="432">
        <f>B30+B29+B27+B10+B9+B8</f>
        <v>14612866</v>
      </c>
      <c r="C31" s="432">
        <f>C30+C29+C27+C10+C9+C8</f>
        <v>14631397</v>
      </c>
      <c r="D31" s="432">
        <f>D30+D29+D27+D10+D9+D8</f>
        <v>14329105</v>
      </c>
      <c r="E31" s="287">
        <f>D31-B31</f>
        <v>-283761</v>
      </c>
      <c r="F31" s="390">
        <f t="shared" si="0"/>
        <v>-1.94185726468716E-2</v>
      </c>
      <c r="G31" s="24" t="s">
        <v>254</v>
      </c>
      <c r="H31" s="24"/>
    </row>
    <row r="32" spans="1:8" ht="35.25">
      <c r="A32" s="33"/>
      <c r="B32" s="92"/>
      <c r="C32" s="92"/>
      <c r="D32" s="92"/>
      <c r="E32" s="92"/>
      <c r="F32" s="342" t="str">
        <f>IF(ISBLANK(E32),"  ",IF(C32&gt;0,E32/C32,IF(E32&gt;0,1,0)))</f>
        <v xml:space="preserve">  </v>
      </c>
      <c r="G32" s="24"/>
      <c r="H32" s="24"/>
    </row>
    <row r="33" spans="1:10" ht="35.25">
      <c r="A33" s="130" t="s">
        <v>34</v>
      </c>
      <c r="B33" s="147"/>
      <c r="C33" s="138"/>
      <c r="D33" s="138"/>
      <c r="E33" s="138"/>
      <c r="F33" s="342" t="str">
        <f>IF(ISBLANK(E33),"  ",IF(B33&gt;0,E33/B33,IF(E33&gt;0,1,0)))</f>
        <v xml:space="preserve">  </v>
      </c>
      <c r="G33" s="24"/>
      <c r="H33" s="24"/>
    </row>
    <row r="34" spans="1:10" ht="35.25">
      <c r="A34" s="132" t="s">
        <v>35</v>
      </c>
      <c r="B34" s="133"/>
      <c r="C34" s="140"/>
      <c r="D34" s="140"/>
      <c r="E34" s="140"/>
      <c r="F34" s="356" t="str">
        <f>IF(ISBLANK(E34),"  ",IF(C34&gt;0,E34/C34,IF(E34&gt;0,1,0)))</f>
        <v xml:space="preserve">  </v>
      </c>
      <c r="G34" s="24"/>
      <c r="H34" s="24"/>
    </row>
    <row r="35" spans="1:10" ht="35.25">
      <c r="A35" s="130" t="s">
        <v>36</v>
      </c>
      <c r="B35" s="147"/>
      <c r="C35" s="147"/>
      <c r="D35" s="147"/>
      <c r="E35" s="147"/>
      <c r="F35" s="397" t="str">
        <f>IF(ISBLANK(E35),"  ",IF(B35&gt;0,E35/B35,IF(E35&gt;0,1,0)))</f>
        <v xml:space="preserve">  </v>
      </c>
      <c r="G35" s="24"/>
      <c r="H35" s="24"/>
    </row>
    <row r="36" spans="1:10" ht="35.25">
      <c r="A36" s="33" t="s">
        <v>35</v>
      </c>
      <c r="B36" s="95"/>
      <c r="C36" s="95"/>
      <c r="D36" s="95"/>
      <c r="E36" s="95"/>
      <c r="F36" s="345" t="str">
        <f>IF(ISBLANK(E36),"  ",IF(C36&gt;0,E36/C36,IF(E36&gt;0,1,0)))</f>
        <v xml:space="preserve">  </v>
      </c>
      <c r="G36" s="24"/>
      <c r="H36" s="24"/>
    </row>
    <row r="37" spans="1:10" ht="35.25">
      <c r="A37" s="137" t="s">
        <v>97</v>
      </c>
      <c r="B37" s="147"/>
      <c r="C37" s="147"/>
      <c r="D37" s="147"/>
      <c r="E37" s="147"/>
      <c r="F37" s="342" t="str">
        <f>IF(ISBLANK(E37),"  ",IF(B37&gt;0,E37/B37,IF(E37&gt;0,1,0)))</f>
        <v xml:space="preserve">  </v>
      </c>
      <c r="G37" s="24"/>
      <c r="H37" s="24"/>
    </row>
    <row r="38" spans="1:10" ht="35.25">
      <c r="A38" s="139" t="s">
        <v>35</v>
      </c>
      <c r="B38" s="133"/>
      <c r="C38" s="133"/>
      <c r="D38" s="133"/>
      <c r="E38" s="133"/>
      <c r="F38" s="356" t="str">
        <f>IF(ISBLANK(E38),"  ",IF(C38&gt;0,E38/C38,IF(E38&gt;0,1,0)))</f>
        <v xml:space="preserve">  </v>
      </c>
      <c r="G38" s="24"/>
      <c r="H38" s="24"/>
    </row>
    <row r="39" spans="1:10" ht="35.25">
      <c r="A39" s="137" t="s">
        <v>37</v>
      </c>
      <c r="B39" s="147"/>
      <c r="C39" s="147"/>
      <c r="D39" s="147"/>
      <c r="E39" s="147"/>
      <c r="F39" s="397" t="str">
        <f>IF(ISBLANK(E39),"  ",IF(B39&gt;0,E39/B39,IF(E39&gt;0,1,0)))</f>
        <v xml:space="preserve">  </v>
      </c>
      <c r="G39" s="24"/>
      <c r="H39" s="24"/>
    </row>
    <row r="40" spans="1:10" ht="35.25">
      <c r="A40" s="119" t="s">
        <v>35</v>
      </c>
      <c r="B40" s="95"/>
      <c r="C40" s="95"/>
      <c r="D40" s="95"/>
      <c r="E40" s="95"/>
      <c r="F40" s="345" t="str">
        <f>IF(ISBLANK(E40),"  ",IF(C40&gt;0,E40/C40,IF(E40&gt;0,1,0)))</f>
        <v xml:space="preserve">  </v>
      </c>
      <c r="G40" s="24"/>
      <c r="H40" s="24"/>
    </row>
    <row r="41" spans="1:10" ht="35.25">
      <c r="A41" s="130" t="s">
        <v>38</v>
      </c>
      <c r="B41" s="147"/>
      <c r="C41" s="147"/>
      <c r="D41" s="147"/>
      <c r="E41" s="147"/>
      <c r="F41" s="342" t="str">
        <f>IF(ISBLANK(E41),"  ",IF(B41&gt;0,E41/B41,IF(E41&gt;0,1,0)))</f>
        <v xml:space="preserve">  </v>
      </c>
      <c r="G41" s="24"/>
      <c r="H41" s="24"/>
    </row>
    <row r="42" spans="1:10" ht="35.25">
      <c r="A42" s="132"/>
      <c r="B42" s="133"/>
      <c r="C42" s="133"/>
      <c r="D42" s="133"/>
      <c r="E42" s="133"/>
      <c r="F42" s="343" t="str">
        <f>IF(ISBLANK(E42),"  ",IF(B42&gt;0,E42/B42,IF(E42&gt;0,1,0)))</f>
        <v xml:space="preserve">  </v>
      </c>
      <c r="G42" s="24"/>
      <c r="H42" s="24"/>
    </row>
    <row r="43" spans="1:10" ht="35.25">
      <c r="A43" s="294" t="s">
        <v>39</v>
      </c>
      <c r="B43" s="398">
        <f>B41+B39+B37+B35+B31</f>
        <v>14612866</v>
      </c>
      <c r="C43" s="398">
        <f>C41+C39+C37+C35+C31</f>
        <v>14631397</v>
      </c>
      <c r="D43" s="398">
        <f>D41+D39+D37+D35+D31</f>
        <v>14329105</v>
      </c>
      <c r="E43" s="398">
        <f>D43-B43</f>
        <v>-283761</v>
      </c>
      <c r="F43" s="399">
        <f>IF(ISBLANK(E43),"  ",IF(B43&gt;0,E43/B43,IF(E43&gt;0,1,0)))</f>
        <v>-1.94185726468716E-2</v>
      </c>
      <c r="G43" s="24"/>
      <c r="H43" s="24"/>
    </row>
    <row r="44" spans="1:10" ht="35.25">
      <c r="A44" s="33"/>
      <c r="B44" s="95"/>
      <c r="C44" s="95"/>
      <c r="D44" s="95"/>
      <c r="E44" s="95"/>
      <c r="F44" s="345" t="str">
        <f>IF(ISBLANK(E44),"  ",IF(C44&gt;0,E44/C44,IF(E44&gt;0,1,0)))</f>
        <v xml:space="preserve">  </v>
      </c>
      <c r="G44" s="24"/>
      <c r="H44" s="24"/>
    </row>
    <row r="45" spans="1:10" ht="35.25">
      <c r="A45" s="33"/>
      <c r="B45" s="95"/>
      <c r="C45" s="95"/>
      <c r="D45" s="95"/>
      <c r="E45" s="95"/>
      <c r="F45" s="345" t="str">
        <f>IF(ISBLANK(E45),"  ",IF(C45&gt;0,E45/C45,IF(E45&gt;0,1,0)))</f>
        <v xml:space="preserve">  </v>
      </c>
      <c r="G45" s="24"/>
      <c r="H45" s="24"/>
      <c r="J45" s="16" t="s">
        <v>35</v>
      </c>
    </row>
    <row r="46" spans="1:10" ht="35.25">
      <c r="A46" s="130" t="s">
        <v>40</v>
      </c>
      <c r="B46" s="147"/>
      <c r="C46" s="147"/>
      <c r="D46" s="147"/>
      <c r="E46" s="147"/>
      <c r="F46" s="366" t="str">
        <f>IF(ISBLANK(E46),"  ",IF(C46&gt;0,E46/C46,IF(E46&gt;0,1,0)))</f>
        <v xml:space="preserve">  </v>
      </c>
      <c r="G46" s="24"/>
      <c r="H46" s="24"/>
    </row>
    <row r="47" spans="1:10" ht="34.5">
      <c r="A47" s="430" t="s">
        <v>41</v>
      </c>
      <c r="B47" s="431">
        <f>[7]BOR4!B$24</f>
        <v>9981691</v>
      </c>
      <c r="C47" s="431">
        <f>[7]BOR4!C$24</f>
        <v>10000000</v>
      </c>
      <c r="D47" s="431">
        <f>[7]BOR4!D$24</f>
        <v>10000000</v>
      </c>
      <c r="E47" s="431">
        <f>D47-B47</f>
        <v>18309</v>
      </c>
      <c r="F47" s="343">
        <f t="shared" ref="F47:F60" si="1">IF(ISBLANK(E47),"  ",IF(B47&gt;0,E47/B47,IF(E47&gt;0,1,0)))</f>
        <v>1.8342583436012996E-3</v>
      </c>
      <c r="G47" s="24"/>
      <c r="H47" s="24"/>
    </row>
    <row r="48" spans="1:10" ht="34.5">
      <c r="A48" s="279" t="s">
        <v>42</v>
      </c>
      <c r="B48" s="280"/>
      <c r="C48" s="280"/>
      <c r="D48" s="280"/>
      <c r="E48" s="280"/>
      <c r="F48" s="343" t="str">
        <f t="shared" si="1"/>
        <v xml:space="preserve">  </v>
      </c>
      <c r="G48" s="24"/>
      <c r="H48" s="24"/>
    </row>
    <row r="49" spans="1:8" ht="34.5">
      <c r="A49" s="430" t="s">
        <v>43</v>
      </c>
      <c r="B49" s="431"/>
      <c r="C49" s="431"/>
      <c r="D49" s="431"/>
      <c r="E49" s="431"/>
      <c r="F49" s="343" t="str">
        <f t="shared" si="1"/>
        <v xml:space="preserve">  </v>
      </c>
      <c r="G49" s="24"/>
      <c r="H49" s="24"/>
    </row>
    <row r="50" spans="1:8" ht="34.5">
      <c r="A50" s="150" t="s">
        <v>44</v>
      </c>
      <c r="B50" s="254"/>
      <c r="C50" s="254"/>
      <c r="D50" s="254"/>
      <c r="E50" s="254"/>
      <c r="F50" s="343" t="str">
        <f t="shared" si="1"/>
        <v xml:space="preserve">  </v>
      </c>
      <c r="G50" s="24"/>
      <c r="H50" s="24"/>
    </row>
    <row r="51" spans="1:8" ht="34.5">
      <c r="A51" s="155" t="s">
        <v>45</v>
      </c>
      <c r="B51" s="154"/>
      <c r="C51" s="154"/>
      <c r="D51" s="154"/>
      <c r="E51" s="154"/>
      <c r="F51" s="343" t="str">
        <f t="shared" si="1"/>
        <v xml:space="preserve">  </v>
      </c>
      <c r="G51" s="24"/>
      <c r="H51" s="24"/>
    </row>
    <row r="52" spans="1:8" ht="34.5">
      <c r="A52" s="155" t="s">
        <v>74</v>
      </c>
      <c r="B52" s="154">
        <f>[7]BOR4!B$132</f>
        <v>4314174.8899999997</v>
      </c>
      <c r="C52" s="154">
        <f>[7]BOR4!C$132</f>
        <v>4314174.8899999997</v>
      </c>
      <c r="D52" s="154">
        <f>[7]BOR4!D$132</f>
        <v>3971605</v>
      </c>
      <c r="E52" s="154">
        <f>D52-B52</f>
        <v>-342569.88999999966</v>
      </c>
      <c r="F52" s="343">
        <f t="shared" si="1"/>
        <v>-7.9405656639942035E-2</v>
      </c>
      <c r="G52" s="24"/>
      <c r="H52" s="24"/>
    </row>
    <row r="53" spans="1:8" ht="34.5">
      <c r="A53" s="168" t="s">
        <v>46</v>
      </c>
      <c r="B53" s="169"/>
      <c r="C53" s="169"/>
      <c r="D53" s="169"/>
      <c r="E53" s="169"/>
      <c r="F53" s="343" t="str">
        <f t="shared" si="1"/>
        <v xml:space="preserve">  </v>
      </c>
      <c r="G53" s="24"/>
      <c r="H53" s="24"/>
    </row>
    <row r="54" spans="1:8" ht="34.5">
      <c r="A54" s="263" t="s">
        <v>47</v>
      </c>
      <c r="B54" s="264"/>
      <c r="C54" s="264"/>
      <c r="D54" s="264"/>
      <c r="E54" s="157"/>
      <c r="F54" s="343" t="str">
        <f t="shared" si="1"/>
        <v xml:space="preserve">  </v>
      </c>
      <c r="G54" s="24"/>
      <c r="H54" s="24"/>
    </row>
    <row r="55" spans="1:8" ht="35.25">
      <c r="A55" s="172" t="s">
        <v>48</v>
      </c>
      <c r="B55" s="295">
        <f>SUM(B47:B54)</f>
        <v>14295865.890000001</v>
      </c>
      <c r="C55" s="295">
        <f>SUM(C47:C54)</f>
        <v>14314174.890000001</v>
      </c>
      <c r="D55" s="295">
        <f>SUM(D47:D54)</f>
        <v>13971605</v>
      </c>
      <c r="E55" s="295">
        <f>D55-B55</f>
        <v>-324260.8900000006</v>
      </c>
      <c r="F55" s="344">
        <f t="shared" si="1"/>
        <v>-2.2682144089419726E-2</v>
      </c>
      <c r="G55" s="24"/>
      <c r="H55" s="24"/>
    </row>
    <row r="56" spans="1:8" ht="34.5">
      <c r="A56" s="155" t="s">
        <v>49</v>
      </c>
      <c r="B56" s="154"/>
      <c r="C56" s="154"/>
      <c r="D56" s="154"/>
      <c r="E56" s="154"/>
      <c r="F56" s="343" t="str">
        <f t="shared" si="1"/>
        <v xml:space="preserve">  </v>
      </c>
      <c r="G56" s="24"/>
      <c r="H56" s="24"/>
    </row>
    <row r="57" spans="1:8" ht="34.5">
      <c r="A57" s="156" t="s">
        <v>50</v>
      </c>
      <c r="B57" s="157">
        <f>[7]BOR4!B$243</f>
        <v>222221.66</v>
      </c>
      <c r="C57" s="157">
        <f>[7]BOR4!C$243</f>
        <v>222221.66</v>
      </c>
      <c r="D57" s="157">
        <f>[7]BOR4!D$243</f>
        <v>307500</v>
      </c>
      <c r="E57" s="157">
        <f>D57-B57</f>
        <v>85278.34</v>
      </c>
      <c r="F57" s="343">
        <f t="shared" si="1"/>
        <v>0.38375350089635724</v>
      </c>
      <c r="G57" s="24"/>
      <c r="H57" s="24"/>
    </row>
    <row r="58" spans="1:8" ht="34.5">
      <c r="A58" s="158" t="s">
        <v>51</v>
      </c>
      <c r="B58" s="159"/>
      <c r="C58" s="159"/>
      <c r="D58" s="159"/>
      <c r="E58" s="159"/>
      <c r="F58" s="343" t="str">
        <f t="shared" si="1"/>
        <v xml:space="preserve">  </v>
      </c>
      <c r="G58" s="24"/>
      <c r="H58" s="24"/>
    </row>
    <row r="59" spans="1:8" ht="34.5">
      <c r="A59" s="156" t="s">
        <v>52</v>
      </c>
      <c r="B59" s="157">
        <f>[7]BOR4!B$288</f>
        <v>94778</v>
      </c>
      <c r="C59" s="157">
        <f>[7]BOR4!C$288</f>
        <v>95000</v>
      </c>
      <c r="D59" s="157">
        <f>[7]BOR4!D$288</f>
        <v>50000</v>
      </c>
      <c r="E59" s="157">
        <f>D59-B59</f>
        <v>-44778</v>
      </c>
      <c r="F59" s="343">
        <f t="shared" si="1"/>
        <v>-0.4724514127751166</v>
      </c>
      <c r="G59" s="24"/>
      <c r="H59" s="24"/>
    </row>
    <row r="60" spans="1:8" ht="35.25">
      <c r="A60" s="282" t="s">
        <v>53</v>
      </c>
      <c r="B60" s="268">
        <f>B59+B58+B57+B56+B55</f>
        <v>14612865.550000001</v>
      </c>
      <c r="C60" s="268">
        <f>C59+C58+C57+C56+C55</f>
        <v>14631396.550000001</v>
      </c>
      <c r="D60" s="268">
        <f>D59+D58+D57+D56+D55</f>
        <v>14329105</v>
      </c>
      <c r="E60" s="268">
        <f>D60-B60</f>
        <v>-283760.55000000075</v>
      </c>
      <c r="F60" s="344">
        <f t="shared" si="1"/>
        <v>-1.9418542450080966E-2</v>
      </c>
      <c r="G60" s="24"/>
      <c r="H60" s="24"/>
    </row>
    <row r="61" spans="1:8" ht="34.5">
      <c r="A61" s="427"/>
      <c r="B61" s="428"/>
      <c r="C61" s="428"/>
      <c r="D61" s="428"/>
      <c r="E61" s="428"/>
      <c r="F61" s="426" t="str">
        <f>IF(ISBLANK(E61),"  ",IF(C61&gt;0,E61/C61,IF(E61&gt;0,1,0)))</f>
        <v xml:space="preserve">  </v>
      </c>
      <c r="G61" s="24"/>
      <c r="H61" s="24"/>
    </row>
    <row r="62" spans="1:8" ht="35.25">
      <c r="A62" s="172" t="s">
        <v>54</v>
      </c>
      <c r="B62" s="169"/>
      <c r="C62" s="169"/>
      <c r="D62" s="169"/>
      <c r="E62" s="425"/>
      <c r="F62" s="372" t="str">
        <f>IF(ISBLANK(E62),"  ",IF(C62&gt;0,E62/C62,IF(E62&gt;0,1,0)))</f>
        <v xml:space="preserve">  </v>
      </c>
      <c r="G62" s="24"/>
      <c r="H62" s="24"/>
    </row>
    <row r="63" spans="1:8" ht="34.5">
      <c r="A63" s="117" t="s">
        <v>55</v>
      </c>
      <c r="B63" s="118">
        <f>[7]BOR4!B292</f>
        <v>2527396.6800000002</v>
      </c>
      <c r="C63" s="118">
        <f>[7]BOR4!C292</f>
        <v>2527396.6800000002</v>
      </c>
      <c r="D63" s="118">
        <f>[7]BOR4!D292</f>
        <v>2393000</v>
      </c>
      <c r="E63" s="128">
        <f t="shared" ref="E63:E72" si="2">D63-B63</f>
        <v>-134396.68000000017</v>
      </c>
      <c r="F63" s="343">
        <f t="shared" ref="F63:F80" si="3">IF(ISBLANK(E63),"  ",IF(B63&gt;0,E63/B63,IF(E63&gt;0,1,0)))</f>
        <v>-5.3175934376870418E-2</v>
      </c>
      <c r="G63" s="24"/>
      <c r="H63" s="24"/>
    </row>
    <row r="64" spans="1:8" ht="34.5">
      <c r="A64" s="117" t="s">
        <v>56</v>
      </c>
      <c r="B64" s="93">
        <f>[7]BOR4!B293</f>
        <v>27234.04</v>
      </c>
      <c r="C64" s="93">
        <f>[7]BOR4!C293</f>
        <v>27234.04</v>
      </c>
      <c r="D64" s="93">
        <f>[7]BOR4!D293</f>
        <v>15500</v>
      </c>
      <c r="E64" s="97">
        <f t="shared" si="2"/>
        <v>-11734.04</v>
      </c>
      <c r="F64" s="343">
        <f t="shared" si="3"/>
        <v>-0.4308593216430614</v>
      </c>
      <c r="G64" s="24"/>
      <c r="H64" s="24"/>
    </row>
    <row r="65" spans="1:9" ht="34.5">
      <c r="A65" s="117" t="s">
        <v>57</v>
      </c>
      <c r="B65" s="118">
        <f>[7]BOR4!B294</f>
        <v>620975.57000000007</v>
      </c>
      <c r="C65" s="118">
        <f>[7]BOR4!C294</f>
        <v>620975.57000000007</v>
      </c>
      <c r="D65" s="118">
        <f>[7]BOR4!D294</f>
        <v>556000</v>
      </c>
      <c r="E65" s="157">
        <f t="shared" si="2"/>
        <v>-64975.570000000065</v>
      </c>
      <c r="F65" s="343">
        <f t="shared" si="3"/>
        <v>-0.10463466380811093</v>
      </c>
      <c r="G65" s="24"/>
      <c r="H65" s="24"/>
    </row>
    <row r="66" spans="1:9" ht="35.25">
      <c r="A66" s="121" t="s">
        <v>58</v>
      </c>
      <c r="B66" s="122">
        <f>[7]BOR4!B295</f>
        <v>3175606.29</v>
      </c>
      <c r="C66" s="122">
        <f>[7]BOR4!C295</f>
        <v>3175606.29</v>
      </c>
      <c r="D66" s="122">
        <f>[7]BOR4!D295</f>
        <v>2964500</v>
      </c>
      <c r="E66" s="134">
        <f t="shared" si="2"/>
        <v>-211106.29000000004</v>
      </c>
      <c r="F66" s="344">
        <f t="shared" si="3"/>
        <v>-6.6477475707481373E-2</v>
      </c>
      <c r="G66" s="24"/>
      <c r="H66" s="24"/>
    </row>
    <row r="67" spans="1:9" ht="34.5">
      <c r="A67" s="176" t="s">
        <v>59</v>
      </c>
      <c r="B67" s="177">
        <f>[7]BOR4!B296</f>
        <v>166097.43000000002</v>
      </c>
      <c r="C67" s="177">
        <f>[7]BOR4!C296</f>
        <v>166097.43000000002</v>
      </c>
      <c r="D67" s="177">
        <f>[7]BOR4!D296</f>
        <v>153500</v>
      </c>
      <c r="E67" s="167">
        <f t="shared" si="2"/>
        <v>-12597.430000000022</v>
      </c>
      <c r="F67" s="343">
        <f t="shared" si="3"/>
        <v>-7.5843617809137814E-2</v>
      </c>
      <c r="G67" s="24"/>
      <c r="H67" s="24"/>
    </row>
    <row r="68" spans="1:9" ht="34.5">
      <c r="A68" s="117" t="s">
        <v>60</v>
      </c>
      <c r="B68" s="118">
        <f>[7]BOR4!B297</f>
        <v>741848.47</v>
      </c>
      <c r="C68" s="118">
        <f>[7]BOR4!C297</f>
        <v>741848.47</v>
      </c>
      <c r="D68" s="118">
        <f>[7]BOR4!D297</f>
        <v>663105</v>
      </c>
      <c r="E68" s="128">
        <f t="shared" si="2"/>
        <v>-78743.469999999972</v>
      </c>
      <c r="F68" s="343">
        <f t="shared" si="3"/>
        <v>-0.10614495167726096</v>
      </c>
      <c r="G68" s="24"/>
      <c r="H68" s="24"/>
    </row>
    <row r="69" spans="1:9" ht="34.5">
      <c r="A69" s="150" t="s">
        <v>61</v>
      </c>
      <c r="B69" s="254">
        <f>[7]BOR4!B298</f>
        <v>73578.819999999992</v>
      </c>
      <c r="C69" s="254">
        <f>[7]BOR4!C298</f>
        <v>73578.819999999992</v>
      </c>
      <c r="D69" s="254">
        <f>[7]BOR4!D298</f>
        <v>66000</v>
      </c>
      <c r="E69" s="166">
        <f t="shared" si="2"/>
        <v>-7578.8199999999924</v>
      </c>
      <c r="F69" s="369">
        <f t="shared" si="3"/>
        <v>-0.10300273910345387</v>
      </c>
      <c r="G69" s="24"/>
      <c r="H69" s="24"/>
    </row>
    <row r="70" spans="1:9" ht="35.25">
      <c r="A70" s="119" t="s">
        <v>62</v>
      </c>
      <c r="B70" s="120">
        <f>[7]BOR4!B299</f>
        <v>981524.72</v>
      </c>
      <c r="C70" s="120">
        <f>[7]BOR4!C299</f>
        <v>981524.72</v>
      </c>
      <c r="D70" s="120">
        <f>[7]BOR4!D299</f>
        <v>882605</v>
      </c>
      <c r="E70" s="161">
        <f t="shared" si="2"/>
        <v>-98919.719999999972</v>
      </c>
      <c r="F70" s="345">
        <f t="shared" si="3"/>
        <v>-0.10078168994052435</v>
      </c>
      <c r="G70" s="24"/>
      <c r="H70" s="24"/>
    </row>
    <row r="71" spans="1:9" ht="34.5">
      <c r="A71" s="151" t="s">
        <v>63</v>
      </c>
      <c r="B71" s="254">
        <f>[7]BOR4!B300</f>
        <v>70262.570000000007</v>
      </c>
      <c r="C71" s="254">
        <f>[7]BOR4!C300</f>
        <v>70262.570000000007</v>
      </c>
      <c r="D71" s="254">
        <f>[7]BOR4!D300</f>
        <v>70000</v>
      </c>
      <c r="E71" s="166">
        <f t="shared" si="2"/>
        <v>-262.57000000000698</v>
      </c>
      <c r="F71" s="343">
        <f t="shared" si="3"/>
        <v>-3.7369825783487133E-3</v>
      </c>
      <c r="G71" s="24"/>
      <c r="H71" s="24"/>
      <c r="I71" s="16" t="s">
        <v>183</v>
      </c>
    </row>
    <row r="72" spans="1:9" ht="34.5">
      <c r="A72" s="150" t="s">
        <v>64</v>
      </c>
      <c r="B72" s="254">
        <f>[7]BOR4!B301</f>
        <v>10076469</v>
      </c>
      <c r="C72" s="254">
        <f>[7]BOR4!C301</f>
        <v>10095000</v>
      </c>
      <c r="D72" s="254">
        <f>[7]BOR4!D301</f>
        <v>10050000</v>
      </c>
      <c r="E72" s="166">
        <f t="shared" si="2"/>
        <v>-26469</v>
      </c>
      <c r="F72" s="343">
        <f t="shared" si="3"/>
        <v>-2.626813023490669E-3</v>
      </c>
      <c r="G72" s="24"/>
      <c r="H72" s="24"/>
    </row>
    <row r="73" spans="1:9" ht="34.5">
      <c r="A73" s="30" t="s">
        <v>65</v>
      </c>
      <c r="B73" s="92"/>
      <c r="C73" s="92"/>
      <c r="D73" s="92"/>
      <c r="E73" s="98"/>
      <c r="F73" s="343" t="str">
        <f t="shared" si="3"/>
        <v xml:space="preserve">  </v>
      </c>
      <c r="G73" s="24"/>
      <c r="H73" s="24"/>
    </row>
    <row r="74" spans="1:9" ht="34.5">
      <c r="A74" s="117" t="s">
        <v>66</v>
      </c>
      <c r="B74" s="118">
        <f>[7]BOR4!B303</f>
        <v>222221.66</v>
      </c>
      <c r="C74" s="118">
        <f>[7]BOR4!C303</f>
        <v>222221.66</v>
      </c>
      <c r="D74" s="118">
        <f>[7]BOR4!D303</f>
        <v>307500</v>
      </c>
      <c r="E74" s="128">
        <f>D74-B74</f>
        <v>85278.34</v>
      </c>
      <c r="F74" s="343">
        <f t="shared" si="3"/>
        <v>0.38375350089635724</v>
      </c>
      <c r="G74" s="24"/>
      <c r="H74" s="24"/>
    </row>
    <row r="75" spans="1:9" ht="35.25">
      <c r="A75" s="114" t="s">
        <v>67</v>
      </c>
      <c r="B75" s="116">
        <f>[7]BOR4!B304</f>
        <v>10368953.23</v>
      </c>
      <c r="C75" s="116">
        <f>[7]BOR4!C304</f>
        <v>10387484.23</v>
      </c>
      <c r="D75" s="116">
        <f>[7]BOR4!D304</f>
        <v>10427500</v>
      </c>
      <c r="E75" s="127">
        <f>D75-B75</f>
        <v>58546.769999999553</v>
      </c>
      <c r="F75" s="344">
        <f t="shared" si="3"/>
        <v>5.6463529829229977E-3</v>
      </c>
      <c r="G75" s="24"/>
      <c r="H75" s="24"/>
    </row>
    <row r="76" spans="1:9" ht="34.5">
      <c r="A76" s="126" t="s">
        <v>68</v>
      </c>
      <c r="B76" s="118">
        <f>[7]BOR4!B305</f>
        <v>86781.310000000012</v>
      </c>
      <c r="C76" s="118">
        <f>[7]BOR4!C305</f>
        <v>86781.310000000012</v>
      </c>
      <c r="D76" s="118">
        <f>[7]BOR4!D305</f>
        <v>54500</v>
      </c>
      <c r="E76" s="128">
        <f>D76-B76</f>
        <v>-32281.310000000012</v>
      </c>
      <c r="F76" s="343">
        <f t="shared" si="3"/>
        <v>-0.37198458976938709</v>
      </c>
      <c r="G76" s="24"/>
      <c r="H76" s="24"/>
    </row>
    <row r="77" spans="1:9" ht="34.5">
      <c r="A77" s="151" t="s">
        <v>69</v>
      </c>
      <c r="B77" s="166"/>
      <c r="C77" s="166"/>
      <c r="D77" s="166"/>
      <c r="E77" s="166"/>
      <c r="F77" s="343" t="str">
        <f t="shared" si="3"/>
        <v xml:space="preserve">  </v>
      </c>
      <c r="G77" s="24"/>
      <c r="H77" s="24"/>
    </row>
    <row r="78" spans="1:9" ht="34.5">
      <c r="A78" s="151" t="s">
        <v>70</v>
      </c>
      <c r="B78" s="166"/>
      <c r="C78" s="166"/>
      <c r="D78" s="166"/>
      <c r="E78" s="166"/>
      <c r="F78" s="343" t="str">
        <f t="shared" si="3"/>
        <v xml:space="preserve">  </v>
      </c>
      <c r="G78" s="24"/>
      <c r="H78" s="24"/>
    </row>
    <row r="79" spans="1:9" ht="35.25">
      <c r="A79" s="119" t="s">
        <v>71</v>
      </c>
      <c r="B79" s="120">
        <f>[7]BOR4!B308</f>
        <v>86781.310000000012</v>
      </c>
      <c r="C79" s="120">
        <f>[7]BOR4!C308</f>
        <v>86781.310000000012</v>
      </c>
      <c r="D79" s="120">
        <f>[7]BOR4!D308</f>
        <v>54500</v>
      </c>
      <c r="E79" s="120">
        <f>D79-B79</f>
        <v>-32281.310000000012</v>
      </c>
      <c r="F79" s="344">
        <f t="shared" si="3"/>
        <v>-0.37198458976938709</v>
      </c>
      <c r="G79" s="24"/>
      <c r="H79" s="24"/>
    </row>
    <row r="80" spans="1:9" ht="36" thickBot="1">
      <c r="A80" s="164" t="s">
        <v>53</v>
      </c>
      <c r="B80" s="165">
        <f>B79+B75+B70+B66</f>
        <v>14612865.550000001</v>
      </c>
      <c r="C80" s="165">
        <f>C79+C75+C70+C66</f>
        <v>14631396.550000001</v>
      </c>
      <c r="D80" s="165">
        <f>D79+D75+D70+D66</f>
        <v>14329105</v>
      </c>
      <c r="E80" s="424">
        <f>D80-B80</f>
        <v>-283760.55000000075</v>
      </c>
      <c r="F80" s="344">
        <f t="shared" si="3"/>
        <v>-1.9418542450080966E-2</v>
      </c>
      <c r="G80" s="24"/>
      <c r="H80" s="24"/>
    </row>
    <row r="81" spans="1:49" ht="34.5">
      <c r="A81" s="418"/>
      <c r="B81" s="419"/>
      <c r="C81" s="419"/>
      <c r="D81" s="419"/>
      <c r="E81" s="420"/>
      <c r="F81" s="421" t="s">
        <v>35</v>
      </c>
      <c r="G81" s="24"/>
      <c r="H81" s="24"/>
    </row>
    <row r="82" spans="1:49" ht="44.25">
      <c r="A82" s="423" t="s">
        <v>99</v>
      </c>
      <c r="B82" s="422"/>
      <c r="C82" s="422"/>
      <c r="D82" s="422"/>
      <c r="E82" s="422"/>
      <c r="F82" s="392"/>
      <c r="G82" s="24"/>
      <c r="H82" s="24"/>
    </row>
    <row r="83" spans="1:49" ht="44.25">
      <c r="A83" s="262" t="s">
        <v>72</v>
      </c>
      <c r="B83" s="260"/>
      <c r="C83" s="260"/>
      <c r="D83" s="260"/>
      <c r="E83" s="422"/>
      <c r="F83" s="392"/>
      <c r="G83" s="24"/>
      <c r="H83" s="24"/>
    </row>
    <row r="84" spans="1:49" ht="44.25">
      <c r="A84" s="262"/>
      <c r="B84" s="260"/>
      <c r="C84" s="260"/>
      <c r="D84" s="260"/>
      <c r="E84" s="422"/>
      <c r="F84" s="392"/>
      <c r="G84" s="24"/>
      <c r="H84" s="24"/>
    </row>
    <row r="85" spans="1:49" ht="44.25">
      <c r="A85" s="423" t="s">
        <v>255</v>
      </c>
      <c r="B85" s="422"/>
      <c r="C85" s="422"/>
      <c r="D85" s="422"/>
      <c r="E85" s="422"/>
      <c r="F85" s="392"/>
      <c r="G85" s="24"/>
      <c r="H85" s="24"/>
    </row>
    <row r="86" spans="1:49" ht="44.25">
      <c r="A86" s="262"/>
      <c r="B86" s="260"/>
      <c r="C86" s="260"/>
      <c r="D86" s="260"/>
      <c r="E86" s="260"/>
      <c r="F86" s="387"/>
      <c r="G86" s="24"/>
      <c r="H86" s="24"/>
    </row>
    <row r="87" spans="1:49" s="413" customFormat="1" ht="44.25">
      <c r="A87" s="262"/>
      <c r="B87" s="286"/>
      <c r="C87" s="286"/>
      <c r="D87" s="278"/>
      <c r="E87" s="278"/>
      <c r="F87" s="392"/>
      <c r="G87" s="412"/>
      <c r="H87" s="412"/>
    </row>
    <row r="88" spans="1:49" s="411" customFormat="1" ht="44.25">
      <c r="A88" s="262"/>
      <c r="B88" s="286"/>
      <c r="C88" s="286"/>
      <c r="D88" s="286"/>
      <c r="E88" s="286"/>
      <c r="F88" s="414"/>
      <c r="G88" s="113"/>
      <c r="H88" s="113"/>
    </row>
    <row r="89" spans="1:49" s="411" customFormat="1" ht="44.25">
      <c r="F89" s="317"/>
    </row>
    <row r="90" spans="1:49" s="163" customFormat="1" ht="44.25">
      <c r="B90" s="179"/>
      <c r="C90" s="179"/>
      <c r="D90" s="179"/>
      <c r="E90" s="179"/>
      <c r="F90" s="376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</row>
    <row r="91" spans="1:49" s="163" customFormat="1" ht="44.25">
      <c r="A91" s="179"/>
      <c r="B91" s="179"/>
      <c r="C91" s="179"/>
      <c r="D91" s="179"/>
      <c r="E91" s="179"/>
      <c r="F91" s="376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</row>
    <row r="92" spans="1:49" s="163" customFormat="1" ht="44.25">
      <c r="F92" s="375"/>
    </row>
    <row r="93" spans="1:49" s="163" customFormat="1" ht="44.25">
      <c r="F93" s="375"/>
    </row>
    <row r="94" spans="1:49" s="163" customFormat="1" ht="44.25">
      <c r="F94" s="375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22" zoomScale="30" zoomScaleNormal="30" workbookViewId="0">
      <selection activeCell="E79" activeCellId="9" sqref="E31:F31 E35:F35 E39:F39 E41:F41 E43:F43 E55:F55 E60:F60 E70:F70 E75:F75 E79:F80"/>
    </sheetView>
  </sheetViews>
  <sheetFormatPr defaultRowHeight="15"/>
  <cols>
    <col min="1" max="1" width="135.21875" style="46" customWidth="1"/>
    <col min="2" max="2" width="30.5546875" style="46" customWidth="1"/>
    <col min="3" max="5" width="30.77734375" style="46" customWidth="1"/>
    <col min="6" max="6" width="41.6640625" style="332" customWidth="1"/>
    <col min="7" max="16384" width="8.88671875" style="46"/>
  </cols>
  <sheetData>
    <row r="1" spans="1:10" ht="45">
      <c r="A1" s="38" t="s">
        <v>0</v>
      </c>
      <c r="B1" s="39"/>
      <c r="C1" s="40" t="s">
        <v>1</v>
      </c>
      <c r="D1" s="76" t="s">
        <v>283</v>
      </c>
      <c r="E1" s="71"/>
      <c r="F1" s="322"/>
      <c r="G1" s="77"/>
      <c r="H1" s="77"/>
      <c r="I1" s="77"/>
      <c r="J1" s="77"/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/>
      <c r="D3" s="41"/>
      <c r="E3" s="41"/>
      <c r="F3" s="305"/>
    </row>
    <row r="4" spans="1:10" ht="36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>
      <c r="A6" s="55" t="s">
        <v>12</v>
      </c>
      <c r="B6" s="42"/>
      <c r="C6" s="42"/>
      <c r="D6" s="42"/>
      <c r="E6" s="59"/>
      <c r="F6" s="309"/>
    </row>
    <row r="7" spans="1:10" ht="35.25">
      <c r="A7" s="55" t="s">
        <v>13</v>
      </c>
      <c r="B7" s="42"/>
      <c r="C7" s="42"/>
      <c r="D7" s="42"/>
      <c r="E7" s="59"/>
      <c r="F7" s="309"/>
    </row>
    <row r="8" spans="1:10" ht="34.5">
      <c r="A8" s="56" t="s">
        <v>14</v>
      </c>
      <c r="B8" s="79">
        <v>3202071</v>
      </c>
      <c r="C8" s="79">
        <v>3202071</v>
      </c>
      <c r="D8" s="79">
        <v>2702491</v>
      </c>
      <c r="E8" s="79">
        <f>D8-B8</f>
        <v>-499580</v>
      </c>
      <c r="F8" s="323">
        <f>IF(ISBLANK(E8),"  ",IF(B8&gt;0,E8/B8,IF(E8&gt;0,1,0)))</f>
        <v>-0.15601777724478938</v>
      </c>
    </row>
    <row r="9" spans="1:10" ht="34.5">
      <c r="A9" s="56" t="s">
        <v>87</v>
      </c>
      <c r="B9" s="79">
        <v>0</v>
      </c>
      <c r="C9" s="79">
        <v>0</v>
      </c>
      <c r="D9" s="79">
        <v>218212</v>
      </c>
      <c r="E9" s="79">
        <f>D9-B9</f>
        <v>218212</v>
      </c>
      <c r="F9" s="323">
        <f t="shared" ref="F9:F25" si="0">IF(ISBLANK(E9),"  ",IF(B9&gt;0,E9/B9,IF(E9&gt;0,1,0)))</f>
        <v>1</v>
      </c>
    </row>
    <row r="10" spans="1:10" ht="34.5">
      <c r="A10" s="57" t="s">
        <v>15</v>
      </c>
      <c r="B10" s="80">
        <f>SUM(B11:B25)</f>
        <v>46412</v>
      </c>
      <c r="C10" s="80">
        <f>SUM(C11:C25)</f>
        <v>47859</v>
      </c>
      <c r="D10" s="80">
        <f>SUM(D11:D25)</f>
        <v>41405</v>
      </c>
      <c r="E10" s="79">
        <f>B10-C10</f>
        <v>-1447</v>
      </c>
      <c r="F10" s="323">
        <f t="shared" si="0"/>
        <v>-3.1177281737481684E-2</v>
      </c>
    </row>
    <row r="11" spans="1:10" ht="34.5">
      <c r="A11" s="60" t="s">
        <v>16</v>
      </c>
      <c r="B11" s="81"/>
      <c r="C11" s="81"/>
      <c r="D11" s="81"/>
      <c r="E11" s="79"/>
      <c r="F11" s="323" t="str">
        <f t="shared" si="0"/>
        <v xml:space="preserve">  </v>
      </c>
    </row>
    <row r="12" spans="1:10" ht="34.5">
      <c r="A12" s="57" t="s">
        <v>17</v>
      </c>
      <c r="B12" s="81">
        <v>46412</v>
      </c>
      <c r="C12" s="81">
        <v>47859</v>
      </c>
      <c r="D12" s="81">
        <v>41405</v>
      </c>
      <c r="E12" s="79">
        <f>D12-B12</f>
        <v>-5007</v>
      </c>
      <c r="F12" s="323">
        <f t="shared" si="0"/>
        <v>-0.10788158234939239</v>
      </c>
    </row>
    <row r="13" spans="1:10" ht="34.5">
      <c r="A13" s="57" t="s">
        <v>18</v>
      </c>
      <c r="B13" s="81"/>
      <c r="C13" s="81"/>
      <c r="D13" s="81"/>
      <c r="E13" s="79"/>
      <c r="F13" s="323" t="str">
        <f t="shared" si="0"/>
        <v xml:space="preserve">  </v>
      </c>
    </row>
    <row r="14" spans="1:10" ht="34.5">
      <c r="A14" s="57" t="s">
        <v>19</v>
      </c>
      <c r="B14" s="81"/>
      <c r="C14" s="81"/>
      <c r="D14" s="81"/>
      <c r="E14" s="79"/>
      <c r="F14" s="323" t="str">
        <f t="shared" si="0"/>
        <v xml:space="preserve">  </v>
      </c>
    </row>
    <row r="15" spans="1:10" ht="34.5">
      <c r="A15" s="57" t="s">
        <v>20</v>
      </c>
      <c r="B15" s="81"/>
      <c r="C15" s="81"/>
      <c r="D15" s="81"/>
      <c r="E15" s="79"/>
      <c r="F15" s="323" t="str">
        <f t="shared" si="0"/>
        <v xml:space="preserve">  </v>
      </c>
    </row>
    <row r="16" spans="1:10" ht="34.5">
      <c r="A16" s="57" t="s">
        <v>21</v>
      </c>
      <c r="B16" s="81"/>
      <c r="C16" s="81"/>
      <c r="D16" s="81"/>
      <c r="E16" s="79"/>
      <c r="F16" s="323" t="str">
        <f t="shared" si="0"/>
        <v xml:space="preserve">  </v>
      </c>
    </row>
    <row r="17" spans="1:6" ht="34.5">
      <c r="A17" s="57" t="s">
        <v>22</v>
      </c>
      <c r="B17" s="81"/>
      <c r="C17" s="81"/>
      <c r="D17" s="81"/>
      <c r="E17" s="79"/>
      <c r="F17" s="323" t="str">
        <f t="shared" si="0"/>
        <v xml:space="preserve">  </v>
      </c>
    </row>
    <row r="18" spans="1:6" ht="34.5">
      <c r="A18" s="57" t="s">
        <v>23</v>
      </c>
      <c r="B18" s="81"/>
      <c r="C18" s="81"/>
      <c r="D18" s="81"/>
      <c r="E18" s="79"/>
      <c r="F18" s="323" t="str">
        <f t="shared" si="0"/>
        <v xml:space="preserve">  </v>
      </c>
    </row>
    <row r="19" spans="1:6" ht="34.5">
      <c r="A19" s="57" t="s">
        <v>24</v>
      </c>
      <c r="B19" s="81"/>
      <c r="C19" s="81"/>
      <c r="D19" s="81"/>
      <c r="E19" s="79"/>
      <c r="F19" s="323" t="str">
        <f t="shared" si="0"/>
        <v xml:space="preserve">  </v>
      </c>
    </row>
    <row r="20" spans="1:6" ht="34.5">
      <c r="A20" s="57" t="s">
        <v>25</v>
      </c>
      <c r="B20" s="81"/>
      <c r="C20" s="81"/>
      <c r="D20" s="81"/>
      <c r="E20" s="79"/>
      <c r="F20" s="323" t="str">
        <f t="shared" si="0"/>
        <v xml:space="preserve">  </v>
      </c>
    </row>
    <row r="21" spans="1:6" ht="34.5">
      <c r="A21" s="57" t="s">
        <v>26</v>
      </c>
      <c r="B21" s="81"/>
      <c r="C21" s="81"/>
      <c r="D21" s="81"/>
      <c r="E21" s="79"/>
      <c r="F21" s="323" t="str">
        <f t="shared" si="0"/>
        <v xml:space="preserve">  </v>
      </c>
    </row>
    <row r="22" spans="1:6" ht="34.5">
      <c r="A22" s="57" t="s">
        <v>27</v>
      </c>
      <c r="B22" s="81"/>
      <c r="C22" s="81"/>
      <c r="D22" s="81"/>
      <c r="E22" s="79"/>
      <c r="F22" s="323" t="str">
        <f t="shared" si="0"/>
        <v xml:space="preserve">  </v>
      </c>
    </row>
    <row r="23" spans="1:6" ht="34.5">
      <c r="A23" s="61" t="s">
        <v>28</v>
      </c>
      <c r="B23" s="81"/>
      <c r="C23" s="81"/>
      <c r="D23" s="81"/>
      <c r="E23" s="79"/>
      <c r="F23" s="323" t="str">
        <f t="shared" si="0"/>
        <v xml:space="preserve">  </v>
      </c>
    </row>
    <row r="24" spans="1:6" ht="34.5">
      <c r="A24" s="61" t="s">
        <v>90</v>
      </c>
      <c r="B24" s="81"/>
      <c r="C24" s="81"/>
      <c r="D24" s="81"/>
      <c r="E24" s="79"/>
      <c r="F24" s="323" t="str">
        <f t="shared" si="0"/>
        <v xml:space="preserve">  </v>
      </c>
    </row>
    <row r="25" spans="1:6" ht="34.5">
      <c r="A25" s="61" t="s">
        <v>80</v>
      </c>
      <c r="B25" s="81"/>
      <c r="C25" s="81"/>
      <c r="D25" s="81"/>
      <c r="E25" s="79"/>
      <c r="F25" s="323" t="str">
        <f t="shared" si="0"/>
        <v xml:space="preserve">  </v>
      </c>
    </row>
    <row r="26" spans="1:6" ht="35.25">
      <c r="A26" s="62" t="s">
        <v>29</v>
      </c>
      <c r="B26" s="81"/>
      <c r="C26" s="81"/>
      <c r="D26" s="81"/>
      <c r="E26" s="81"/>
      <c r="F26" s="325" t="str">
        <f>IF(ISBLANK(E26),"  ",IF(C26&gt;0,E26/C26,IF(E26&gt;0,1,0)))</f>
        <v xml:space="preserve">  </v>
      </c>
    </row>
    <row r="27" spans="1:6" ht="34.5">
      <c r="A27" s="60" t="s">
        <v>30</v>
      </c>
      <c r="B27" s="79"/>
      <c r="C27" s="79"/>
      <c r="D27" s="79"/>
      <c r="E27" s="79"/>
      <c r="F27" s="323" t="str">
        <f>IF(ISBLANK(E27),"  ",IF(B27&gt;0,E27/B27,IF(E27&gt;0,1,0)))</f>
        <v xml:space="preserve">  </v>
      </c>
    </row>
    <row r="28" spans="1:6" ht="35.25">
      <c r="A28" s="63" t="s">
        <v>31</v>
      </c>
      <c r="B28" s="81"/>
      <c r="C28" s="81"/>
      <c r="D28" s="81"/>
      <c r="E28" s="81"/>
      <c r="F28" s="325" t="str">
        <f>IF(ISBLANK(E28),"  ",IF(C28&gt;0,E28/C28,IF(E28&gt;0,1,0)))</f>
        <v xml:space="preserve">  </v>
      </c>
    </row>
    <row r="29" spans="1:6" ht="34.5">
      <c r="A29" s="60" t="s">
        <v>30</v>
      </c>
      <c r="B29" s="82"/>
      <c r="C29" s="82"/>
      <c r="D29" s="82"/>
      <c r="E29" s="79"/>
      <c r="F29" s="323" t="str">
        <f>IF(ISBLANK(E29),"  ",IF(B29&gt;0,E29/B29,IF(E29&gt;0,1,0)))</f>
        <v xml:space="preserve">  </v>
      </c>
    </row>
    <row r="30" spans="1:6" ht="34.5">
      <c r="A30" s="57" t="s">
        <v>32</v>
      </c>
      <c r="B30" s="81"/>
      <c r="C30" s="81"/>
      <c r="D30" s="81"/>
      <c r="E30" s="79"/>
      <c r="F30" s="323" t="str">
        <f>IF(ISBLANK(E30),"  ",IF(B30&gt;0,E30/B30,IF(E30&gt;0,1,0)))</f>
        <v xml:space="preserve">  </v>
      </c>
    </row>
    <row r="31" spans="1:6" ht="35.25">
      <c r="A31" s="63" t="s">
        <v>33</v>
      </c>
      <c r="B31" s="83">
        <f>B30+B29+B27+B10+B9+B8</f>
        <v>3248483</v>
      </c>
      <c r="C31" s="83">
        <f>C30+C29+C27+C10+C9+C8</f>
        <v>3249930</v>
      </c>
      <c r="D31" s="83">
        <f>D30+D29+D27+D10+D9+D8</f>
        <v>2962108</v>
      </c>
      <c r="E31" s="85">
        <f>D31-B31</f>
        <v>-286375</v>
      </c>
      <c r="F31" s="327">
        <f>IF(ISBLANK(E31),"  ",IF(B31&gt;0,E31/B31,IF(E31&gt;0,1,0)))</f>
        <v>-8.815653337265425E-2</v>
      </c>
    </row>
    <row r="32" spans="1:6" ht="35.25">
      <c r="A32" s="63"/>
      <c r="B32" s="81"/>
      <c r="C32" s="81"/>
      <c r="D32" s="81"/>
      <c r="E32" s="81"/>
      <c r="F32" s="325" t="str">
        <f>IF(ISBLANK(E32),"  ",IF(C32&gt;0,E32/C32,IF(E32&gt;0,1,0)))</f>
        <v xml:space="preserve">  </v>
      </c>
    </row>
    <row r="33" spans="1:6" ht="35.25">
      <c r="A33" s="62" t="s">
        <v>34</v>
      </c>
      <c r="B33" s="84"/>
      <c r="C33" s="84"/>
      <c r="D33" s="84"/>
      <c r="E33" s="79"/>
      <c r="F33" s="323" t="str">
        <f>IF(ISBLANK(E33),"  ",IF(B33&gt;0,E33/B33,IF(E33&gt;0,1,0)))</f>
        <v xml:space="preserve">  </v>
      </c>
    </row>
    <row r="34" spans="1:6" ht="35.25">
      <c r="A34" s="57" t="s">
        <v>35</v>
      </c>
      <c r="B34" s="83"/>
      <c r="C34" s="83"/>
      <c r="D34" s="83"/>
      <c r="E34" s="83"/>
      <c r="F34" s="326" t="str">
        <f>IF(ISBLANK(E34),"  ",IF(C34&gt;0,E34/C34,IF(E34&gt;0,1,0)))</f>
        <v xml:space="preserve">  </v>
      </c>
    </row>
    <row r="35" spans="1:6" ht="35.25">
      <c r="A35" s="64" t="s">
        <v>36</v>
      </c>
      <c r="B35" s="85">
        <v>190019</v>
      </c>
      <c r="C35" s="85">
        <v>850000</v>
      </c>
      <c r="D35" s="85">
        <v>850000</v>
      </c>
      <c r="E35" s="85">
        <f>D35-B35</f>
        <v>659981</v>
      </c>
      <c r="F35" s="327">
        <f>IF(ISBLANK(E35),"  ",IF(B35&gt;0,E35/B35,IF(E35&gt;0,1,0)))</f>
        <v>3.4732368868376322</v>
      </c>
    </row>
    <row r="36" spans="1:6" ht="35.25">
      <c r="A36" s="57" t="s">
        <v>35</v>
      </c>
      <c r="B36" s="83"/>
      <c r="C36" s="83"/>
      <c r="D36" s="83"/>
      <c r="E36" s="83"/>
      <c r="F36" s="326" t="str">
        <f>IF(ISBLANK(E36),"  ",IF(C36&gt;0,E36/C36,IF(E36&gt;0,1,0)))</f>
        <v xml:space="preserve">  </v>
      </c>
    </row>
    <row r="37" spans="1:6" ht="35.25">
      <c r="A37" s="64" t="s">
        <v>88</v>
      </c>
      <c r="B37" s="85"/>
      <c r="C37" s="85"/>
      <c r="D37" s="85"/>
      <c r="E37" s="79"/>
      <c r="F37" s="323" t="str">
        <f>IF(ISBLANK(E37),"  ",IF(B37&gt;0,E37/B37,IF(E37&gt;0,1,0)))</f>
        <v xml:space="preserve">  </v>
      </c>
    </row>
    <row r="38" spans="1:6" ht="35.25">
      <c r="A38" s="57" t="s">
        <v>35</v>
      </c>
      <c r="B38" s="83"/>
      <c r="C38" s="83"/>
      <c r="D38" s="83"/>
      <c r="E38" s="83"/>
      <c r="F38" s="326" t="str">
        <f>IF(ISBLANK(E38),"  ",IF(C38&gt;0,E38/C38,IF(E38&gt;0,1,0)))</f>
        <v xml:space="preserve">  </v>
      </c>
    </row>
    <row r="39" spans="1:6" ht="35.25">
      <c r="A39" s="62" t="s">
        <v>37</v>
      </c>
      <c r="B39" s="84">
        <v>1105978</v>
      </c>
      <c r="C39" s="84">
        <v>1105978</v>
      </c>
      <c r="D39" s="84">
        <v>1100000</v>
      </c>
      <c r="E39" s="85">
        <f>D39-B39</f>
        <v>-5978</v>
      </c>
      <c r="F39" s="327">
        <f>IF(ISBLANK(E39),"  ",IF(B39&gt;0,E39/B39,IF(E39&gt;0,1,0)))</f>
        <v>-5.4051708080992567E-3</v>
      </c>
    </row>
    <row r="40" spans="1:6" ht="35.25">
      <c r="A40" s="57" t="s">
        <v>35</v>
      </c>
      <c r="B40" s="83"/>
      <c r="C40" s="83"/>
      <c r="D40" s="83"/>
      <c r="E40" s="82" t="s">
        <v>35</v>
      </c>
      <c r="F40" s="326"/>
    </row>
    <row r="41" spans="1:6" ht="35.25">
      <c r="A41" s="62" t="s">
        <v>38</v>
      </c>
      <c r="B41" s="84">
        <v>3547358</v>
      </c>
      <c r="C41" s="84">
        <v>4034667</v>
      </c>
      <c r="D41" s="84">
        <v>4034667</v>
      </c>
      <c r="E41" s="85">
        <f>D41-B41</f>
        <v>487309</v>
      </c>
      <c r="F41" s="327">
        <f>IF(ISBLANK(E41),"  ",IF(B41&gt;0,E41/B41,IF(E41&gt;0,1,0)))</f>
        <v>0.13737237685060261</v>
      </c>
    </row>
    <row r="42" spans="1:6" ht="35.25">
      <c r="A42" s="57"/>
      <c r="B42" s="83"/>
      <c r="C42" s="83"/>
      <c r="D42" s="83"/>
      <c r="E42" s="81"/>
      <c r="F42" s="326" t="str">
        <f>IF(ISBLANK(E42),"  ",IF(C42&gt;0,E42/C42,IF(E42&gt;0,1,0)))</f>
        <v xml:space="preserve">  </v>
      </c>
    </row>
    <row r="43" spans="1:6" ht="35.25">
      <c r="A43" s="55" t="s">
        <v>39</v>
      </c>
      <c r="B43" s="86">
        <f>B41+B39+B37+B35+B31</f>
        <v>8091838</v>
      </c>
      <c r="C43" s="86">
        <f>C41+C39+C37+C35+C31</f>
        <v>9240575</v>
      </c>
      <c r="D43" s="86">
        <f>D41+D39+D37+D35+D31</f>
        <v>8946775</v>
      </c>
      <c r="E43" s="85">
        <f>D43-B43</f>
        <v>854937</v>
      </c>
      <c r="F43" s="327">
        <f>IF(ISBLANK(E43),"  ",IF(B43&gt;0,E43/B43,IF(E43&gt;0,1,0)))</f>
        <v>0.10565424072998002</v>
      </c>
    </row>
    <row r="44" spans="1:6" ht="34.5">
      <c r="A44" s="65"/>
      <c r="B44" s="87"/>
      <c r="C44" s="87"/>
      <c r="D44" s="87"/>
      <c r="E44" s="87"/>
      <c r="F44" s="328" t="str">
        <f>IF(ISBLANK(E44),"  ",IF(C44&gt;0,E44/C44,IF(E44&gt;0,1,0)))</f>
        <v xml:space="preserve">  </v>
      </c>
    </row>
    <row r="45" spans="1:6" ht="35.25">
      <c r="A45" s="66"/>
      <c r="B45" s="88"/>
      <c r="C45" s="88"/>
      <c r="D45" s="88"/>
      <c r="E45" s="84" t="s">
        <v>35</v>
      </c>
      <c r="F45" s="329"/>
    </row>
    <row r="46" spans="1:6" ht="35.25">
      <c r="A46" s="55" t="s">
        <v>40</v>
      </c>
      <c r="B46" s="88"/>
      <c r="C46" s="88"/>
      <c r="D46" s="88"/>
      <c r="E46" s="88"/>
      <c r="F46" s="329" t="str">
        <f>IF(ISBLANK(E46),"  ",IF(C46&gt;0,E46/C46,IF(E46&gt;0,1,0)))</f>
        <v xml:space="preserve">  </v>
      </c>
    </row>
    <row r="47" spans="1:6" ht="34.5">
      <c r="A47" s="60" t="s">
        <v>41</v>
      </c>
      <c r="B47" s="82">
        <v>122230</v>
      </c>
      <c r="C47" s="82">
        <v>144547</v>
      </c>
      <c r="D47" s="82">
        <v>145565</v>
      </c>
      <c r="E47" s="79">
        <f t="shared" ref="E47:E60" si="1">D47-B47</f>
        <v>23335</v>
      </c>
      <c r="F47" s="323">
        <f t="shared" ref="F47:F60" si="2">IF(ISBLANK(E47),"  ",IF(B47&gt;0,E47/B47,IF(E47&gt;0,1,0)))</f>
        <v>0.19091057841773706</v>
      </c>
    </row>
    <row r="48" spans="1:6" ht="34.5">
      <c r="A48" s="57" t="s">
        <v>42</v>
      </c>
      <c r="B48" s="81">
        <v>2230381</v>
      </c>
      <c r="C48" s="81">
        <v>2937676</v>
      </c>
      <c r="D48" s="81">
        <v>3030669</v>
      </c>
      <c r="E48" s="79">
        <f t="shared" si="1"/>
        <v>800288</v>
      </c>
      <c r="F48" s="323">
        <f t="shared" si="2"/>
        <v>0.35881223880583629</v>
      </c>
    </row>
    <row r="49" spans="1:6" ht="34.5">
      <c r="A49" s="57" t="s">
        <v>43</v>
      </c>
      <c r="B49" s="81">
        <v>1391303</v>
      </c>
      <c r="C49" s="81">
        <v>1911287</v>
      </c>
      <c r="D49" s="81">
        <v>1692340</v>
      </c>
      <c r="E49" s="79">
        <f t="shared" si="1"/>
        <v>301037</v>
      </c>
      <c r="F49" s="323">
        <f t="shared" si="2"/>
        <v>0.21637055335897357</v>
      </c>
    </row>
    <row r="50" spans="1:6" ht="34.5">
      <c r="A50" s="57" t="s">
        <v>44</v>
      </c>
      <c r="B50" s="81">
        <v>287802</v>
      </c>
      <c r="C50" s="81">
        <v>300332</v>
      </c>
      <c r="D50" s="81">
        <v>238814</v>
      </c>
      <c r="E50" s="79">
        <f t="shared" si="1"/>
        <v>-48988</v>
      </c>
      <c r="F50" s="323">
        <f t="shared" si="2"/>
        <v>-0.17021424451532652</v>
      </c>
    </row>
    <row r="51" spans="1:6" ht="34.5">
      <c r="A51" s="57" t="s">
        <v>45</v>
      </c>
      <c r="B51" s="81"/>
      <c r="C51" s="81"/>
      <c r="D51" s="81"/>
      <c r="E51" s="79"/>
      <c r="F51" s="323" t="str">
        <f t="shared" si="2"/>
        <v xml:space="preserve">  </v>
      </c>
    </row>
    <row r="52" spans="1:6" ht="34.5">
      <c r="A52" s="57" t="s">
        <v>74</v>
      </c>
      <c r="B52" s="81">
        <v>806778</v>
      </c>
      <c r="C52" s="81">
        <v>798904</v>
      </c>
      <c r="D52" s="81">
        <v>656648</v>
      </c>
      <c r="E52" s="79">
        <f t="shared" si="1"/>
        <v>-150130</v>
      </c>
      <c r="F52" s="323">
        <f t="shared" si="2"/>
        <v>-0.18608588731968398</v>
      </c>
    </row>
    <row r="53" spans="1:6" ht="34.5">
      <c r="A53" s="57" t="s">
        <v>46</v>
      </c>
      <c r="B53" s="81"/>
      <c r="C53" s="81"/>
      <c r="D53" s="81"/>
      <c r="E53" s="79"/>
      <c r="F53" s="323" t="str">
        <f t="shared" si="2"/>
        <v xml:space="preserve">  </v>
      </c>
    </row>
    <row r="54" spans="1:6" ht="34.5">
      <c r="A54" s="57" t="s">
        <v>47</v>
      </c>
      <c r="B54" s="81">
        <v>1232836</v>
      </c>
      <c r="C54" s="81">
        <v>1017829</v>
      </c>
      <c r="D54" s="81">
        <v>1052739</v>
      </c>
      <c r="E54" s="79">
        <f t="shared" si="1"/>
        <v>-180097</v>
      </c>
      <c r="F54" s="323">
        <f t="shared" si="2"/>
        <v>-0.14608350177963655</v>
      </c>
    </row>
    <row r="55" spans="1:6" ht="35.25">
      <c r="A55" s="67" t="s">
        <v>48</v>
      </c>
      <c r="B55" s="83">
        <f>SUM(B47:B54)</f>
        <v>6071330</v>
      </c>
      <c r="C55" s="83">
        <f>SUM(C47:C54)</f>
        <v>7110575</v>
      </c>
      <c r="D55" s="83">
        <f>SUM(D47:D54)</f>
        <v>6816775</v>
      </c>
      <c r="E55" s="85">
        <f t="shared" si="1"/>
        <v>745445</v>
      </c>
      <c r="F55" s="327">
        <f t="shared" si="2"/>
        <v>0.12278116985899301</v>
      </c>
    </row>
    <row r="56" spans="1:6" ht="34.5">
      <c r="A56" s="57" t="s">
        <v>49</v>
      </c>
      <c r="B56" s="81"/>
      <c r="C56" s="81"/>
      <c r="D56" s="81"/>
      <c r="E56" s="79"/>
      <c r="F56" s="323" t="str">
        <f t="shared" si="2"/>
        <v xml:space="preserve">  </v>
      </c>
    </row>
    <row r="57" spans="1:6" ht="34.5">
      <c r="A57" s="57" t="s">
        <v>50</v>
      </c>
      <c r="B57" s="81"/>
      <c r="C57" s="81"/>
      <c r="D57" s="81"/>
      <c r="E57" s="79"/>
      <c r="F57" s="323" t="str">
        <f t="shared" si="2"/>
        <v xml:space="preserve">  </v>
      </c>
    </row>
    <row r="58" spans="1:6" ht="34.5">
      <c r="A58" s="57" t="s">
        <v>51</v>
      </c>
      <c r="B58" s="81"/>
      <c r="C58" s="81"/>
      <c r="D58" s="81"/>
      <c r="E58" s="79"/>
      <c r="F58" s="323" t="str">
        <f t="shared" si="2"/>
        <v xml:space="preserve">  </v>
      </c>
    </row>
    <row r="59" spans="1:6" ht="34.5">
      <c r="A59" s="57" t="s">
        <v>281</v>
      </c>
      <c r="B59" s="81">
        <v>2020508</v>
      </c>
      <c r="C59" s="81">
        <v>2130000</v>
      </c>
      <c r="D59" s="81">
        <v>2130000</v>
      </c>
      <c r="E59" s="79">
        <f t="shared" si="1"/>
        <v>109492</v>
      </c>
      <c r="F59" s="323">
        <f t="shared" si="2"/>
        <v>5.4190332332264952E-2</v>
      </c>
    </row>
    <row r="60" spans="1:6" ht="35.25">
      <c r="A60" s="68" t="s">
        <v>53</v>
      </c>
      <c r="B60" s="91">
        <f>B59+B58+B57+B56+B55</f>
        <v>8091838</v>
      </c>
      <c r="C60" s="91">
        <f>C59+C58+C57+C56+C55</f>
        <v>9240575</v>
      </c>
      <c r="D60" s="91">
        <f>D59+D58+D57+D56+D55</f>
        <v>8946775</v>
      </c>
      <c r="E60" s="91">
        <f t="shared" si="1"/>
        <v>854937</v>
      </c>
      <c r="F60" s="327">
        <f t="shared" si="2"/>
        <v>0.10565424072998002</v>
      </c>
    </row>
    <row r="61" spans="1:6" ht="34.5">
      <c r="A61" s="66"/>
      <c r="B61" s="88"/>
      <c r="C61" s="88"/>
      <c r="D61" s="88"/>
      <c r="E61" s="82" t="s">
        <v>35</v>
      </c>
      <c r="F61" s="329"/>
    </row>
    <row r="62" spans="1:6" ht="35.25">
      <c r="A62" s="55" t="s">
        <v>54</v>
      </c>
      <c r="B62" s="88"/>
      <c r="C62" s="88"/>
      <c r="D62" s="88"/>
      <c r="E62" s="84" t="s">
        <v>35</v>
      </c>
      <c r="F62" s="329"/>
    </row>
    <row r="63" spans="1:6" ht="34.5">
      <c r="A63" s="60" t="s">
        <v>55</v>
      </c>
      <c r="B63" s="82"/>
      <c r="C63" s="82"/>
      <c r="D63" s="82"/>
      <c r="E63" s="79"/>
      <c r="F63" s="323" t="str">
        <f t="shared" ref="F63:F80" si="3">IF(ISBLANK(E63),"  ",IF(B63&gt;0,E63/B63,IF(E63&gt;0,1,0)))</f>
        <v xml:space="preserve">  </v>
      </c>
    </row>
    <row r="64" spans="1:6" ht="34.5">
      <c r="A64" s="57" t="s">
        <v>56</v>
      </c>
      <c r="B64" s="81"/>
      <c r="C64" s="81"/>
      <c r="D64" s="81"/>
      <c r="E64" s="79"/>
      <c r="F64" s="323" t="str">
        <f t="shared" si="3"/>
        <v xml:space="preserve">  </v>
      </c>
    </row>
    <row r="65" spans="1:6" ht="34.5">
      <c r="A65" s="57" t="s">
        <v>57</v>
      </c>
      <c r="B65" s="81"/>
      <c r="C65" s="81"/>
      <c r="D65" s="81"/>
      <c r="E65" s="79"/>
      <c r="F65" s="323" t="str">
        <f t="shared" si="3"/>
        <v xml:space="preserve">  </v>
      </c>
    </row>
    <row r="66" spans="1:6" ht="35.25">
      <c r="A66" s="67" t="s">
        <v>58</v>
      </c>
      <c r="B66" s="87"/>
      <c r="C66" s="87"/>
      <c r="D66" s="87"/>
      <c r="E66" s="79"/>
      <c r="F66" s="323" t="str">
        <f t="shared" si="3"/>
        <v xml:space="preserve">  </v>
      </c>
    </row>
    <row r="67" spans="1:6" ht="34.5">
      <c r="A67" s="57" t="s">
        <v>59</v>
      </c>
      <c r="B67" s="81">
        <v>15500</v>
      </c>
      <c r="C67" s="81">
        <v>15500</v>
      </c>
      <c r="D67" s="81">
        <v>7250</v>
      </c>
      <c r="E67" s="79">
        <f t="shared" ref="E67:E80" si="4">D67-B67</f>
        <v>-8250</v>
      </c>
      <c r="F67" s="323">
        <f t="shared" si="3"/>
        <v>-0.532258064516129</v>
      </c>
    </row>
    <row r="68" spans="1:6" ht="34.5">
      <c r="A68" s="57" t="s">
        <v>60</v>
      </c>
      <c r="B68" s="81">
        <v>261655</v>
      </c>
      <c r="C68" s="81">
        <v>261655</v>
      </c>
      <c r="D68" s="81">
        <v>231547</v>
      </c>
      <c r="E68" s="79">
        <f t="shared" si="4"/>
        <v>-30108</v>
      </c>
      <c r="F68" s="323">
        <f t="shared" si="3"/>
        <v>-0.11506755078251897</v>
      </c>
    </row>
    <row r="69" spans="1:6" ht="34.5">
      <c r="A69" s="57" t="s">
        <v>61</v>
      </c>
      <c r="B69" s="81">
        <v>101863</v>
      </c>
      <c r="C69" s="81">
        <v>101863</v>
      </c>
      <c r="D69" s="81">
        <v>86100</v>
      </c>
      <c r="E69" s="79">
        <f t="shared" si="4"/>
        <v>-15763</v>
      </c>
      <c r="F69" s="323">
        <f t="shared" si="3"/>
        <v>-0.15474706223064311</v>
      </c>
    </row>
    <row r="70" spans="1:6" ht="35.25">
      <c r="A70" s="63" t="s">
        <v>62</v>
      </c>
      <c r="B70" s="83">
        <f>SUM(B67:B69)</f>
        <v>379018</v>
      </c>
      <c r="C70" s="83">
        <f>SUM(C67:C69)</f>
        <v>379018</v>
      </c>
      <c r="D70" s="83">
        <f>SUM(D67:D69)</f>
        <v>324897</v>
      </c>
      <c r="E70" s="85">
        <f t="shared" si="4"/>
        <v>-54121</v>
      </c>
      <c r="F70" s="327">
        <f t="shared" si="3"/>
        <v>-0.14279269058461602</v>
      </c>
    </row>
    <row r="71" spans="1:6" ht="34.5">
      <c r="A71" s="57" t="s">
        <v>63</v>
      </c>
      <c r="B71" s="81"/>
      <c r="C71" s="81"/>
      <c r="D71" s="81"/>
      <c r="E71" s="79"/>
      <c r="F71" s="323" t="str">
        <f t="shared" si="3"/>
        <v xml:space="preserve">  </v>
      </c>
    </row>
    <row r="72" spans="1:6" ht="34.5">
      <c r="A72" s="57" t="s">
        <v>64</v>
      </c>
      <c r="B72" s="81">
        <v>7082008</v>
      </c>
      <c r="C72" s="81">
        <v>7948472</v>
      </c>
      <c r="D72" s="81">
        <v>7820500</v>
      </c>
      <c r="E72" s="79">
        <f t="shared" si="4"/>
        <v>738492</v>
      </c>
      <c r="F72" s="323">
        <f t="shared" si="3"/>
        <v>0.10427720499609715</v>
      </c>
    </row>
    <row r="73" spans="1:6" ht="34.5">
      <c r="A73" s="57" t="s">
        <v>65</v>
      </c>
      <c r="B73" s="81"/>
      <c r="C73" s="81"/>
      <c r="D73" s="81"/>
      <c r="E73" s="79"/>
      <c r="F73" s="323" t="str">
        <f t="shared" si="3"/>
        <v xml:space="preserve">  </v>
      </c>
    </row>
    <row r="74" spans="1:6" ht="34.5">
      <c r="A74" s="57" t="s">
        <v>66</v>
      </c>
      <c r="B74" s="81">
        <v>418822</v>
      </c>
      <c r="C74" s="81">
        <v>701095</v>
      </c>
      <c r="D74" s="81">
        <v>713240</v>
      </c>
      <c r="E74" s="79">
        <f t="shared" si="4"/>
        <v>294418</v>
      </c>
      <c r="F74" s="323">
        <f t="shared" si="3"/>
        <v>0.70296689285663116</v>
      </c>
    </row>
    <row r="75" spans="1:6" ht="35.25">
      <c r="A75" s="63" t="s">
        <v>67</v>
      </c>
      <c r="B75" s="83">
        <f>SUM(B71:B74)</f>
        <v>7500830</v>
      </c>
      <c r="C75" s="83">
        <f>SUM(C71:C74)</f>
        <v>8649567</v>
      </c>
      <c r="D75" s="83">
        <f>SUM(D71:D74)</f>
        <v>8533740</v>
      </c>
      <c r="E75" s="85">
        <f t="shared" si="4"/>
        <v>1032910</v>
      </c>
      <c r="F75" s="327">
        <f t="shared" si="3"/>
        <v>0.13770609385894628</v>
      </c>
    </row>
    <row r="76" spans="1:6" ht="34.5">
      <c r="A76" s="57" t="s">
        <v>68</v>
      </c>
      <c r="B76" s="81">
        <v>67449</v>
      </c>
      <c r="C76" s="81">
        <v>59526</v>
      </c>
      <c r="D76" s="81">
        <v>32616</v>
      </c>
      <c r="E76" s="79">
        <f t="shared" si="4"/>
        <v>-34833</v>
      </c>
      <c r="F76" s="323">
        <f t="shared" si="3"/>
        <v>-0.51643463950540414</v>
      </c>
    </row>
    <row r="77" spans="1:6" ht="34.5">
      <c r="A77" s="57" t="s">
        <v>69</v>
      </c>
      <c r="B77" s="81">
        <v>144541</v>
      </c>
      <c r="C77" s="81">
        <v>152464</v>
      </c>
      <c r="D77" s="81">
        <v>55522</v>
      </c>
      <c r="E77" s="79">
        <f t="shared" si="4"/>
        <v>-89019</v>
      </c>
      <c r="F77" s="323">
        <f t="shared" si="3"/>
        <v>-0.61587369673656611</v>
      </c>
    </row>
    <row r="78" spans="1:6" ht="34.5">
      <c r="A78" s="69" t="s">
        <v>70</v>
      </c>
      <c r="B78" s="81"/>
      <c r="C78" s="81"/>
      <c r="D78" s="81"/>
      <c r="E78" s="79"/>
      <c r="F78" s="323" t="str">
        <f t="shared" si="3"/>
        <v xml:space="preserve">  </v>
      </c>
    </row>
    <row r="79" spans="1:6" ht="35.25">
      <c r="A79" s="70" t="s">
        <v>71</v>
      </c>
      <c r="B79" s="91">
        <f>SUM(B76:B78)</f>
        <v>211990</v>
      </c>
      <c r="C79" s="91">
        <f>SUM(C76:C78)</f>
        <v>211990</v>
      </c>
      <c r="D79" s="91">
        <f>SUM(D76:D78)</f>
        <v>88138</v>
      </c>
      <c r="E79" s="85">
        <f t="shared" si="4"/>
        <v>-123852</v>
      </c>
      <c r="F79" s="327">
        <f t="shared" si="3"/>
        <v>-0.58423510542950141</v>
      </c>
    </row>
    <row r="80" spans="1:6" ht="35.25">
      <c r="A80" s="68" t="s">
        <v>53</v>
      </c>
      <c r="B80" s="91">
        <f>B79+B75+B70+B66</f>
        <v>8091838</v>
      </c>
      <c r="C80" s="91">
        <f>C79+C75+C70+C66</f>
        <v>9240575</v>
      </c>
      <c r="D80" s="91">
        <f>D79+D75+D70+D66</f>
        <v>8946775</v>
      </c>
      <c r="E80" s="84">
        <f t="shared" si="4"/>
        <v>854937</v>
      </c>
      <c r="F80" s="327">
        <f t="shared" si="3"/>
        <v>0.10565424072998002</v>
      </c>
    </row>
    <row r="81" spans="1:6" ht="35.25">
      <c r="A81" s="43"/>
      <c r="B81" s="43"/>
      <c r="C81" s="43"/>
      <c r="D81" s="43"/>
      <c r="E81" s="457" t="s">
        <v>35</v>
      </c>
      <c r="F81" s="316" t="s">
        <v>35</v>
      </c>
    </row>
    <row r="82" spans="1:6" s="44" customFormat="1" ht="44.25">
      <c r="A82" s="44" t="s">
        <v>99</v>
      </c>
      <c r="E82" s="456" t="s">
        <v>35</v>
      </c>
      <c r="F82" s="317"/>
    </row>
    <row r="83" spans="1:6" s="44" customFormat="1" ht="44.25">
      <c r="A83" s="44" t="s">
        <v>72</v>
      </c>
      <c r="F83" s="318"/>
    </row>
    <row r="84" spans="1:6" s="44" customFormat="1" ht="44.25">
      <c r="A84" s="44" t="s">
        <v>35</v>
      </c>
      <c r="F84" s="318"/>
    </row>
    <row r="85" spans="1:6" s="44" customFormat="1" ht="45">
      <c r="A85" s="38"/>
      <c r="F85" s="318"/>
    </row>
    <row r="86" spans="1:6" ht="44.25">
      <c r="A86" s="44"/>
      <c r="B86" s="48"/>
      <c r="C86" s="48"/>
      <c r="D86" s="48"/>
      <c r="E86" s="48"/>
      <c r="F86" s="319"/>
    </row>
    <row r="87" spans="1:6">
      <c r="F87" s="331"/>
    </row>
    <row r="88" spans="1:6">
      <c r="F88" s="331"/>
    </row>
    <row r="89" spans="1:6">
      <c r="F89" s="331"/>
    </row>
    <row r="90" spans="1:6">
      <c r="F90" s="331"/>
    </row>
    <row r="91" spans="1:6">
      <c r="F91" s="331"/>
    </row>
    <row r="92" spans="1:6">
      <c r="F92" s="331"/>
    </row>
    <row r="93" spans="1:6">
      <c r="F93" s="331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2"/>
  <sheetViews>
    <sheetView topLeftCell="A61" zoomScale="30" zoomScaleNormal="71" workbookViewId="0">
      <selection activeCell="J74" sqref="J74"/>
    </sheetView>
  </sheetViews>
  <sheetFormatPr defaultRowHeight="15"/>
  <cols>
    <col min="1" max="1" width="135.21875" style="46" customWidth="1"/>
    <col min="2" max="2" width="30.5546875" style="46" customWidth="1"/>
    <col min="3" max="5" width="30.77734375" style="46" customWidth="1"/>
    <col min="6" max="6" width="41.6640625" style="332" customWidth="1"/>
    <col min="7" max="16384" width="8.88671875" style="46"/>
  </cols>
  <sheetData>
    <row r="1" spans="1:10" ht="45">
      <c r="A1" s="38" t="s">
        <v>0</v>
      </c>
      <c r="B1" s="39"/>
      <c r="C1" s="40" t="s">
        <v>1</v>
      </c>
      <c r="D1" s="76" t="s">
        <v>298</v>
      </c>
      <c r="E1" s="71"/>
      <c r="F1" s="322"/>
      <c r="G1" s="77"/>
      <c r="H1" s="77"/>
      <c r="I1" s="77"/>
      <c r="J1" s="77"/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>
      <c r="A6" s="55" t="s">
        <v>12</v>
      </c>
      <c r="B6" s="42"/>
      <c r="C6" s="42"/>
      <c r="D6" s="42"/>
      <c r="E6" s="59"/>
      <c r="F6" s="309"/>
    </row>
    <row r="7" spans="1:10" ht="35.25">
      <c r="A7" s="55" t="s">
        <v>13</v>
      </c>
      <c r="B7" s="42"/>
      <c r="C7" s="42"/>
      <c r="D7" s="42"/>
      <c r="E7" s="59"/>
      <c r="F7" s="309"/>
    </row>
    <row r="8" spans="1:10" ht="34.5">
      <c r="A8" s="56" t="s">
        <v>14</v>
      </c>
      <c r="B8" s="79">
        <f ca="1">McNeese!B8+Nicholls!B8+NwSU!B8+SLU!B8+LaTech!B8+ULL!B8+ULM!B8+'UL BOS'!B8+Grambling!B8</f>
        <v>429228371</v>
      </c>
      <c r="C8" s="79">
        <f ca="1">McNeese!C8+Nicholls!C8+NwSU!C8+SLU!C8+LaTech!C8+ULL!C8+ULM!C8+'UL BOS'!C8+Grambling!C8</f>
        <v>429285920</v>
      </c>
      <c r="D8" s="79">
        <f ca="1">McNeese!D8+Nicholls!D8+NwSU!D8+SLU!D8+LaTech!D8+ULL!D8+ULM!D8+'UL BOS'!D8+Grambling!D8</f>
        <v>305757498</v>
      </c>
      <c r="E8" s="79">
        <f>D8-B8</f>
        <v>-123470873</v>
      </c>
      <c r="F8" s="323">
        <f>IF(ISBLANK(E8),"  ",IF(B8&gt;0,E8/B8,IF(E8&gt;0,1,0)))</f>
        <v>-0.2876577629580781</v>
      </c>
    </row>
    <row r="9" spans="1:10" ht="34.5">
      <c r="A9" s="56" t="s">
        <v>87</v>
      </c>
      <c r="B9" s="79">
        <f ca="1">McNeese!B9+Nicholls!B9+NwSU!B9+SLU!B9+LaTech!B9+ULL!B9+ULM!B9+'UL BOS'!B9+Grambling!B9</f>
        <v>0</v>
      </c>
      <c r="C9" s="79">
        <f ca="1">McNeese!C9+Nicholls!C9+NwSU!C9+SLU!C9+LaTech!C9+ULL!C9+ULM!C9+'UL BOS'!C9+Grambling!C9</f>
        <v>0</v>
      </c>
      <c r="D9" s="79">
        <f ca="1">McNeese!D9+Nicholls!D9+NwSU!D9+SLU!D9+LaTech!D9+ULL!D9+ULM!D9+'UL BOS'!D9+Grambling!D9</f>
        <v>27783052</v>
      </c>
      <c r="E9" s="79">
        <f>D9-B9</f>
        <v>27783052</v>
      </c>
      <c r="F9" s="323">
        <f t="shared" ref="F9:F25" si="0">IF(ISBLANK(E9),"  ",IF(B9&gt;0,E9/B9,IF(E9&gt;0,1,0)))</f>
        <v>1</v>
      </c>
    </row>
    <row r="10" spans="1:10" ht="34.5">
      <c r="A10" s="57" t="s">
        <v>15</v>
      </c>
      <c r="B10" s="80">
        <f ca="1">SUM(B11:B25)</f>
        <v>17629554</v>
      </c>
      <c r="C10" s="80">
        <f ca="1">SUM(C11:C25)</f>
        <v>18124965</v>
      </c>
      <c r="D10" s="80">
        <f ca="1">SUM(D11:D25)</f>
        <v>17103652</v>
      </c>
      <c r="E10" s="79">
        <f>B10-C10</f>
        <v>-495411</v>
      </c>
      <c r="F10" s="323">
        <f t="shared" si="0"/>
        <v>-2.8101164669282048E-2</v>
      </c>
    </row>
    <row r="11" spans="1:10" ht="34.5">
      <c r="A11" s="60" t="s">
        <v>16</v>
      </c>
      <c r="B11" s="81">
        <f ca="1">McNeese!B11+Nicholls!B11+NwSU!B11+SLU!B11+LaTech!B11+ULL!B11+ULM!B11+'UL BOS'!B11+Grambling!B11</f>
        <v>0</v>
      </c>
      <c r="C11" s="81">
        <f ca="1">McNeese!C11+Nicholls!C11+NwSU!C11+SLU!C11+LaTech!C11+ULL!C11+ULM!C11+'UL BOS'!C11+Grambling!C11</f>
        <v>0</v>
      </c>
      <c r="D11" s="81">
        <f ca="1">McNeese!D11+Nicholls!D11+NwSU!D11+SLU!D11+LaTech!D11+ULL!D11+ULM!D11+'UL BOS'!D11+Grambling!D11</f>
        <v>2334115</v>
      </c>
      <c r="E11" s="79">
        <f t="shared" ref="E11:E25" si="1">D11-B11</f>
        <v>2334115</v>
      </c>
      <c r="F11" s="323">
        <f t="shared" si="0"/>
        <v>1</v>
      </c>
    </row>
    <row r="12" spans="1:10" ht="34.5">
      <c r="A12" s="57" t="s">
        <v>17</v>
      </c>
      <c r="B12" s="81">
        <f ca="1">McNeese!B12+Nicholls!B12+NwSU!B12+SLU!B12+LaTech!B12+ULL!B12+ULM!B12+'UL BOS'!B12+Grambling!B12</f>
        <v>15968990</v>
      </c>
      <c r="C12" s="81">
        <f ca="1">McNeese!C12+Nicholls!C12+NwSU!C12+SLU!C12+LaTech!C12+ULL!C12+ULM!C12+'UL BOS'!C12+Grambling!C12</f>
        <v>16464401</v>
      </c>
      <c r="D12" s="81">
        <f ca="1">McNeese!D12+Nicholls!D12+NwSU!D12+SLU!D12+LaTech!D12+ULL!D12+ULM!D12+'UL BOS'!D12+Grambling!D12</f>
        <v>14243933</v>
      </c>
      <c r="E12" s="79">
        <f t="shared" si="1"/>
        <v>-1725057</v>
      </c>
      <c r="F12" s="323">
        <f t="shared" si="0"/>
        <v>-0.10802542928513324</v>
      </c>
    </row>
    <row r="13" spans="1:10" ht="34.5">
      <c r="A13" s="57" t="s">
        <v>18</v>
      </c>
      <c r="B13" s="81">
        <f ca="1">McNeese!B13+Nicholls!B13+NwSU!B13+SLU!B13+LaTech!B13+ULL!B13+ULM!B13+'UL BOS'!B13+Grambling!B13</f>
        <v>0</v>
      </c>
      <c r="C13" s="81">
        <f ca="1">McNeese!C13+Nicholls!C13+NwSU!C13+SLU!C13+LaTech!C13+ULL!C13+ULM!C13+'UL BOS'!C13+Grambling!C13</f>
        <v>0</v>
      </c>
      <c r="D13" s="81">
        <f ca="1">McNeese!D13+Nicholls!D13+NwSU!D13+SLU!D13+LaTech!D13+ULL!D13+ULM!D13+'UL BOS'!D13+Grambling!D13</f>
        <v>0</v>
      </c>
      <c r="E13" s="79">
        <f t="shared" si="1"/>
        <v>0</v>
      </c>
      <c r="F13" s="323">
        <f t="shared" si="0"/>
        <v>0</v>
      </c>
    </row>
    <row r="14" spans="1:10" ht="34.5">
      <c r="A14" s="57" t="s">
        <v>19</v>
      </c>
      <c r="B14" s="81">
        <f ca="1">McNeese!B14+Nicholls!B14+NwSU!B14+SLU!B14+LaTech!B14+ULL!B14+ULM!B14+'UL BOS'!B14+Grambling!B14</f>
        <v>528064</v>
      </c>
      <c r="C14" s="81">
        <f ca="1">McNeese!C14+Nicholls!C14+NwSU!C14+SLU!C14+LaTech!C14+ULL!C14+ULM!C14+'UL BOS'!C14+Grambling!C14</f>
        <v>528064</v>
      </c>
      <c r="D14" s="81">
        <f ca="1">McNeese!D14+Nicholls!D14+NwSU!D14+SLU!D14+LaTech!D14+ULL!D14+ULM!D14+'UL BOS'!D14+Grambling!D14</f>
        <v>525604</v>
      </c>
      <c r="E14" s="79">
        <f t="shared" si="1"/>
        <v>-2460</v>
      </c>
      <c r="F14" s="323">
        <f t="shared" si="0"/>
        <v>-4.6585262392437278E-3</v>
      </c>
    </row>
    <row r="15" spans="1:10" ht="34.5">
      <c r="A15" s="57" t="s">
        <v>20</v>
      </c>
      <c r="B15" s="81">
        <f ca="1">McNeese!B15+Nicholls!B15+NwSU!B15+SLU!B15+LaTech!B15+ULL!B15+ULM!B15+'UL BOS'!B15+Grambling!B15</f>
        <v>0</v>
      </c>
      <c r="C15" s="81">
        <f ca="1">McNeese!C15+Nicholls!C15+NwSU!C15+SLU!C15+LaTech!C15+ULL!C15+ULM!C15+'UL BOS'!C15+Grambling!C15</f>
        <v>0</v>
      </c>
      <c r="D15" s="81">
        <f ca="1">McNeese!D15+Nicholls!D15+NwSU!D15+SLU!D15+LaTech!D15+ULL!D15+ULM!D15+'UL BOS'!D15+Grambling!D15</f>
        <v>0</v>
      </c>
      <c r="E15" s="79">
        <f t="shared" si="1"/>
        <v>0</v>
      </c>
      <c r="F15" s="323">
        <f t="shared" si="0"/>
        <v>0</v>
      </c>
    </row>
    <row r="16" spans="1:10" ht="34.5">
      <c r="A16" s="57" t="s">
        <v>21</v>
      </c>
      <c r="B16" s="81">
        <f ca="1">McNeese!B16+Nicholls!B16+NwSU!B16+SLU!B16+LaTech!B16+ULL!B16+ULM!B16+'UL BOS'!B16+Grambling!B16</f>
        <v>0</v>
      </c>
      <c r="C16" s="81">
        <f ca="1">McNeese!C16+Nicholls!C16+NwSU!C16+SLU!C16+LaTech!C16+ULL!C16+ULM!C16+'UL BOS'!C16+Grambling!C16</f>
        <v>0</v>
      </c>
      <c r="D16" s="81">
        <f ca="1">McNeese!D16+Nicholls!D16+NwSU!D16+SLU!D16+LaTech!D16+ULL!D16+ULM!D16+'UL BOS'!D16+Grambling!D16</f>
        <v>0</v>
      </c>
      <c r="E16" s="79">
        <f t="shared" si="1"/>
        <v>0</v>
      </c>
      <c r="F16" s="323">
        <f t="shared" si="0"/>
        <v>0</v>
      </c>
    </row>
    <row r="17" spans="1:6" ht="34.5">
      <c r="A17" s="57" t="s">
        <v>22</v>
      </c>
      <c r="B17" s="81">
        <f ca="1">McNeese!B17+Nicholls!B17+NwSU!B17+SLU!B17+LaTech!B17+ULL!B17+ULM!B17+'UL BOS'!B17+Grambling!B17</f>
        <v>0</v>
      </c>
      <c r="C17" s="81">
        <f ca="1">McNeese!C17+Nicholls!C17+NwSU!C17+SLU!C17+LaTech!C17+ULL!C17+ULM!C17+'UL BOS'!C17+Grambling!C17</f>
        <v>0</v>
      </c>
      <c r="D17" s="81">
        <f ca="1">McNeese!D17+Nicholls!D17+NwSU!D17+SLU!D17+LaTech!D17+ULL!D17+ULM!D17+'UL BOS'!D17+Grambling!D17</f>
        <v>0</v>
      </c>
      <c r="E17" s="79">
        <f t="shared" si="1"/>
        <v>0</v>
      </c>
      <c r="F17" s="323">
        <f t="shared" si="0"/>
        <v>0</v>
      </c>
    </row>
    <row r="18" spans="1:6" ht="34.5">
      <c r="A18" s="57" t="s">
        <v>23</v>
      </c>
      <c r="B18" s="81">
        <f ca="1">McNeese!B18+Nicholls!B18+NwSU!B18+SLU!B18+LaTech!B18+ULL!B18+ULM!B18+'UL BOS'!B18+Grambling!B18</f>
        <v>0</v>
      </c>
      <c r="C18" s="81">
        <f ca="1">McNeese!C18+Nicholls!C18+NwSU!C18+SLU!C18+LaTech!C18+ULL!C18+ULM!C18+'UL BOS'!C18+Grambling!C18</f>
        <v>0</v>
      </c>
      <c r="D18" s="81">
        <f ca="1">McNeese!D18+Nicholls!D18+NwSU!D18+SLU!D18+LaTech!D18+ULL!D18+ULM!D18+'UL BOS'!D18+Grambling!D18</f>
        <v>0</v>
      </c>
      <c r="E18" s="79">
        <f t="shared" si="1"/>
        <v>0</v>
      </c>
      <c r="F18" s="323">
        <f t="shared" si="0"/>
        <v>0</v>
      </c>
    </row>
    <row r="19" spans="1:6" ht="34.5">
      <c r="A19" s="57" t="s">
        <v>24</v>
      </c>
      <c r="B19" s="81">
        <f ca="1">McNeese!B19+Nicholls!B19+NwSU!B19+SLU!B19+LaTech!B19+ULL!B19+ULM!B19+'UL BOS'!B19+Grambling!B19</f>
        <v>0</v>
      </c>
      <c r="C19" s="81">
        <f ca="1">McNeese!C19+Nicholls!C19+NwSU!C19+SLU!C19+LaTech!C19+ULL!C19+ULM!C19+'UL BOS'!C19+Grambling!C19</f>
        <v>0</v>
      </c>
      <c r="D19" s="81">
        <f ca="1">McNeese!D19+Nicholls!D19+NwSU!D19+SLU!D19+LaTech!D19+ULL!D19+ULM!D19+'UL BOS'!D19+Grambling!D19</f>
        <v>0</v>
      </c>
      <c r="E19" s="79">
        <f t="shared" si="1"/>
        <v>0</v>
      </c>
      <c r="F19" s="323">
        <f t="shared" si="0"/>
        <v>0</v>
      </c>
    </row>
    <row r="20" spans="1:6" ht="34.5">
      <c r="A20" s="57" t="s">
        <v>25</v>
      </c>
      <c r="B20" s="81">
        <f ca="1">McNeese!B20+Nicholls!B20+NwSU!B20+SLU!B20+LaTech!B20+ULL!B20+ULM!B20+'UL BOS'!B20+Grambling!B20</f>
        <v>0</v>
      </c>
      <c r="C20" s="81">
        <f ca="1">McNeese!C20+Nicholls!C20+NwSU!C20+SLU!C20+LaTech!C20+ULL!C20+ULM!C20+'UL BOS'!C20+Grambling!C20</f>
        <v>0</v>
      </c>
      <c r="D20" s="81">
        <f ca="1">McNeese!D20+Nicholls!D20+NwSU!D20+SLU!D20+LaTech!D20+ULL!D20+ULM!D20+'UL BOS'!D20+Grambling!D20</f>
        <v>0</v>
      </c>
      <c r="E20" s="79">
        <f t="shared" si="1"/>
        <v>0</v>
      </c>
      <c r="F20" s="323">
        <f t="shared" si="0"/>
        <v>0</v>
      </c>
    </row>
    <row r="21" spans="1:6" ht="34.5">
      <c r="A21" s="57" t="s">
        <v>26</v>
      </c>
      <c r="B21" s="81">
        <f ca="1">McNeese!B21+Nicholls!B21+NwSU!B21+SLU!B21+LaTech!B21+ULL!B21+ULM!B21+'UL BOS'!B21+Grambling!B21</f>
        <v>0</v>
      </c>
      <c r="C21" s="81">
        <f ca="1">McNeese!C21+Nicholls!C21+NwSU!C21+SLU!C21+LaTech!C21+ULL!C21+ULM!C21+'UL BOS'!C21+Grambling!C21</f>
        <v>0</v>
      </c>
      <c r="D21" s="81">
        <f ca="1">McNeese!D21+Nicholls!D21+NwSU!D21+SLU!D21+LaTech!D21+ULL!D21+ULM!D21+'UL BOS'!D21+Grambling!D21</f>
        <v>0</v>
      </c>
      <c r="E21" s="79">
        <f t="shared" si="1"/>
        <v>0</v>
      </c>
      <c r="F21" s="323">
        <f t="shared" si="0"/>
        <v>0</v>
      </c>
    </row>
    <row r="22" spans="1:6" ht="34.5">
      <c r="A22" s="57" t="s">
        <v>27</v>
      </c>
      <c r="B22" s="81">
        <f ca="1">McNeese!B22+Nicholls!B22+NwSU!B22+SLU!B22+LaTech!B22+ULL!B22+ULM!B22+'UL BOS'!B22+Grambling!B22</f>
        <v>0</v>
      </c>
      <c r="C22" s="81">
        <f ca="1">McNeese!C22+Nicholls!C22+NwSU!C22+SLU!C22+LaTech!C22+ULL!C22+ULM!C22+'UL BOS'!C22+Grambling!C22</f>
        <v>0</v>
      </c>
      <c r="D22" s="81">
        <f ca="1">McNeese!D22+Nicholls!D22+NwSU!D22+SLU!D22+LaTech!D22+ULL!D22+ULM!D22+'UL BOS'!D22+Grambling!D22</f>
        <v>0</v>
      </c>
      <c r="E22" s="79">
        <f t="shared" si="1"/>
        <v>0</v>
      </c>
      <c r="F22" s="323">
        <f t="shared" si="0"/>
        <v>0</v>
      </c>
    </row>
    <row r="23" spans="1:6" ht="34.5">
      <c r="A23" s="61" t="s">
        <v>28</v>
      </c>
      <c r="B23" s="81">
        <f ca="1">McNeese!B23+Nicholls!B23+NwSU!B23+SLU!B23+LaTech!B23+ULL!B23+ULM!B23+'UL BOS'!B23+Grambling!B23</f>
        <v>0</v>
      </c>
      <c r="C23" s="81">
        <f ca="1">McNeese!C23+Nicholls!C23+NwSU!C23+SLU!C23+LaTech!C23+ULL!C23+ULM!C23+'UL BOS'!C23+Grambling!C23</f>
        <v>0</v>
      </c>
      <c r="D23" s="81">
        <f ca="1">McNeese!D23+Nicholls!D23+NwSU!D23+SLU!D23+LaTech!D23+ULL!D23+ULM!D23+'UL BOS'!D23+Grambling!D23</f>
        <v>0</v>
      </c>
      <c r="E23" s="79">
        <f t="shared" si="1"/>
        <v>0</v>
      </c>
      <c r="F23" s="323">
        <f t="shared" si="0"/>
        <v>0</v>
      </c>
    </row>
    <row r="24" spans="1:6" ht="34.5">
      <c r="A24" s="61" t="s">
        <v>91</v>
      </c>
      <c r="B24" s="81">
        <f ca="1">McNeese!B24+Nicholls!B24+NwSU!B24+SLU!B24+LaTech!B24+ULL!B24+ULM!B24+'UL BOS'!B24+Grambling!B24</f>
        <v>0</v>
      </c>
      <c r="C24" s="81">
        <f ca="1">McNeese!C24+Nicholls!C24+NwSU!C24+SLU!C24+LaTech!C24+ULL!C24+ULM!C24+'UL BOS'!C24+Grambling!C24</f>
        <v>0</v>
      </c>
      <c r="D24" s="81">
        <f ca="1">McNeese!D24+Nicholls!D24+NwSU!D24+SLU!D24+LaTech!D24+ULL!D24+ULM!D24+'UL BOS'!D24+Grambling!D24</f>
        <v>0</v>
      </c>
      <c r="E24" s="79">
        <f t="shared" si="1"/>
        <v>0</v>
      </c>
      <c r="F24" s="323">
        <f t="shared" si="0"/>
        <v>0</v>
      </c>
    </row>
    <row r="25" spans="1:6" ht="34.5">
      <c r="A25" s="61" t="s">
        <v>80</v>
      </c>
      <c r="B25" s="81">
        <f ca="1">McNeese!B25+Nicholls!B25+NwSU!B25+SLU!B25+LaTech!B25+ULL!B25+ULM!B25+'UL BOS'!B25+Grambling!B25</f>
        <v>1132500</v>
      </c>
      <c r="C25" s="81">
        <f ca="1">McNeese!C25+Nicholls!C25+NwSU!C25+SLU!C25+LaTech!C25+ULL!C25+ULM!C25+'UL BOS'!C25+Grambling!C25</f>
        <v>1132500</v>
      </c>
      <c r="D25" s="81">
        <f ca="1">McNeese!D25+Nicholls!D25+NwSU!D25+SLU!D25+LaTech!D25+ULL!D25+ULM!D25+'UL BOS'!D25+Grambling!D25</f>
        <v>0</v>
      </c>
      <c r="E25" s="79">
        <f t="shared" si="1"/>
        <v>-1132500</v>
      </c>
      <c r="F25" s="323">
        <f t="shared" si="0"/>
        <v>-1</v>
      </c>
    </row>
    <row r="26" spans="1:6" ht="35.25">
      <c r="A26" s="62" t="s">
        <v>29</v>
      </c>
      <c r="B26" s="81"/>
      <c r="C26" s="81"/>
      <c r="D26" s="81"/>
      <c r="E26" s="81"/>
      <c r="F26" s="325" t="str">
        <f>IF(ISBLANK(E26),"  ",IF(C26&gt;0,E26/C26,IF(E26&gt;0,1,0)))</f>
        <v xml:space="preserve">  </v>
      </c>
    </row>
    <row r="27" spans="1:6" ht="34.5">
      <c r="A27" s="60" t="s">
        <v>30</v>
      </c>
      <c r="B27" s="79">
        <f ca="1">McNeese!B27+Nicholls!B27+NwSU!B27+SLU!B27+LaTech!B27+ULL!B27+ULM!B26+'UL BOS'!B27+Grambling!B27</f>
        <v>0</v>
      </c>
      <c r="C27" s="79">
        <f ca="1">McNeese!C27+Nicholls!C27+NwSU!C27+SLU!C27+LaTech!C27+ULL!C27+ULM!C26+'UL BOS'!C27+Grambling!C27</f>
        <v>0</v>
      </c>
      <c r="D27" s="79">
        <f ca="1">McNeese!D27+Nicholls!D27+NwSU!D27+SLU!D27+LaTech!D27+ULL!D27+ULM!D26+'UL BOS'!D27+Grambling!D27</f>
        <v>0</v>
      </c>
      <c r="E27" s="79">
        <f>D27-B27</f>
        <v>0</v>
      </c>
      <c r="F27" s="323">
        <f>IF(ISBLANK(E27),"  ",IF(B27&gt;0,E27/B27,IF(E27&gt;0,1,0)))</f>
        <v>0</v>
      </c>
    </row>
    <row r="28" spans="1:6" ht="35.25">
      <c r="A28" s="63" t="s">
        <v>31</v>
      </c>
      <c r="B28" s="81"/>
      <c r="C28" s="81"/>
      <c r="D28" s="81"/>
      <c r="E28" s="81"/>
      <c r="F28" s="325" t="str">
        <f>IF(ISBLANK(E28),"  ",IF(C28&gt;0,E28/C28,IF(E28&gt;0,1,0)))</f>
        <v xml:space="preserve">  </v>
      </c>
    </row>
    <row r="29" spans="1:6" ht="34.5">
      <c r="A29" s="60" t="s">
        <v>30</v>
      </c>
      <c r="B29" s="82">
        <f ca="1">McNeese!B29+Nicholls!B29+NwSU!B29+SLU!B29+LaTech!B29+ULL!B29+ULM!B28+'UL BOS'!B29+Grambling!B29</f>
        <v>0</v>
      </c>
      <c r="C29" s="82">
        <f ca="1">McNeese!C29+Nicholls!C29+NwSU!C29+SLU!C29+LaTech!C29+ULL!C29+ULM!C28+'UL BOS'!C29+Grambling!C29</f>
        <v>0</v>
      </c>
      <c r="D29" s="82">
        <f ca="1">McNeese!D29+Nicholls!D29+NwSU!D29+SLU!D29+LaTech!D29+ULL!D29+ULM!D28+'UL BOS'!D29+Grambling!D29</f>
        <v>0</v>
      </c>
      <c r="E29" s="79">
        <f>D29-B29</f>
        <v>0</v>
      </c>
      <c r="F29" s="323">
        <f>IF(ISBLANK(E29),"  ",IF(B29&gt;0,E29/B29,IF(E29&gt;0,1,0)))</f>
        <v>0</v>
      </c>
    </row>
    <row r="30" spans="1:6" ht="34.5">
      <c r="A30" s="57" t="s">
        <v>32</v>
      </c>
      <c r="B30" s="81">
        <f ca="1">McNeese!B30+Nicholls!B30+NwSU!B29+SLU!B30+LaTech!B30+ULL!B30+ULM!B29+'UL BOS'!B30+Grambling!B30</f>
        <v>0</v>
      </c>
      <c r="C30" s="81">
        <f ca="1">McNeese!C30+Nicholls!C30+NwSU!C29+SLU!C30+LaTech!C30+ULL!C30+ULM!C29+'UL BOS'!C30+Grambling!C30</f>
        <v>0</v>
      </c>
      <c r="D30" s="81">
        <f ca="1">McNeese!D30+Nicholls!D30+NwSU!D29+SLU!D30+LaTech!D30+ULL!D30+ULM!D29+'UL BOS'!D30+Grambling!D30</f>
        <v>0</v>
      </c>
      <c r="E30" s="79">
        <f>D30-B30</f>
        <v>0</v>
      </c>
      <c r="F30" s="323">
        <f>IF(ISBLANK(E30),"  ",IF(B30&gt;0,E30/B30,IF(E30&gt;0,1,0)))</f>
        <v>0</v>
      </c>
    </row>
    <row r="31" spans="1:6" ht="35.25">
      <c r="A31" s="63" t="s">
        <v>33</v>
      </c>
      <c r="B31" s="83">
        <f ca="1">SUM(B8:B10,B27:B30)</f>
        <v>446857925</v>
      </c>
      <c r="C31" s="83">
        <f ca="1">SUM(C8:C10,C27:C30)</f>
        <v>447410885</v>
      </c>
      <c r="D31" s="83">
        <f ca="1">SUM(D8:D10,D27:D30)</f>
        <v>350644202</v>
      </c>
      <c r="E31" s="85">
        <f>D31-B31</f>
        <v>-96213723</v>
      </c>
      <c r="F31" s="327">
        <f>IF(ISBLANK(E31),"  ",IF(B31&gt;0,E31/B31,IF(E31&gt;0,1,0)))</f>
        <v>-0.21531166309739275</v>
      </c>
    </row>
    <row r="32" spans="1:6" ht="35.25">
      <c r="A32" s="63"/>
      <c r="B32" s="81"/>
      <c r="C32" s="81"/>
      <c r="D32" s="81"/>
      <c r="E32" s="81"/>
      <c r="F32" s="325" t="str">
        <f>IF(ISBLANK(E32),"  ",IF(C32&gt;0,E32/C32,IF(E32&gt;0,1,0)))</f>
        <v xml:space="preserve">  </v>
      </c>
    </row>
    <row r="33" spans="1:9" ht="35.25">
      <c r="A33" s="62" t="s">
        <v>34</v>
      </c>
      <c r="B33" s="84">
        <f ca="1">McNeese!B33+Nicholls!B33+NwSU!B32+SLU!B33+LaTech!B33+ULL!B33+(ULM!B33)+'UL BOS'!B33+Grambling!B33</f>
        <v>-22752</v>
      </c>
      <c r="C33" s="84">
        <f ca="1">McNeese!C33+Nicholls!C33+NwSU!C32+SLU!C33+LaTech!C33+ULL!C33+(ULM!C33*-1)+'UL BOS'!C33+Grambling!C33</f>
        <v>0</v>
      </c>
      <c r="D33" s="84">
        <f ca="1">McNeese!D33+Nicholls!D33+NwSU!D32+SLU!D33+LaTech!D33+ULL!D33+(ULM!D33*-1)+'UL BOS'!D33+Grambling!D33</f>
        <v>0</v>
      </c>
      <c r="E33" s="85">
        <f>D33-B33</f>
        <v>22752</v>
      </c>
      <c r="F33" s="327">
        <f>IF(ISBLANK(E33),"  ",IF(B33&gt;0,E33/B33,IF(E33&gt;0,1,0)))</f>
        <v>1</v>
      </c>
      <c r="I33" s="46" t="s">
        <v>35</v>
      </c>
    </row>
    <row r="34" spans="1:9" ht="35.25">
      <c r="A34" s="57" t="s">
        <v>35</v>
      </c>
      <c r="B34" s="83"/>
      <c r="C34" s="83"/>
      <c r="D34" s="83"/>
      <c r="E34" s="83"/>
      <c r="F34" s="326" t="str">
        <f>IF(ISBLANK(E34),"  ",IF(C34&gt;0,E34/C34,IF(E34&gt;0,1,0)))</f>
        <v xml:space="preserve">  </v>
      </c>
    </row>
    <row r="35" spans="1:9" ht="35.25">
      <c r="A35" s="64" t="s">
        <v>36</v>
      </c>
      <c r="B35" s="85">
        <f ca="1">McNeese!B35+Nicholls!B35+NwSU!B34+SLU!B35+LaTech!B35+ULL!B35+ULM!B35+'UL BOS'!B35+Grambling!B35</f>
        <v>6281887</v>
      </c>
      <c r="C35" s="85">
        <f ca="1">McNeese!C35+Nicholls!C35+NwSU!C34+SLU!C35+LaTech!C35+ULL!C35+ULM!C35+'UL BOS'!C35+Grambling!C35</f>
        <v>6310923</v>
      </c>
      <c r="D35" s="85">
        <f ca="1">McNeese!D35+Nicholls!D35+NwSU!D34+SLU!D35+LaTech!D35+ULL!D35+ULM!D35+'UL BOS'!D35+Grambling!D35</f>
        <v>110923</v>
      </c>
      <c r="E35" s="85">
        <f>D35-B35</f>
        <v>-6170964</v>
      </c>
      <c r="F35" s="327">
        <f>IF(ISBLANK(E35),"  ",IF(B35&gt;0,E35/B35,IF(E35&gt;0,1,0)))</f>
        <v>-0.98234240762369651</v>
      </c>
    </row>
    <row r="36" spans="1:9" ht="35.25">
      <c r="A36" s="57"/>
      <c r="B36" s="83"/>
      <c r="C36" s="83"/>
      <c r="D36" s="83"/>
      <c r="E36" s="83"/>
      <c r="F36" s="326" t="str">
        <f>IF(ISBLANK(E36),"  ",IF(C36&gt;0,E36/C36,IF(E36&gt;0,1,0)))</f>
        <v xml:space="preserve">  </v>
      </c>
    </row>
    <row r="37" spans="1:9" ht="35.25">
      <c r="A37" s="64" t="s">
        <v>88</v>
      </c>
      <c r="B37" s="85">
        <f ca="1">McNeese!B37+Nicholls!B37+NwSU!B36+SLU!B37+LaTech!B37+ULL!B37+ULM!B37+'UL BOS'!B37+Grambling!B37</f>
        <v>0</v>
      </c>
      <c r="C37" s="85">
        <f ca="1">McNeese!C37+Nicholls!C37+NwSU!C36+SLU!C37+LaTech!C37+ULL!C37+ULM!C37+'UL BOS'!C37+Grambling!C37</f>
        <v>0</v>
      </c>
      <c r="D37" s="85">
        <f ca="1">McNeese!D37+Nicholls!D37+NwSU!D36+SLU!D37+LaTech!D37+ULL!D37+ULM!D37+'UL BOS'!D37+Grambling!D37</f>
        <v>59417982</v>
      </c>
      <c r="E37" s="85">
        <f>D37-B37</f>
        <v>59417982</v>
      </c>
      <c r="F37" s="327">
        <f>IF(ISBLANK(E37),"  ",IF(B37&gt;0,E37/B37,IF(E37&gt;0,1,0)))</f>
        <v>1</v>
      </c>
    </row>
    <row r="38" spans="1:9" ht="35.25">
      <c r="A38" s="57" t="s">
        <v>35</v>
      </c>
      <c r="B38" s="83"/>
      <c r="C38" s="83"/>
      <c r="D38" s="83"/>
      <c r="E38" s="83"/>
      <c r="F38" s="326" t="str">
        <f>IF(ISBLANK(E38),"  ",IF(C38&gt;0,E38/C38,IF(E38&gt;0,1,0)))</f>
        <v xml:space="preserve">  </v>
      </c>
    </row>
    <row r="39" spans="1:9" ht="35.25">
      <c r="A39" s="62" t="s">
        <v>37</v>
      </c>
      <c r="B39" s="84">
        <f ca="1">McNeese!B39+Nicholls!B39+NwSU!B38+SLU!B39+LaTech!B39+ULL!B39+ULM!B39+'UL BOS'!B39+Grambling!B39</f>
        <v>257280558.19999999</v>
      </c>
      <c r="C39" s="84">
        <f ca="1">McNeese!C39+Nicholls!C39+NwSU!C38+SLU!C39+LaTech!C39+ULL!C39+ULM!C39+'UL BOS'!C39+Grambling!C39</f>
        <v>279820551</v>
      </c>
      <c r="D39" s="84">
        <f ca="1">McNeese!D39+Nicholls!D39+NwSU!D38+SLU!D39+LaTech!D39+ULL!D39+ULM!D39+'UL BOS'!D39+Grambling!D39</f>
        <v>296219180</v>
      </c>
      <c r="E39" s="85">
        <f>D39-B39</f>
        <v>38938621.800000012</v>
      </c>
      <c r="F39" s="327">
        <f>IF(ISBLANK(E39),"  ",IF(B39&gt;0,E39/B39,IF(E39&gt;0,1,0)))</f>
        <v>0.15134692676517994</v>
      </c>
    </row>
    <row r="40" spans="1:9" ht="35.25">
      <c r="A40" s="57" t="s">
        <v>35</v>
      </c>
      <c r="B40" s="83"/>
      <c r="C40" s="83"/>
      <c r="D40" s="83"/>
      <c r="E40" s="83"/>
      <c r="F40" s="326" t="str">
        <f>IF(ISBLANK(E40),"  ",IF(C40&gt;0,E40/C40,IF(E40&gt;0,1,0)))</f>
        <v xml:space="preserve">  </v>
      </c>
    </row>
    <row r="41" spans="1:9" ht="35.25">
      <c r="A41" s="62" t="s">
        <v>38</v>
      </c>
      <c r="B41" s="84">
        <f ca="1">McNeese!B41+Nicholls!B41+NwSU!B40+SLU!B41+LaTech!B41+ULL!B41+ULM!B41+'UL BOS'!B41+Grambling!B41</f>
        <v>0</v>
      </c>
      <c r="C41" s="84">
        <f ca="1">McNeese!C41+Nicholls!C41+NwSU!C40+SLU!C41+LaTech!C41+ULL!C41+ULM!C41+'UL BOS'!C41+Grambling!C41</f>
        <v>0</v>
      </c>
      <c r="D41" s="84">
        <f ca="1">McNeese!D41+Nicholls!D41+NwSU!D40+SLU!D41+LaTech!D41+ULL!D41+ULM!D41+'UL BOS'!D41+Grambling!D41</f>
        <v>0</v>
      </c>
      <c r="E41" s="85">
        <f>D41-B41</f>
        <v>0</v>
      </c>
      <c r="F41" s="327">
        <f>IF(ISBLANK(E41),"  ",IF(B41&gt;0,E41/B41,IF(E41&gt;0,1,0)))</f>
        <v>0</v>
      </c>
    </row>
    <row r="42" spans="1:9" ht="35.25">
      <c r="A42" s="57"/>
      <c r="B42" s="83"/>
      <c r="C42" s="83"/>
      <c r="D42" s="83"/>
      <c r="E42" s="83"/>
      <c r="F42" s="326" t="str">
        <f>IF(ISBLANK(E42),"  ",IF(C42&gt;0,E42/C42,IF(E42&gt;0,1,0)))</f>
        <v xml:space="preserve">  </v>
      </c>
    </row>
    <row r="43" spans="1:9" ht="35.25">
      <c r="A43" s="55" t="s">
        <v>75</v>
      </c>
      <c r="B43" s="86">
        <v>0</v>
      </c>
      <c r="C43" s="86">
        <v>0</v>
      </c>
      <c r="D43" s="86">
        <v>0</v>
      </c>
      <c r="E43" s="85">
        <f>D43-B43</f>
        <v>0</v>
      </c>
      <c r="F43" s="327">
        <f>IF(ISBLANK(E43),"  ",IF(B43&gt;0,E43/B43,IF(E43&gt;0,1,0)))</f>
        <v>0</v>
      </c>
    </row>
    <row r="44" spans="1:9" ht="34.5">
      <c r="A44" s="65"/>
      <c r="B44" s="87"/>
      <c r="C44" s="87"/>
      <c r="D44" s="87"/>
      <c r="E44" s="87"/>
      <c r="F44" s="328" t="str">
        <f>IF(ISBLANK(E44),"  ",IF(C44&gt;0,E44/C44,IF(E44&gt;0,1,0)))</f>
        <v xml:space="preserve">  </v>
      </c>
    </row>
    <row r="45" spans="1:9" ht="35.25">
      <c r="A45" s="100" t="s">
        <v>39</v>
      </c>
      <c r="B45" s="109">
        <f>SUM(B43,B41,B39,B35,B33,B31)</f>
        <v>710397618.20000005</v>
      </c>
      <c r="C45" s="109">
        <f>SUM(C43,C41,C39,C35,C33,C31)</f>
        <v>733542359</v>
      </c>
      <c r="D45" s="109">
        <f>SUM(D43,D41,D39,D35,D33,D31,D37)</f>
        <v>706392287</v>
      </c>
      <c r="E45" s="85">
        <f>D45-B45</f>
        <v>-4005331.2000000477</v>
      </c>
      <c r="F45" s="327">
        <f>IF(ISBLANK(E45),"  ",IF(B45&gt;0,E45/B45,IF(E45&gt;0,1,0)))</f>
        <v>-5.6381540385069488E-3</v>
      </c>
    </row>
    <row r="46" spans="1:9" ht="35.25">
      <c r="A46" s="55"/>
      <c r="B46" s="88"/>
      <c r="C46" s="88"/>
      <c r="D46" s="88"/>
      <c r="E46" s="88"/>
      <c r="F46" s="329" t="str">
        <f>IF(ISBLANK(E46),"  ",IF(C46&gt;0,E46/C46,IF(E46&gt;0,1,0)))</f>
        <v xml:space="preserve">  </v>
      </c>
    </row>
    <row r="47" spans="1:9" ht="34.5">
      <c r="A47" s="60"/>
      <c r="B47" s="82"/>
      <c r="C47" s="82"/>
      <c r="D47" s="82"/>
      <c r="E47" s="82"/>
      <c r="F47" s="330" t="str">
        <f>IF(ISBLANK(E47),"  ",IF(C47&gt;0,E47/C47,IF(E47&gt;0,1,0)))</f>
        <v xml:space="preserve">  </v>
      </c>
    </row>
    <row r="48" spans="1:9" ht="35.25">
      <c r="A48" s="101" t="s">
        <v>40</v>
      </c>
      <c r="B48" s="102"/>
      <c r="C48" s="102"/>
      <c r="D48" s="102"/>
      <c r="E48" s="82"/>
      <c r="F48" s="333" t="str">
        <f>IF(ISBLANK(E48),"  ",IF(C48&gt;0,E48/C48,IF(E48&gt;0,1,0)))</f>
        <v xml:space="preserve">  </v>
      </c>
    </row>
    <row r="49" spans="1:6" ht="34.5">
      <c r="A49" s="60" t="s">
        <v>41</v>
      </c>
      <c r="B49" s="82">
        <f ca="1">McNeese!B47+Nicholls!B47+NwSU!B47+SLU!B47+LaTech!B47+ULL!B47+ULM!B47+'UL BOS'!B47+Grambling!B49</f>
        <v>302562164.18000001</v>
      </c>
      <c r="C49" s="82">
        <f ca="1">McNeese!C47+Nicholls!C47+NwSU!C47+SLU!C47+LaTech!C47+ULL!C47+ULM!C47+'UL BOS'!C47+Grambling!C49</f>
        <v>321270314</v>
      </c>
      <c r="D49" s="82">
        <f ca="1">McNeese!D47+Nicholls!D47+NwSU!D47+SLU!D47+LaTech!D47+ULL!D47+ULM!D47+'UL BOS'!D47+Grambling!D49</f>
        <v>315083514.08096153</v>
      </c>
      <c r="E49" s="79">
        <f t="shared" ref="E49:E62" si="2">D49-B49</f>
        <v>12521349.900961518</v>
      </c>
      <c r="F49" s="323">
        <f t="shared" ref="F49:F62" si="3">IF(ISBLANK(E49),"  ",IF(B49&gt;0,E49/B49,IF(E49&gt;0,1,0)))</f>
        <v>4.1384387684087059E-2</v>
      </c>
    </row>
    <row r="50" spans="1:6" ht="34.5">
      <c r="A50" s="57" t="s">
        <v>42</v>
      </c>
      <c r="B50" s="81">
        <f ca="1">McNeese!B48+Nicholls!B48+NwSU!B48+SLU!B48+LaTech!B48+ULL!B48+ULM!B48+'UL BOS'!B48+Grambling!B50</f>
        <v>42177711.129999995</v>
      </c>
      <c r="C50" s="81">
        <f ca="1">McNeese!C48+Nicholls!C48+NwSU!C48+SLU!C48+LaTech!C48+ULL!C48+ULM!C48+'UL BOS'!C48+Grambling!C50</f>
        <v>42104479</v>
      </c>
      <c r="D50" s="81">
        <f ca="1">McNeese!D48+Nicholls!D48+NwSU!D48+SLU!D48+LaTech!D48+ULL!D48+ULM!D48+'UL BOS'!D48+Grambling!D50</f>
        <v>41190342.299999997</v>
      </c>
      <c r="E50" s="79">
        <f t="shared" si="2"/>
        <v>-987368.82999999821</v>
      </c>
      <c r="F50" s="323">
        <f t="shared" si="3"/>
        <v>-2.3409730010164217E-2</v>
      </c>
    </row>
    <row r="51" spans="1:6" ht="34.5">
      <c r="A51" s="57" t="s">
        <v>43</v>
      </c>
      <c r="B51" s="81">
        <f ca="1">McNeese!B49+Nicholls!B49+NwSU!B49+SLU!B49+LaTech!B49+ULL!B49+ULM!B49+'UL BOS'!B49+Grambling!B51</f>
        <v>4793902</v>
      </c>
      <c r="C51" s="81">
        <f ca="1">McNeese!C49+Nicholls!C49+NwSU!C49+SLU!C49+LaTech!C49+ULL!C49+ULM!C49+'UL BOS'!C49+Grambling!C51</f>
        <v>4868668</v>
      </c>
      <c r="D51" s="81">
        <f ca="1">McNeese!D49+Nicholls!D49+NwSU!D49+SLU!D49+LaTech!D49+ULL!D49+ULM!D49+'UL BOS'!D49+Grambling!D51</f>
        <v>3490792.21</v>
      </c>
      <c r="E51" s="79">
        <f t="shared" si="2"/>
        <v>-1303109.79</v>
      </c>
      <c r="F51" s="323">
        <f t="shared" si="3"/>
        <v>-0.27182653921586214</v>
      </c>
    </row>
    <row r="52" spans="1:6" ht="34.5">
      <c r="A52" s="57" t="s">
        <v>44</v>
      </c>
      <c r="B52" s="81">
        <f ca="1">McNeese!B50+Nicholls!B50+NwSU!B50+SLU!B50+LaTech!B50+ULL!B50+ULM!B50+'UL BOS'!B50+Grambling!B52</f>
        <v>65235203.170000002</v>
      </c>
      <c r="C52" s="81">
        <f ca="1">McNeese!C50+Nicholls!C50+NwSU!C50+SLU!C50+LaTech!C50+ULL!C50+ULM!C50+'UL BOS'!C50+Grambling!C52</f>
        <v>68060065</v>
      </c>
      <c r="D52" s="81">
        <f ca="1">McNeese!D50+Nicholls!D50+NwSU!D50+SLU!D50+LaTech!D50+ULL!D50+ULM!D50+'UL BOS'!D50+Grambling!D52</f>
        <v>66355765.819038466</v>
      </c>
      <c r="E52" s="79">
        <f t="shared" si="2"/>
        <v>1120562.6490384638</v>
      </c>
      <c r="F52" s="323">
        <f t="shared" si="3"/>
        <v>1.7177269244005082E-2</v>
      </c>
    </row>
    <row r="53" spans="1:6" ht="34.5">
      <c r="A53" s="57" t="s">
        <v>45</v>
      </c>
      <c r="B53" s="81">
        <f ca="1">McNeese!B51+Nicholls!B51+NwSU!B51+SLU!B51+LaTech!B51+ULL!B51+ULM!B51+'UL BOS'!B51+Grambling!B53</f>
        <v>37444897.68</v>
      </c>
      <c r="C53" s="81">
        <f ca="1">McNeese!C51+Nicholls!C51+NwSU!C51+SLU!C51+LaTech!C51+ULL!C51+ULM!C51+'UL BOS'!C51+Grambling!C53</f>
        <v>40173208</v>
      </c>
      <c r="D53" s="81">
        <f ca="1">McNeese!D51+Nicholls!D51+NwSU!D51+SLU!D51+LaTech!D51+ULL!D51+ULM!D51+'UL BOS'!D51+Grambling!D53</f>
        <v>37172770.740000002</v>
      </c>
      <c r="E53" s="79">
        <f t="shared" si="2"/>
        <v>-272126.93999999762</v>
      </c>
      <c r="F53" s="323">
        <f t="shared" si="3"/>
        <v>-7.2673970783834075E-3</v>
      </c>
    </row>
    <row r="54" spans="1:6" ht="34.5">
      <c r="A54" s="57" t="s">
        <v>74</v>
      </c>
      <c r="B54" s="81">
        <f ca="1">McNeese!B52+Nicholls!B52+NwSU!B52+SLU!B52+LaTech!B52+ULL!B52+ULM!B52+'UL BOS'!B52+Grambling!B54</f>
        <v>94555853.299999997</v>
      </c>
      <c r="C54" s="81">
        <f ca="1">McNeese!C52+Nicholls!C52+NwSU!C52+SLU!C52+LaTech!C52+ULL!C52+ULM!C52+'UL BOS'!C52+Grambling!C54</f>
        <v>95661711</v>
      </c>
      <c r="D54" s="81">
        <f ca="1">McNeese!D52+Nicholls!D52+NwSU!D52+SLU!D52+LaTech!D52+ULL!D52+ULM!D52+'UL BOS'!D52+Grambling!D54</f>
        <v>88911484.66884616</v>
      </c>
      <c r="E54" s="79">
        <f t="shared" si="2"/>
        <v>-5644368.6311538368</v>
      </c>
      <c r="F54" s="323">
        <f t="shared" si="3"/>
        <v>-5.969348733225209E-2</v>
      </c>
    </row>
    <row r="55" spans="1:6" ht="34.5">
      <c r="A55" s="65" t="s">
        <v>46</v>
      </c>
      <c r="B55" s="81">
        <f ca="1">McNeese!B53+Nicholls!B53+NwSU!B53+SLU!B53+LaTech!B53+ULL!B53+ULM!B53+'UL BOS'!B53+Grambling!B55</f>
        <v>43483031.18</v>
      </c>
      <c r="C55" s="81">
        <f ca="1">McNeese!C53+Nicholls!C53+NwSU!C53+SLU!C53+LaTech!C53+ULL!C53+ULM!C53+'UL BOS'!C53+Grambling!C55</f>
        <v>43860854</v>
      </c>
      <c r="D55" s="81">
        <f ca="1">McNeese!D53+Nicholls!D53+NwSU!D53+SLU!D53+LaTech!D53+ULL!D53+ULM!D53+'UL BOS'!D53+Grambling!D55</f>
        <v>45545549</v>
      </c>
      <c r="E55" s="79">
        <f t="shared" si="2"/>
        <v>2062517.8200000003</v>
      </c>
      <c r="F55" s="323">
        <f t="shared" si="3"/>
        <v>4.7432705679190425E-2</v>
      </c>
    </row>
    <row r="56" spans="1:6" ht="34.5">
      <c r="A56" s="57" t="s">
        <v>47</v>
      </c>
      <c r="B56" s="81">
        <f ca="1">McNeese!B54+Nicholls!B54+NwSU!B54+SLU!B54+LaTech!B54+ULL!B54+ULM!B54+'UL BOS'!B54+Grambling!B56</f>
        <v>80057238.49000001</v>
      </c>
      <c r="C56" s="81">
        <f ca="1">McNeese!C54+Nicholls!C54+NwSU!C54+SLU!C54+LaTech!C54+ULL!C54+ULM!C54+'UL BOS'!C54+Grambling!C56</f>
        <v>79985121</v>
      </c>
      <c r="D56" s="81">
        <f ca="1">McNeese!D54+Nicholls!D54+NwSU!D54+SLU!D54+LaTech!D54+ULL!D54+ULM!D54+'UL BOS'!D54+Grambling!D56</f>
        <v>75987418.629999995</v>
      </c>
      <c r="E56" s="79">
        <f t="shared" si="2"/>
        <v>-4069819.8600000143</v>
      </c>
      <c r="F56" s="323">
        <f t="shared" si="3"/>
        <v>-5.083637578266427E-2</v>
      </c>
    </row>
    <row r="57" spans="1:6" ht="35.25">
      <c r="A57" s="63" t="s">
        <v>48</v>
      </c>
      <c r="B57" s="83">
        <f ca="1">SUM(B49:B56)</f>
        <v>670310001.13</v>
      </c>
      <c r="C57" s="83">
        <f ca="1">SUM(C49:C56)</f>
        <v>695984420</v>
      </c>
      <c r="D57" s="83">
        <f ca="1">SUM(D49:D56)</f>
        <v>673737637.4488461</v>
      </c>
      <c r="E57" s="85">
        <f t="shared" si="2"/>
        <v>3427636.3188461065</v>
      </c>
      <c r="F57" s="327">
        <f t="shared" si="3"/>
        <v>5.1135091421399669E-3</v>
      </c>
    </row>
    <row r="58" spans="1:6" ht="34.5">
      <c r="A58" s="57" t="s">
        <v>49</v>
      </c>
      <c r="B58" s="81">
        <f ca="1">McNeese!B56+Nicholls!B56+NwSU!B56+SLU!B56+LaTech!B56+ULL!B56+ULM!B56+'UL BOS'!B56+Grambling!B58</f>
        <v>0</v>
      </c>
      <c r="C58" s="81">
        <f ca="1">McNeese!C56+Nicholls!C56+NwSU!C56+SLU!C56+LaTech!C56+ULL!C56+ULM!C56+'UL BOS'!C56+Grambling!C58</f>
        <v>0</v>
      </c>
      <c r="D58" s="81">
        <f ca="1">McNeese!D56+Nicholls!D56+NwSU!D56+SLU!D56+LaTech!D56+ULL!D56+ULM!D56+'UL BOS'!D56+Grambling!D58</f>
        <v>0</v>
      </c>
      <c r="E58" s="79">
        <f t="shared" si="2"/>
        <v>0</v>
      </c>
      <c r="F58" s="323">
        <f t="shared" si="3"/>
        <v>0</v>
      </c>
    </row>
    <row r="59" spans="1:6" ht="34.5">
      <c r="A59" s="57" t="s">
        <v>50</v>
      </c>
      <c r="B59" s="81">
        <f ca="1">McNeese!B57+Nicholls!B57+NwSU!B57+SLU!B57+LaTech!B57+ULL!B57+ULM!B57+'UL BOS'!B57+Grambling!B59</f>
        <v>2230993</v>
      </c>
      <c r="C59" s="81">
        <v>2339058</v>
      </c>
      <c r="D59" s="81">
        <f ca="1">McNeese!D57+Nicholls!D57+NwSU!D57+SLU!D57+LaTech!D57+ULL!D57+ULM!D57+'UL BOS'!D57+Grambling!D59</f>
        <v>2328049</v>
      </c>
      <c r="E59" s="79">
        <f t="shared" si="2"/>
        <v>97056</v>
      </c>
      <c r="F59" s="323">
        <f t="shared" si="3"/>
        <v>4.3503498218058059E-2</v>
      </c>
    </row>
    <row r="60" spans="1:6" ht="34.5">
      <c r="A60" s="111" t="s">
        <v>51</v>
      </c>
      <c r="B60" s="112">
        <f ca="1">McNeese!B58+Nicholls!B58+NwSU!B58+SLU!B58+LaTech!B58+ULL!B58+ULM!B58+'UL BOS'!B58+Grambling!B60</f>
        <v>36484338</v>
      </c>
      <c r="C60" s="112">
        <f ca="1">McNeese!C58+Nicholls!C58+NwSU!C58+SLU!C58+LaTech!C58+ULL!C58+ULM!C58+'UL BOS'!C58+Grambling!C60</f>
        <v>33670129</v>
      </c>
      <c r="D60" s="112">
        <f ca="1">McNeese!D58+Nicholls!D58+NwSU!D58+SLU!D58+LaTech!D58+ULL!D58+ULM!D58+'UL BOS'!D58+Grambling!D60</f>
        <v>28948495</v>
      </c>
      <c r="E60" s="79">
        <f t="shared" si="2"/>
        <v>-7535843</v>
      </c>
      <c r="F60" s="323">
        <f t="shared" si="3"/>
        <v>-0.20655008184607873</v>
      </c>
    </row>
    <row r="61" spans="1:6" ht="34.5">
      <c r="A61" s="104" t="s">
        <v>52</v>
      </c>
      <c r="B61" s="105">
        <f ca="1">McNeese!B59+Nicholls!B59+NwSU!B59+SLU!B59+LaTech!B59+ULL!B59+ULM!B59+'UL BOS'!B59+Grambling!B61</f>
        <v>1372286.37</v>
      </c>
      <c r="C61" s="105">
        <f ca="1">McNeese!C59+Nicholls!C59+NwSU!C59+SLU!C59+LaTech!C59+ULL!C59+ULM!C59+'UL BOS'!C59+Grambling!C61</f>
        <v>1553752</v>
      </c>
      <c r="D61" s="105">
        <f ca="1">McNeese!D59+Nicholls!D59+NwSU!D59+SLU!D59+LaTech!D59+ULL!D59+ULM!D59+'UL BOS'!D59+Grambling!D61</f>
        <v>1378106</v>
      </c>
      <c r="E61" s="79">
        <f t="shared" si="2"/>
        <v>5819.6299999998882</v>
      </c>
      <c r="F61" s="323">
        <f t="shared" si="3"/>
        <v>4.2408276633979008E-3</v>
      </c>
    </row>
    <row r="62" spans="1:6" ht="35.25">
      <c r="A62" s="106" t="s">
        <v>53</v>
      </c>
      <c r="B62" s="110">
        <f>SUM(B57:B61)</f>
        <v>710397618.5</v>
      </c>
      <c r="C62" s="110">
        <f>SUM(C57:C61)</f>
        <v>733547359</v>
      </c>
      <c r="D62" s="110">
        <f>SUM(D57:D61)</f>
        <v>706392287.4488461</v>
      </c>
      <c r="E62" s="85">
        <f t="shared" si="2"/>
        <v>-4005331.0511538982</v>
      </c>
      <c r="F62" s="327">
        <f t="shared" si="3"/>
        <v>-5.6381538266008398E-3</v>
      </c>
    </row>
    <row r="63" spans="1:6" ht="34.5">
      <c r="A63" s="107"/>
      <c r="B63" s="108"/>
      <c r="C63" s="108"/>
      <c r="D63" s="108"/>
      <c r="E63" s="108"/>
      <c r="F63" s="334" t="str">
        <f>IF(ISBLANK(E63),"  ",IF(C63&gt;0,E63/C63,IF(E63&gt;0,1,0)))</f>
        <v xml:space="preserve">  </v>
      </c>
    </row>
    <row r="64" spans="1:6" ht="35.25">
      <c r="A64" s="62" t="s">
        <v>54</v>
      </c>
      <c r="B64" s="82"/>
      <c r="C64" s="82"/>
      <c r="D64" s="82"/>
      <c r="E64" s="82"/>
      <c r="F64" s="330" t="str">
        <f>IF(ISBLANK(E64),"  ",IF(C64&gt;0,E64/C64,IF(E64&gt;0,1,0)))</f>
        <v xml:space="preserve">  </v>
      </c>
    </row>
    <row r="65" spans="1:6" ht="34.5">
      <c r="A65" s="57" t="s">
        <v>55</v>
      </c>
      <c r="B65" s="81">
        <f ca="1">McNeese!B63+Nicholls!B63+NwSU!B63+SLU!B63+LaTech!B63+ULL!B63+ULM!B63+'UL BOS'!B63+Grambling!B65</f>
        <v>387685967.80000001</v>
      </c>
      <c r="C65" s="81">
        <f ca="1">McNeese!C63+Nicholls!C63+NwSU!C63+SLU!C63+LaTech!C63+ULL!C63+ULM!C63+'UL BOS'!C63+Grambling!C65</f>
        <v>396093775</v>
      </c>
      <c r="D65" s="81">
        <f ca="1">McNeese!D63+Nicholls!D63+NwSU!D63+SLU!D63+LaTech!D63+ULL!D63+ULM!D63+'UL BOS'!D63+Grambling!D65</f>
        <v>383506484.8230769</v>
      </c>
      <c r="E65" s="80">
        <f t="shared" ref="E65:E82" si="4">D65-B65</f>
        <v>-4179482.9769231081</v>
      </c>
      <c r="F65" s="324">
        <f t="shared" ref="F65:F82" si="5">IF(ISBLANK(E65),"  ",IF(B65&gt;0,E65/B65,IF(E65&gt;0,1,0)))</f>
        <v>-1.078058873433156E-2</v>
      </c>
    </row>
    <row r="66" spans="1:6" ht="34.5">
      <c r="A66" s="65" t="s">
        <v>56</v>
      </c>
      <c r="B66" s="87">
        <f ca="1">McNeese!B64+Nicholls!B64+NwSU!B64+SLU!B64+LaTech!B64+ULL!B64+ULM!B64+'UL BOS'!B64+Grambling!B66</f>
        <v>7250141.2999999998</v>
      </c>
      <c r="C66" s="87">
        <f ca="1">McNeese!C64+Nicholls!C64+NwSU!C64+SLU!C64+LaTech!C64+ULL!C64+ULM!C64+'UL BOS'!C64+Grambling!C66</f>
        <v>8191586</v>
      </c>
      <c r="D66" s="87">
        <f ca="1">McNeese!D64+Nicholls!D64+NwSU!D64+SLU!D64+LaTech!D64+ULL!D64+ULM!D64+'UL BOS'!D64+Grambling!D66</f>
        <v>7423172</v>
      </c>
      <c r="E66" s="79">
        <f t="shared" si="4"/>
        <v>173030.70000000019</v>
      </c>
      <c r="F66" s="323">
        <f t="shared" si="5"/>
        <v>2.3865838311316799E-2</v>
      </c>
    </row>
    <row r="67" spans="1:6" ht="34.5">
      <c r="A67" s="57" t="s">
        <v>57</v>
      </c>
      <c r="B67" s="81">
        <f ca="1">McNeese!B65+Nicholls!B65+NwSU!B65+SLU!B65+LaTech!B65+ULL!B65+ULM!B65+'UL BOS'!B65+Grambling!B67</f>
        <v>114503410.17</v>
      </c>
      <c r="C67" s="81">
        <f ca="1">McNeese!C65+Nicholls!C65+NwSU!C65+SLU!C65+LaTech!C65+ULL!C65+ULM!C65+'UL BOS'!C65+Grambling!C67</f>
        <v>119993624</v>
      </c>
      <c r="D67" s="81">
        <f ca="1">McNeese!D65+Nicholls!D65+NwSU!D65+SLU!D65+LaTech!D65+ULL!D65+ULM!D65+'UL BOS'!D65+Grambling!D67</f>
        <v>121771057.93576923</v>
      </c>
      <c r="E67" s="79">
        <f t="shared" si="4"/>
        <v>7267647.7657692283</v>
      </c>
      <c r="F67" s="323">
        <f t="shared" si="5"/>
        <v>6.3471015884847062E-2</v>
      </c>
    </row>
    <row r="68" spans="1:6" ht="35.25">
      <c r="A68" s="63" t="s">
        <v>58</v>
      </c>
      <c r="B68" s="83">
        <f ca="1">SUM(B65:B67)</f>
        <v>509439519.27000004</v>
      </c>
      <c r="C68" s="83">
        <f ca="1">SUM(C65:C67)</f>
        <v>524278985</v>
      </c>
      <c r="D68" s="83">
        <f ca="1">SUM(D65:D67)</f>
        <v>512700714.75884616</v>
      </c>
      <c r="E68" s="85">
        <f t="shared" si="4"/>
        <v>3261195.4888461232</v>
      </c>
      <c r="F68" s="327">
        <f t="shared" si="5"/>
        <v>6.4015361303717553E-3</v>
      </c>
    </row>
    <row r="69" spans="1:6" ht="34.5">
      <c r="A69" s="57" t="s">
        <v>59</v>
      </c>
      <c r="B69" s="81">
        <f ca="1">McNeese!B67+Nicholls!B67+NwSU!B67+SLU!B67+LaTech!B67+ULL!B67+ULM!B67+'UL BOS'!B67+Grambling!B69</f>
        <v>3843899.63</v>
      </c>
      <c r="C69" s="81">
        <f ca="1">McNeese!C67+Nicholls!C67+NwSU!C67+SLU!C67+LaTech!C67+ULL!C67+ULM!C67+'UL BOS'!C67+Grambling!C69</f>
        <v>4539240</v>
      </c>
      <c r="D69" s="81">
        <f ca="1">McNeese!D67+Nicholls!D67+NwSU!D67+SLU!D67+LaTech!D67+ULL!D67+ULM!D67+'UL BOS'!D67+Grambling!D69</f>
        <v>3714783</v>
      </c>
      <c r="E69" s="79">
        <f t="shared" si="4"/>
        <v>-129116.62999999989</v>
      </c>
      <c r="F69" s="323">
        <f t="shared" si="5"/>
        <v>-3.3590010777674727E-2</v>
      </c>
    </row>
    <row r="70" spans="1:6" ht="34.5">
      <c r="A70" s="57" t="s">
        <v>60</v>
      </c>
      <c r="B70" s="81">
        <f ca="1">McNeese!B68+Nicholls!B68+NwSU!B68+SLU!B68+LaTech!B68+ULL!B68+ULM!B68+'UL BOS'!B68+Grambling!B70</f>
        <v>54214950.120000005</v>
      </c>
      <c r="C70" s="81">
        <f ca="1">McNeese!C68+Nicholls!C68+NwSU!C68+SLU!C68+LaTech!C68+ULL!C68+ULM!C68+'UL BOS'!C68+Grambling!C70</f>
        <v>55542026</v>
      </c>
      <c r="D70" s="81">
        <f ca="1">McNeese!D68+Nicholls!D68+NwSU!D68+SLU!D68+LaTech!D68+ULL!D68+ULM!D68+'UL BOS'!D68+Grambling!D70</f>
        <v>57993304</v>
      </c>
      <c r="E70" s="79">
        <f t="shared" si="4"/>
        <v>3778353.8799999952</v>
      </c>
      <c r="F70" s="323">
        <f t="shared" si="5"/>
        <v>6.9692102854230109E-2</v>
      </c>
    </row>
    <row r="71" spans="1:6" ht="34.5">
      <c r="A71" s="57" t="s">
        <v>61</v>
      </c>
      <c r="B71" s="81">
        <f ca="1">McNeese!B69+Nicholls!B69+NwSU!B69+SLU!B69+LaTech!B69+ULL!B69+ULM!B69+'UL BOS'!B69+Grambling!B71</f>
        <v>11808827.280000001</v>
      </c>
      <c r="C71" s="81">
        <f ca="1">McNeese!C69+Nicholls!C69+NwSU!C69+SLU!C69+LaTech!C69+ULL!C69+ULM!C69+'UL BOS'!C69+Grambling!C71</f>
        <v>12657247</v>
      </c>
      <c r="D71" s="81">
        <f ca="1">McNeese!D69+Nicholls!D69+NwSU!D69+SLU!D69+LaTech!D69+ULL!D69+ULM!D69+'UL BOS'!D69+Grambling!D71</f>
        <v>11544656</v>
      </c>
      <c r="E71" s="79">
        <f t="shared" si="4"/>
        <v>-264171.28000000119</v>
      </c>
      <c r="F71" s="323">
        <f t="shared" si="5"/>
        <v>-2.237066168690725E-2</v>
      </c>
    </row>
    <row r="72" spans="1:6" ht="35.25">
      <c r="A72" s="63" t="s">
        <v>62</v>
      </c>
      <c r="B72" s="83">
        <f ca="1">SUM(B69:B71)</f>
        <v>69867677.030000001</v>
      </c>
      <c r="C72" s="83">
        <f ca="1">SUM(C69:C71)</f>
        <v>72738513</v>
      </c>
      <c r="D72" s="83">
        <f ca="1">SUM(D69:D71)</f>
        <v>73252743</v>
      </c>
      <c r="E72" s="85">
        <f t="shared" si="4"/>
        <v>3385065.9699999988</v>
      </c>
      <c r="F72" s="327">
        <f t="shared" si="5"/>
        <v>4.8449671062435765E-2</v>
      </c>
    </row>
    <row r="73" spans="1:6" ht="34.5">
      <c r="A73" s="57" t="s">
        <v>63</v>
      </c>
      <c r="B73" s="81">
        <f ca="1">McNeese!B71+Nicholls!B71+NwSU!B71+SLU!B71+LaTech!B71+ULL!B71+ULM!B71+'UL BOS'!B71+Grambling!B73</f>
        <v>3920102.14</v>
      </c>
      <c r="C73" s="81">
        <f ca="1">McNeese!C71+Nicholls!C71+NwSU!C71+SLU!C71+LaTech!C71+ULL!C71+ULM!C71+'UL BOS'!C71+Grambling!C73</f>
        <v>4432546</v>
      </c>
      <c r="D73" s="81">
        <f ca="1">McNeese!D71+Nicholls!D71+NwSU!D71+SLU!D71+LaTech!D71+ULL!D71+ULM!D71+'UL BOS'!D71+Grambling!D73</f>
        <v>4128552</v>
      </c>
      <c r="E73" s="79">
        <f t="shared" si="4"/>
        <v>208449.85999999987</v>
      </c>
      <c r="F73" s="323">
        <f t="shared" si="5"/>
        <v>5.317459917001037E-2</v>
      </c>
    </row>
    <row r="74" spans="1:6" ht="34.5">
      <c r="A74" s="57" t="s">
        <v>64</v>
      </c>
      <c r="B74" s="81">
        <f ca="1">McNeese!B72+Nicholls!B72+NwSU!B72+SLU!B72+LaTech!B72+ULL!B72+ULM!B72+'UL BOS'!B72+Grambling!B74</f>
        <v>91253005.310000002</v>
      </c>
      <c r="C74" s="81">
        <f ca="1">McNeese!C72+Nicholls!C72+NwSU!C72+SLU!C72+LaTech!C72+ULL!C72+ULM!C72+'UL BOS'!C72+Grambling!C74</f>
        <v>87755391</v>
      </c>
      <c r="D74" s="81">
        <f ca="1">McNeese!D72+Nicholls!D72+NwSU!D72+SLU!D72+LaTech!D72+ULL!D72+ULM!D72+'UL BOS'!D72+Grambling!D74</f>
        <v>84266942</v>
      </c>
      <c r="E74" s="79">
        <f t="shared" si="4"/>
        <v>-6986063.3100000024</v>
      </c>
      <c r="F74" s="323">
        <f t="shared" si="5"/>
        <v>-7.6557076517834222E-2</v>
      </c>
    </row>
    <row r="75" spans="1:6" ht="34.5">
      <c r="A75" s="57" t="s">
        <v>65</v>
      </c>
      <c r="B75" s="81">
        <f ca="1">McNeese!B73+Nicholls!B73+NwSU!B73+SLU!B73+LaTech!B73+ULL!B73+ULM!B73+'UL BOS'!B73+Grambling!B75</f>
        <v>1041</v>
      </c>
      <c r="C75" s="81">
        <f ca="1">McNeese!C73+Nicholls!C73+NwSU!C73+SLU!C73+LaTech!C73+ULL!C73+ULM!C73+'UL BOS'!C73+Grambling!C75</f>
        <v>0</v>
      </c>
      <c r="D75" s="81">
        <f ca="1">McNeese!D73+Nicholls!D73+NwSU!D73+SLU!D73+LaTech!D73+ULL!D73+ULM!D73+'UL BOS'!D73+Grambling!D75</f>
        <v>0</v>
      </c>
      <c r="E75" s="79">
        <f t="shared" si="4"/>
        <v>-1041</v>
      </c>
      <c r="F75" s="323">
        <f t="shared" si="5"/>
        <v>-1</v>
      </c>
    </row>
    <row r="76" spans="1:6" ht="34.5">
      <c r="A76" s="57" t="s">
        <v>66</v>
      </c>
      <c r="B76" s="81">
        <f ca="1">McNeese!B74+Nicholls!B74+NwSU!B74+SLU!B74+LaTech!B74+ULL!B74+ULM!B74+'UL BOS'!B74+Grambling!B76</f>
        <v>21974473</v>
      </c>
      <c r="C76" s="81">
        <f ca="1">McNeese!C74+Nicholls!C74+NwSU!C74+SLU!C74+LaTech!C74+ULL!C74+ULM!C74+'UL BOS'!C74+Grambling!C76</f>
        <v>20951364</v>
      </c>
      <c r="D76" s="81">
        <f ca="1">McNeese!D74+Nicholls!D74+NwSU!D74+SLU!D74+LaTech!D74+ULL!D74+ULM!D74+'UL BOS'!D74+Grambling!D76</f>
        <v>13769278</v>
      </c>
      <c r="E76" s="79">
        <f t="shared" si="4"/>
        <v>-8205195</v>
      </c>
      <c r="F76" s="323">
        <f t="shared" si="5"/>
        <v>-0.37339666803385912</v>
      </c>
    </row>
    <row r="77" spans="1:6" ht="35.25">
      <c r="A77" s="63" t="s">
        <v>67</v>
      </c>
      <c r="B77" s="83">
        <f ca="1">SUM(B73:B76)</f>
        <v>117148621.45</v>
      </c>
      <c r="C77" s="83">
        <f ca="1">SUM(C73:C76)</f>
        <v>113139301</v>
      </c>
      <c r="D77" s="83">
        <f ca="1">SUM(D73:D76)</f>
        <v>102164772</v>
      </c>
      <c r="E77" s="85">
        <f t="shared" si="4"/>
        <v>-14983849.450000003</v>
      </c>
      <c r="F77" s="327">
        <f t="shared" si="5"/>
        <v>-0.12790461607262901</v>
      </c>
    </row>
    <row r="78" spans="1:6" ht="34.5">
      <c r="A78" s="69" t="s">
        <v>68</v>
      </c>
      <c r="B78" s="81">
        <f ca="1">McNeese!B76+Nicholls!B76+NwSU!B76+SLU!B76+LaTech!B76+ULL!B76+ULM!B76+'UL BOS'!B76+Grambling!B78</f>
        <v>6475616</v>
      </c>
      <c r="C78" s="81">
        <f ca="1">McNeese!C76+Nicholls!C76+NwSU!C76+SLU!C76+LaTech!C76+ULL!C76+ULM!C76+'UL BOS'!C76+Grambling!C78</f>
        <v>15062450</v>
      </c>
      <c r="D78" s="81">
        <f ca="1">McNeese!D76+Nicholls!D76+NwSU!D76+SLU!D76+LaTech!D76+ULL!D76+ULM!D76+'UL BOS'!D76+Grambling!D78</f>
        <v>10705854</v>
      </c>
      <c r="E78" s="79">
        <f t="shared" si="4"/>
        <v>4230238</v>
      </c>
      <c r="F78" s="323">
        <f t="shared" si="5"/>
        <v>0.65325646239678203</v>
      </c>
    </row>
    <row r="79" spans="1:6" ht="34.5">
      <c r="A79" s="69" t="s">
        <v>69</v>
      </c>
      <c r="B79" s="80">
        <f ca="1">McNeese!B77+Nicholls!B77+NwSU!B77+SLU!B77+LaTech!B77+ULL!B77+ULM!B77+'UL BOS'!B77+Grambling!B79</f>
        <v>5006645.74</v>
      </c>
      <c r="C79" s="80">
        <f ca="1">McNeese!C77+Nicholls!C77+NwSU!C77+SLU!C77+LaTech!C77+ULL!C77+ULM!C77+'UL BOS'!C77+Grambling!C79</f>
        <v>5884988</v>
      </c>
      <c r="D79" s="80">
        <f ca="1">McNeese!D77+Nicholls!D77+NwSU!D77+SLU!D77+LaTech!D77+ULL!D77+ULM!D77+'UL BOS'!D77+Grambling!D79</f>
        <v>4183732</v>
      </c>
      <c r="E79" s="79">
        <f t="shared" si="4"/>
        <v>-822913.74000000022</v>
      </c>
      <c r="F79" s="323">
        <f t="shared" si="5"/>
        <v>-0.16436428354125973</v>
      </c>
    </row>
    <row r="80" spans="1:6" ht="34.5">
      <c r="A80" s="103" t="s">
        <v>70</v>
      </c>
      <c r="B80" s="80">
        <f ca="1">McNeese!B78+Nicholls!B78+NwSU!B78+SLU!B78+LaTech!B78+ULL!B78+ULM!B78+'UL BOS'!B78+Grambling!B80</f>
        <v>2459538</v>
      </c>
      <c r="C80" s="80">
        <f ca="1">McNeese!C78+Nicholls!C78+NwSU!C78+SLU!C78+LaTech!C78+ULL!C78+ULM!C78+'UL BOS'!C78+Grambling!C80</f>
        <v>2443123</v>
      </c>
      <c r="D80" s="80">
        <f ca="1">McNeese!D78+Nicholls!D78+NwSU!D78+SLU!D78+LaTech!D78+ULL!D78+ULM!D78+'UL BOS'!D78+Grambling!D80</f>
        <v>3384470</v>
      </c>
      <c r="E80" s="79">
        <f t="shared" si="4"/>
        <v>924932</v>
      </c>
      <c r="F80" s="323">
        <f t="shared" si="5"/>
        <v>0.37605924364657101</v>
      </c>
    </row>
    <row r="81" spans="1:6" ht="35.25">
      <c r="A81" s="70" t="s">
        <v>71</v>
      </c>
      <c r="B81" s="91">
        <f>SUM(B78:B80)</f>
        <v>13941799.74</v>
      </c>
      <c r="C81" s="91">
        <f>SUM(C78:C80)</f>
        <v>23390561</v>
      </c>
      <c r="D81" s="91">
        <f>SUM(D78:D80)</f>
        <v>18274056</v>
      </c>
      <c r="E81" s="85">
        <f t="shared" si="4"/>
        <v>4332256.26</v>
      </c>
      <c r="F81" s="327">
        <f t="shared" si="5"/>
        <v>0.31073866651307958</v>
      </c>
    </row>
    <row r="82" spans="1:6" s="44" customFormat="1" ht="44.25">
      <c r="A82" s="68" t="s">
        <v>53</v>
      </c>
      <c r="B82" s="91">
        <f>+B81+B77+B72+B68+2</f>
        <v>710397619.49000001</v>
      </c>
      <c r="C82" s="91">
        <f>+C81+C77+C72+C68-1</f>
        <v>733547359</v>
      </c>
      <c r="D82" s="91">
        <f>+D81+D77+D72+D68+1</f>
        <v>706392286.75884616</v>
      </c>
      <c r="E82" s="85">
        <f t="shared" si="4"/>
        <v>-4005332.7311538458</v>
      </c>
      <c r="F82" s="327">
        <f t="shared" si="5"/>
        <v>-5.6381561836163037E-3</v>
      </c>
    </row>
    <row r="83" spans="1:6" s="44" customFormat="1" ht="44.25">
      <c r="F83" s="318"/>
    </row>
    <row r="84" spans="1:6" s="44" customFormat="1" ht="44.25">
      <c r="A84" s="44" t="s">
        <v>99</v>
      </c>
      <c r="F84" s="318"/>
    </row>
    <row r="85" spans="1:6" ht="44.25">
      <c r="A85" s="44" t="s">
        <v>72</v>
      </c>
      <c r="B85" s="48"/>
      <c r="C85" s="48"/>
      <c r="D85" s="48"/>
      <c r="E85" s="48"/>
      <c r="F85" s="319"/>
    </row>
    <row r="86" spans="1:6">
      <c r="F86" s="331"/>
    </row>
    <row r="87" spans="1:6">
      <c r="F87" s="331"/>
    </row>
    <row r="88" spans="1:6">
      <c r="F88" s="331"/>
    </row>
    <row r="89" spans="1:6">
      <c r="F89" s="331"/>
    </row>
    <row r="90" spans="1:6">
      <c r="F90" s="331"/>
    </row>
    <row r="91" spans="1:6">
      <c r="F91" s="331"/>
    </row>
    <row r="92" spans="1:6">
      <c r="F92" s="331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70" zoomScale="30" zoomScaleNormal="70" workbookViewId="0">
      <selection activeCell="C6" sqref="C6"/>
    </sheetView>
  </sheetViews>
  <sheetFormatPr defaultRowHeight="15"/>
  <cols>
    <col min="1" max="1" width="135.21875" style="46" customWidth="1"/>
    <col min="2" max="2" width="30.5546875" style="46" customWidth="1"/>
    <col min="3" max="5" width="30.77734375" style="46" customWidth="1"/>
    <col min="6" max="6" width="41.6640625" style="332" customWidth="1"/>
    <col min="7" max="16384" width="8.88671875" style="46"/>
  </cols>
  <sheetData>
    <row r="1" spans="1:10" ht="45">
      <c r="A1" s="38" t="s">
        <v>0</v>
      </c>
      <c r="B1" s="39"/>
      <c r="D1" s="40" t="s">
        <v>1</v>
      </c>
      <c r="E1" s="76" t="s">
        <v>152</v>
      </c>
      <c r="F1" s="335"/>
      <c r="G1" s="77"/>
      <c r="H1" s="77"/>
      <c r="I1" s="77"/>
      <c r="J1" s="77"/>
    </row>
    <row r="2" spans="1:10" ht="45">
      <c r="A2" s="38" t="s">
        <v>2</v>
      </c>
      <c r="B2" s="39"/>
      <c r="C2" s="39"/>
      <c r="D2" s="39"/>
      <c r="E2" s="39"/>
      <c r="F2" s="304"/>
    </row>
    <row r="3" spans="1:10" ht="45.75" thickBot="1">
      <c r="A3" s="47" t="s">
        <v>3</v>
      </c>
      <c r="B3" s="41"/>
      <c r="C3" s="41" t="s">
        <v>35</v>
      </c>
      <c r="D3" s="41"/>
      <c r="E3" s="41"/>
      <c r="F3" s="305"/>
    </row>
    <row r="4" spans="1:10" ht="36" thickTop="1">
      <c r="A4" s="49" t="s">
        <v>4</v>
      </c>
      <c r="B4" s="50" t="s">
        <v>5</v>
      </c>
      <c r="C4" s="51" t="s">
        <v>6</v>
      </c>
      <c r="D4" s="51" t="s">
        <v>6</v>
      </c>
      <c r="E4" s="52" t="s">
        <v>7</v>
      </c>
      <c r="F4" s="306" t="s">
        <v>8</v>
      </c>
    </row>
    <row r="5" spans="1:10" ht="35.25">
      <c r="A5" s="53"/>
      <c r="B5" s="54" t="s">
        <v>79</v>
      </c>
      <c r="C5" s="54" t="s">
        <v>93</v>
      </c>
      <c r="D5" s="54" t="s">
        <v>89</v>
      </c>
      <c r="E5" s="54" t="s">
        <v>79</v>
      </c>
      <c r="F5" s="307" t="s">
        <v>11</v>
      </c>
    </row>
    <row r="6" spans="1:10" ht="35.25">
      <c r="A6" s="55" t="s">
        <v>12</v>
      </c>
      <c r="B6" s="42"/>
      <c r="C6" s="42"/>
      <c r="D6" s="42"/>
      <c r="E6" s="59"/>
      <c r="F6" s="309"/>
    </row>
    <row r="7" spans="1:10" ht="35.25">
      <c r="A7" s="55" t="s">
        <v>13</v>
      </c>
      <c r="B7" s="42"/>
      <c r="C7" s="42"/>
      <c r="D7" s="42"/>
      <c r="E7" s="59"/>
      <c r="F7" s="309"/>
    </row>
    <row r="8" spans="1:10" ht="34.5">
      <c r="A8" s="56" t="s">
        <v>14</v>
      </c>
      <c r="B8" s="79">
        <v>29173267</v>
      </c>
      <c r="C8" s="79">
        <v>29210902</v>
      </c>
      <c r="D8" s="79">
        <v>20433930</v>
      </c>
      <c r="E8" s="79">
        <f>D8-B8</f>
        <v>-8739337</v>
      </c>
      <c r="F8" s="323">
        <f>IF(ISBLANK(E8),"  ",IF(B8&gt;0,E8/B8,IF(E8&gt;0,1,0)))</f>
        <v>-0.29956662035828896</v>
      </c>
    </row>
    <row r="9" spans="1:10" ht="34.5">
      <c r="A9" s="56" t="s">
        <v>87</v>
      </c>
      <c r="B9" s="79">
        <f ca="1">McNeese!B9+Nicholls!B9+NwSU!B9+SLU!B9+LaTech!B9+ULL!B9+ULM!B9+'UL BOS'!B9</f>
        <v>0</v>
      </c>
      <c r="C9" s="79">
        <v>0</v>
      </c>
      <c r="D9" s="79">
        <v>1959007</v>
      </c>
      <c r="E9" s="79">
        <f>D9-B9</f>
        <v>1959007</v>
      </c>
      <c r="F9" s="323">
        <f t="shared" ref="F9:F25" si="0">IF(ISBLANK(E9),"  ",IF(B9&gt;0,E9/B9,IF(E9&gt;0,1,0)))</f>
        <v>1</v>
      </c>
    </row>
    <row r="10" spans="1:10" ht="34.5">
      <c r="A10" s="57" t="s">
        <v>15</v>
      </c>
      <c r="B10" s="80">
        <f>SUM(B11:B25)</f>
        <v>1250066</v>
      </c>
      <c r="C10" s="80">
        <v>1288847</v>
      </c>
      <c r="D10" s="80">
        <v>1280750</v>
      </c>
      <c r="E10" s="79">
        <f>B10-C10</f>
        <v>-38781</v>
      </c>
      <c r="F10" s="323">
        <f t="shared" si="0"/>
        <v>-3.1023161977047613E-2</v>
      </c>
    </row>
    <row r="11" spans="1:10" ht="34.5">
      <c r="A11" s="60" t="s">
        <v>16</v>
      </c>
      <c r="B11" s="81">
        <v>0</v>
      </c>
      <c r="C11" s="81">
        <v>0</v>
      </c>
      <c r="D11" s="81">
        <v>165723</v>
      </c>
      <c r="E11" s="79">
        <f>D11-B11</f>
        <v>165723</v>
      </c>
      <c r="F11" s="323">
        <f t="shared" si="0"/>
        <v>1</v>
      </c>
    </row>
    <row r="12" spans="1:10" ht="34.5">
      <c r="A12" s="57" t="s">
        <v>17</v>
      </c>
      <c r="B12" s="81">
        <v>1250066</v>
      </c>
      <c r="C12" s="81">
        <v>1288847</v>
      </c>
      <c r="D12" s="81">
        <v>1115027</v>
      </c>
      <c r="E12" s="79">
        <f>D12-B12</f>
        <v>-135039</v>
      </c>
      <c r="F12" s="323">
        <f t="shared" si="0"/>
        <v>-0.1080254962537978</v>
      </c>
    </row>
    <row r="13" spans="1:10" ht="34.5">
      <c r="A13" s="57" t="s">
        <v>18</v>
      </c>
      <c r="B13" s="81"/>
      <c r="C13" s="81"/>
      <c r="D13" s="81"/>
      <c r="E13" s="79"/>
      <c r="F13" s="323" t="str">
        <f t="shared" si="0"/>
        <v xml:space="preserve">  </v>
      </c>
    </row>
    <row r="14" spans="1:10" ht="34.5">
      <c r="A14" s="57" t="s">
        <v>19</v>
      </c>
      <c r="B14" s="81"/>
      <c r="C14" s="81"/>
      <c r="D14" s="81"/>
      <c r="E14" s="79"/>
      <c r="F14" s="323" t="str">
        <f t="shared" si="0"/>
        <v xml:space="preserve">  </v>
      </c>
    </row>
    <row r="15" spans="1:10" ht="34.5">
      <c r="A15" s="57" t="s">
        <v>20</v>
      </c>
      <c r="B15" s="81"/>
      <c r="C15" s="81"/>
      <c r="D15" s="81"/>
      <c r="E15" s="79"/>
      <c r="F15" s="323" t="str">
        <f t="shared" si="0"/>
        <v xml:space="preserve">  </v>
      </c>
    </row>
    <row r="16" spans="1:10" ht="34.5">
      <c r="A16" s="57" t="s">
        <v>21</v>
      </c>
      <c r="B16" s="81"/>
      <c r="C16" s="81"/>
      <c r="D16" s="81"/>
      <c r="E16" s="79"/>
      <c r="F16" s="323" t="str">
        <f t="shared" si="0"/>
        <v xml:space="preserve">  </v>
      </c>
    </row>
    <row r="17" spans="1:6" ht="34.5">
      <c r="A17" s="57" t="s">
        <v>22</v>
      </c>
      <c r="B17" s="81"/>
      <c r="C17" s="81"/>
      <c r="D17" s="81"/>
      <c r="E17" s="79"/>
      <c r="F17" s="323" t="str">
        <f t="shared" si="0"/>
        <v xml:space="preserve">  </v>
      </c>
    </row>
    <row r="18" spans="1:6" ht="34.5">
      <c r="A18" s="57" t="s">
        <v>23</v>
      </c>
      <c r="B18" s="81"/>
      <c r="C18" s="81"/>
      <c r="D18" s="81"/>
      <c r="E18" s="79"/>
      <c r="F18" s="323" t="str">
        <f t="shared" si="0"/>
        <v xml:space="preserve">  </v>
      </c>
    </row>
    <row r="19" spans="1:6" ht="34.5">
      <c r="A19" s="57" t="s">
        <v>24</v>
      </c>
      <c r="B19" s="81"/>
      <c r="C19" s="81"/>
      <c r="D19" s="81"/>
      <c r="E19" s="79"/>
      <c r="F19" s="323" t="str">
        <f t="shared" si="0"/>
        <v xml:space="preserve">  </v>
      </c>
    </row>
    <row r="20" spans="1:6" ht="34.5">
      <c r="A20" s="57" t="s">
        <v>25</v>
      </c>
      <c r="B20" s="81"/>
      <c r="C20" s="81"/>
      <c r="D20" s="81"/>
      <c r="E20" s="79"/>
      <c r="F20" s="323" t="str">
        <f t="shared" si="0"/>
        <v xml:space="preserve">  </v>
      </c>
    </row>
    <row r="21" spans="1:6" ht="34.5">
      <c r="A21" s="57" t="s">
        <v>26</v>
      </c>
      <c r="B21" s="81"/>
      <c r="C21" s="81"/>
      <c r="D21" s="81"/>
      <c r="E21" s="79"/>
      <c r="F21" s="323" t="str">
        <f t="shared" si="0"/>
        <v xml:space="preserve">  </v>
      </c>
    </row>
    <row r="22" spans="1:6" ht="34.5">
      <c r="A22" s="57" t="s">
        <v>27</v>
      </c>
      <c r="B22" s="81"/>
      <c r="C22" s="81"/>
      <c r="D22" s="81"/>
      <c r="E22" s="79"/>
      <c r="F22" s="323" t="str">
        <f t="shared" si="0"/>
        <v xml:space="preserve">  </v>
      </c>
    </row>
    <row r="23" spans="1:6" ht="34.5">
      <c r="A23" s="61" t="s">
        <v>28</v>
      </c>
      <c r="B23" s="81"/>
      <c r="C23" s="81"/>
      <c r="D23" s="81"/>
      <c r="E23" s="79"/>
      <c r="F23" s="323" t="str">
        <f t="shared" si="0"/>
        <v xml:space="preserve">  </v>
      </c>
    </row>
    <row r="24" spans="1:6" ht="34.5">
      <c r="A24" s="61" t="s">
        <v>91</v>
      </c>
      <c r="B24" s="81"/>
      <c r="C24" s="81"/>
      <c r="D24" s="81"/>
      <c r="E24" s="79"/>
      <c r="F24" s="323" t="str">
        <f t="shared" si="0"/>
        <v xml:space="preserve">  </v>
      </c>
    </row>
    <row r="25" spans="1:6" ht="34.5">
      <c r="A25" s="61" t="s">
        <v>80</v>
      </c>
      <c r="B25" s="81"/>
      <c r="C25" s="81"/>
      <c r="D25" s="81"/>
      <c r="E25" s="79"/>
      <c r="F25" s="323" t="str">
        <f t="shared" si="0"/>
        <v xml:space="preserve">  </v>
      </c>
    </row>
    <row r="26" spans="1:6" ht="35.25">
      <c r="A26" s="62" t="s">
        <v>29</v>
      </c>
      <c r="B26" s="81"/>
      <c r="C26" s="81"/>
      <c r="D26" s="81"/>
      <c r="E26" s="81"/>
      <c r="F26" s="325" t="str">
        <f>IF(ISBLANK(E26),"  ",IF(C26&gt;0,E26/C26,IF(E26&gt;0,1,0)))</f>
        <v xml:space="preserve">  </v>
      </c>
    </row>
    <row r="27" spans="1:6" ht="34.5">
      <c r="A27" s="60" t="s">
        <v>30</v>
      </c>
      <c r="B27" s="79"/>
      <c r="C27" s="79"/>
      <c r="D27" s="79"/>
      <c r="E27" s="79"/>
      <c r="F27" s="323" t="str">
        <f>IF(ISBLANK(E27),"  ",IF(B27&gt;0,E27/B27,IF(E27&gt;0,1,0)))</f>
        <v xml:space="preserve">  </v>
      </c>
    </row>
    <row r="28" spans="1:6" ht="35.25">
      <c r="A28" s="63" t="s">
        <v>31</v>
      </c>
      <c r="B28" s="81"/>
      <c r="C28" s="81"/>
      <c r="D28" s="81"/>
      <c r="E28" s="81"/>
      <c r="F28" s="325" t="str">
        <f>IF(ISBLANK(E28),"  ",IF(C28&gt;0,E28/C28,IF(E28&gt;0,1,0)))</f>
        <v xml:space="preserve">  </v>
      </c>
    </row>
    <row r="29" spans="1:6" ht="34.5">
      <c r="A29" s="60" t="s">
        <v>30</v>
      </c>
      <c r="B29" s="82"/>
      <c r="C29" s="82"/>
      <c r="D29" s="82"/>
      <c r="E29" s="79"/>
      <c r="F29" s="323" t="str">
        <f>IF(ISBLANK(E29),"  ",IF(B29&gt;0,E29/B29,IF(E29&gt;0,1,0)))</f>
        <v xml:space="preserve">  </v>
      </c>
    </row>
    <row r="30" spans="1:6" ht="34.5">
      <c r="A30" s="57" t="s">
        <v>32</v>
      </c>
      <c r="B30" s="81"/>
      <c r="C30" s="81"/>
      <c r="D30" s="81"/>
      <c r="E30" s="79"/>
      <c r="F30" s="323" t="str">
        <f>IF(ISBLANK(E30),"  ",IF(B30&gt;0,E30/B30,IF(E30&gt;0,1,0)))</f>
        <v xml:space="preserve">  </v>
      </c>
    </row>
    <row r="31" spans="1:6" ht="35.25">
      <c r="A31" s="63" t="s">
        <v>33</v>
      </c>
      <c r="B31" s="83">
        <f>SUM(B8:B10,B27:B30)</f>
        <v>30423333</v>
      </c>
      <c r="C31" s="83">
        <f>SUM(C8:C10,C26:C30)</f>
        <v>30499749</v>
      </c>
      <c r="D31" s="83">
        <f>SUM(D8:D10,D26:D30)</f>
        <v>23673687</v>
      </c>
      <c r="E31" s="85">
        <f>D31-B31</f>
        <v>-6749646</v>
      </c>
      <c r="F31" s="327">
        <f>IF(ISBLANK(E31),"  ",IF(B31&gt;0,E31/B31,IF(E31&gt;0,1,0)))</f>
        <v>-0.22185754598288096</v>
      </c>
    </row>
    <row r="32" spans="1:6" ht="35.25">
      <c r="A32" s="63"/>
      <c r="B32" s="81"/>
      <c r="C32" s="81"/>
      <c r="D32" s="81"/>
      <c r="E32" s="81"/>
      <c r="F32" s="325" t="str">
        <f>IF(ISBLANK(E32),"  ",IF(C32&gt;0,E32/C32,IF(E32&gt;0,1,0)))</f>
        <v xml:space="preserve">  </v>
      </c>
    </row>
    <row r="33" spans="1:6" ht="35.25">
      <c r="A33" s="62" t="s">
        <v>34</v>
      </c>
      <c r="B33" s="84"/>
      <c r="C33" s="84"/>
      <c r="D33" s="84"/>
      <c r="E33" s="85"/>
      <c r="F33" s="327" t="str">
        <f>IF(ISBLANK(E33),"  ",IF(B33&gt;0,E33/B33,IF(E33&gt;0,1,0)))</f>
        <v xml:space="preserve">  </v>
      </c>
    </row>
    <row r="34" spans="1:6" ht="35.25">
      <c r="A34" s="57" t="s">
        <v>35</v>
      </c>
      <c r="B34" s="83"/>
      <c r="C34" s="83"/>
      <c r="D34" s="83"/>
      <c r="E34" s="83"/>
      <c r="F34" s="326" t="str">
        <f>IF(ISBLANK(E34),"  ",IF(C34&gt;0,E34/C34,IF(E34&gt;0,1,0)))</f>
        <v xml:space="preserve">  </v>
      </c>
    </row>
    <row r="35" spans="1:6" ht="35.25">
      <c r="A35" s="64" t="s">
        <v>36</v>
      </c>
      <c r="B35" s="85"/>
      <c r="C35" s="85"/>
      <c r="D35" s="85"/>
      <c r="E35" s="85"/>
      <c r="F35" s="327" t="str">
        <f>IF(ISBLANK(E35),"  ",IF(B35&gt;0,E35/B35,IF(E35&gt;0,1,0)))</f>
        <v xml:space="preserve">  </v>
      </c>
    </row>
    <row r="36" spans="1:6" ht="35.25">
      <c r="A36" s="57"/>
      <c r="B36" s="83"/>
      <c r="C36" s="83"/>
      <c r="D36" s="83"/>
      <c r="E36" s="83"/>
      <c r="F36" s="326" t="str">
        <f>IF(ISBLANK(E36),"  ",IF(C36&gt;0,E36/C36,IF(E36&gt;0,1,0)))</f>
        <v xml:space="preserve">  </v>
      </c>
    </row>
    <row r="37" spans="1:6" ht="35.25">
      <c r="A37" s="64" t="s">
        <v>88</v>
      </c>
      <c r="B37" s="85">
        <f ca="1">McNeese!B37+Nicholls!B37+NwSU!B36+SLU!B37+LaTech!B37+ULL!B37+ULM!B37+'UL BOS'!B37</f>
        <v>0</v>
      </c>
      <c r="C37" s="85">
        <v>0</v>
      </c>
      <c r="D37" s="85">
        <v>4070342</v>
      </c>
      <c r="E37" s="85">
        <f>D37-B37</f>
        <v>4070342</v>
      </c>
      <c r="F37" s="327">
        <f>IF(ISBLANK(E37),"  ",IF(B37&gt;0,E37/B37,IF(E37&gt;0,1,0)))</f>
        <v>1</v>
      </c>
    </row>
    <row r="38" spans="1:6" ht="35.25">
      <c r="A38" s="57" t="s">
        <v>35</v>
      </c>
      <c r="B38" s="83"/>
      <c r="C38" s="83"/>
      <c r="D38" s="83"/>
      <c r="E38" s="83"/>
      <c r="F38" s="326" t="str">
        <f>IF(ISBLANK(E38),"  ",IF(C38&gt;0,E38/C38,IF(E38&gt;0,1,0)))</f>
        <v xml:space="preserve">  </v>
      </c>
    </row>
    <row r="39" spans="1:6" ht="35.25">
      <c r="A39" s="62" t="s">
        <v>37</v>
      </c>
      <c r="B39" s="84">
        <v>25007372</v>
      </c>
      <c r="C39" s="84">
        <v>25912567</v>
      </c>
      <c r="D39" s="84">
        <v>27114396</v>
      </c>
      <c r="E39" s="85">
        <f>D39-B39</f>
        <v>2107024</v>
      </c>
      <c r="F39" s="327">
        <f>IF(ISBLANK(E39),"  ",IF(B39&gt;0,E39/B39,IF(E39&gt;0,1,0)))</f>
        <v>8.4256114556939446E-2</v>
      </c>
    </row>
    <row r="40" spans="1:6" ht="35.25">
      <c r="A40" s="57" t="s">
        <v>35</v>
      </c>
      <c r="B40" s="83"/>
      <c r="C40" s="83"/>
      <c r="D40" s="83"/>
      <c r="E40" s="83"/>
      <c r="F40" s="326" t="str">
        <f>IF(ISBLANK(E40),"  ",IF(C40&gt;0,E40/C40,IF(E40&gt;0,1,0)))</f>
        <v xml:space="preserve">  </v>
      </c>
    </row>
    <row r="41" spans="1:6" ht="35.25">
      <c r="A41" s="62" t="s">
        <v>38</v>
      </c>
      <c r="B41" s="84"/>
      <c r="C41" s="84"/>
      <c r="D41" s="84"/>
      <c r="E41" s="85"/>
      <c r="F41" s="327" t="str">
        <f>IF(ISBLANK(E41),"  ",IF(B41&gt;0,E41/B41,IF(E41&gt;0,1,0)))</f>
        <v xml:space="preserve">  </v>
      </c>
    </row>
    <row r="42" spans="1:6" ht="35.25">
      <c r="A42" s="57"/>
      <c r="B42" s="83"/>
      <c r="C42" s="83"/>
      <c r="D42" s="83"/>
      <c r="E42" s="81"/>
      <c r="F42" s="326" t="str">
        <f>IF(ISBLANK(E42),"  ",IF(C42&gt;0,E42/C42,IF(E42&gt;0,1,0)))</f>
        <v xml:space="preserve">  </v>
      </c>
    </row>
    <row r="43" spans="1:6" ht="35.25">
      <c r="A43" s="55" t="s">
        <v>75</v>
      </c>
      <c r="B43" s="86"/>
      <c r="C43" s="86"/>
      <c r="D43" s="86"/>
      <c r="E43" s="85"/>
      <c r="F43" s="327" t="str">
        <f>IF(ISBLANK(E43),"  ",IF(B43&gt;0,E43/B43,IF(E43&gt;0,1,0)))</f>
        <v xml:space="preserve">  </v>
      </c>
    </row>
    <row r="44" spans="1:6" ht="34.5">
      <c r="A44" s="65"/>
      <c r="B44" s="87"/>
      <c r="C44" s="87"/>
      <c r="D44" s="87"/>
      <c r="E44" s="87"/>
      <c r="F44" s="328" t="str">
        <f>IF(ISBLANK(E44),"  ",IF(C44&gt;0,E44/C44,IF(E44&gt;0,1,0)))</f>
        <v xml:space="preserve">  </v>
      </c>
    </row>
    <row r="45" spans="1:6" ht="35.25">
      <c r="A45" s="100" t="s">
        <v>39</v>
      </c>
      <c r="B45" s="109">
        <f>SUM(B43,B41,B39,B35,B33,B31)</f>
        <v>55430705</v>
      </c>
      <c r="C45" s="109">
        <f>SUM(C43,C41,C39,C37,C35,C33,C31)</f>
        <v>56412316</v>
      </c>
      <c r="D45" s="109">
        <f>SUM(D43,D41,D39,D37,D35,D33,D31)</f>
        <v>54858425</v>
      </c>
      <c r="E45" s="85">
        <f>D45-B45</f>
        <v>-572280</v>
      </c>
      <c r="F45" s="327">
        <f>IF(ISBLANK(E45),"  ",IF(B45&gt;0,E45/B45,IF(E45&gt;0,1,0)))</f>
        <v>-1.032424177177613E-2</v>
      </c>
    </row>
    <row r="46" spans="1:6" ht="35.25">
      <c r="A46" s="55"/>
      <c r="B46" s="88"/>
      <c r="C46" s="88"/>
      <c r="D46" s="88"/>
      <c r="E46" s="88"/>
      <c r="F46" s="329" t="str">
        <f>IF(ISBLANK(E46),"  ",IF(C46&gt;0,E46/C46,IF(E46&gt;0,1,0)))</f>
        <v xml:space="preserve">  </v>
      </c>
    </row>
    <row r="47" spans="1:6" ht="34.5">
      <c r="A47" s="60"/>
      <c r="B47" s="82"/>
      <c r="C47" s="82"/>
      <c r="D47" s="82"/>
      <c r="E47" s="82"/>
      <c r="F47" s="330" t="str">
        <f>IF(ISBLANK(E47),"  ",IF(C47&gt;0,E47/C47,IF(E47&gt;0,1,0)))</f>
        <v xml:space="preserve">  </v>
      </c>
    </row>
    <row r="48" spans="1:6" ht="35.25">
      <c r="A48" s="101" t="s">
        <v>40</v>
      </c>
      <c r="B48" s="102"/>
      <c r="C48" s="102"/>
      <c r="D48" s="102"/>
      <c r="E48" s="82"/>
      <c r="F48" s="333" t="str">
        <f>IF(ISBLANK(E48),"  ",IF(C48&gt;0,E48/C48,IF(E48&gt;0,1,0)))</f>
        <v xml:space="preserve">  </v>
      </c>
    </row>
    <row r="49" spans="1:6" ht="34.5">
      <c r="A49" s="60" t="s">
        <v>41</v>
      </c>
      <c r="B49" s="82">
        <v>23876127</v>
      </c>
      <c r="C49" s="82">
        <v>25418393</v>
      </c>
      <c r="D49" s="82">
        <v>26147084</v>
      </c>
      <c r="E49" s="79">
        <f t="shared" ref="E49:E62" si="1">D49-B49</f>
        <v>2270957</v>
      </c>
      <c r="F49" s="323">
        <f t="shared" ref="F49:F62" si="2">IF(ISBLANK(E49),"  ",IF(B49&gt;0,E49/B49,IF(E49&gt;0,1,0)))</f>
        <v>9.511412801582099E-2</v>
      </c>
    </row>
    <row r="50" spans="1:6" ht="34.5">
      <c r="A50" s="57" t="s">
        <v>42</v>
      </c>
      <c r="B50" s="81">
        <v>61661</v>
      </c>
      <c r="C50" s="81">
        <v>64020</v>
      </c>
      <c r="D50" s="81">
        <v>65810</v>
      </c>
      <c r="E50" s="79">
        <f t="shared" si="1"/>
        <v>4149</v>
      </c>
      <c r="F50" s="323">
        <f t="shared" si="2"/>
        <v>6.7287264235091876E-2</v>
      </c>
    </row>
    <row r="51" spans="1:6" ht="34.5">
      <c r="A51" s="57" t="s">
        <v>43</v>
      </c>
      <c r="B51" s="81"/>
      <c r="C51" s="81"/>
      <c r="D51" s="81"/>
      <c r="E51" s="79"/>
      <c r="F51" s="323" t="str">
        <f t="shared" si="2"/>
        <v xml:space="preserve">  </v>
      </c>
    </row>
    <row r="52" spans="1:6" ht="34.5">
      <c r="A52" s="57" t="s">
        <v>44</v>
      </c>
      <c r="B52" s="81">
        <v>4863011</v>
      </c>
      <c r="C52" s="81">
        <v>5778395</v>
      </c>
      <c r="D52" s="81">
        <v>4927554</v>
      </c>
      <c r="E52" s="79">
        <f t="shared" si="1"/>
        <v>64543</v>
      </c>
      <c r="F52" s="323">
        <f t="shared" si="2"/>
        <v>1.3272229900364198E-2</v>
      </c>
    </row>
    <row r="53" spans="1:6" ht="34.5">
      <c r="A53" s="57" t="s">
        <v>45</v>
      </c>
      <c r="B53" s="81">
        <v>3448803</v>
      </c>
      <c r="C53" s="81">
        <v>3423393</v>
      </c>
      <c r="D53" s="81">
        <v>3400212</v>
      </c>
      <c r="E53" s="79">
        <f t="shared" si="1"/>
        <v>-48591</v>
      </c>
      <c r="F53" s="323">
        <f t="shared" si="2"/>
        <v>-1.4089236178465398E-2</v>
      </c>
    </row>
    <row r="54" spans="1:6" ht="34.5">
      <c r="A54" s="57" t="s">
        <v>74</v>
      </c>
      <c r="B54" s="81">
        <v>8053489</v>
      </c>
      <c r="C54" s="81">
        <v>8914962</v>
      </c>
      <c r="D54" s="81">
        <v>9056880</v>
      </c>
      <c r="E54" s="79">
        <f t="shared" si="1"/>
        <v>1003391</v>
      </c>
      <c r="F54" s="323">
        <f t="shared" si="2"/>
        <v>0.12459084503623212</v>
      </c>
    </row>
    <row r="55" spans="1:6" ht="34.5">
      <c r="A55" s="65" t="s">
        <v>46</v>
      </c>
      <c r="B55" s="81">
        <v>4608857</v>
      </c>
      <c r="C55" s="81">
        <v>4454765</v>
      </c>
      <c r="D55" s="81">
        <v>4454765</v>
      </c>
      <c r="E55" s="79">
        <f t="shared" si="1"/>
        <v>-154092</v>
      </c>
      <c r="F55" s="323">
        <f t="shared" si="2"/>
        <v>-3.3433886102345982E-2</v>
      </c>
    </row>
    <row r="56" spans="1:6" ht="34.5">
      <c r="A56" s="57" t="s">
        <v>47</v>
      </c>
      <c r="B56" s="81">
        <v>6509150</v>
      </c>
      <c r="C56" s="81">
        <v>4957990</v>
      </c>
      <c r="D56" s="81">
        <v>5069522</v>
      </c>
      <c r="E56" s="79">
        <f t="shared" si="1"/>
        <v>-1439628</v>
      </c>
      <c r="F56" s="323">
        <f t="shared" si="2"/>
        <v>-0.22116989161411243</v>
      </c>
    </row>
    <row r="57" spans="1:6" ht="35.25">
      <c r="A57" s="63" t="s">
        <v>48</v>
      </c>
      <c r="B57" s="83">
        <f>SUM(B49:B56)</f>
        <v>51421098</v>
      </c>
      <c r="C57" s="83">
        <f>SUM(C49:C56)</f>
        <v>53011918</v>
      </c>
      <c r="D57" s="83">
        <f>SUM(D49:D56)</f>
        <v>53121827</v>
      </c>
      <c r="E57" s="85">
        <f t="shared" si="1"/>
        <v>1700729</v>
      </c>
      <c r="F57" s="327">
        <f t="shared" si="2"/>
        <v>3.3074536837000255E-2</v>
      </c>
    </row>
    <row r="58" spans="1:6" ht="34.5">
      <c r="A58" s="57" t="s">
        <v>49</v>
      </c>
      <c r="B58" s="81"/>
      <c r="C58" s="81"/>
      <c r="D58" s="81"/>
      <c r="E58" s="79"/>
      <c r="F58" s="323" t="str">
        <f t="shared" si="2"/>
        <v xml:space="preserve">  </v>
      </c>
    </row>
    <row r="59" spans="1:6" ht="34.5">
      <c r="A59" s="57" t="s">
        <v>50</v>
      </c>
      <c r="B59" s="81"/>
      <c r="C59" s="81"/>
      <c r="D59" s="81"/>
      <c r="E59" s="79"/>
      <c r="F59" s="323" t="str">
        <f t="shared" si="2"/>
        <v xml:space="preserve">  </v>
      </c>
    </row>
    <row r="60" spans="1:6" ht="34.5">
      <c r="A60" s="111" t="s">
        <v>51</v>
      </c>
      <c r="B60" s="112">
        <v>4009607</v>
      </c>
      <c r="C60" s="112">
        <v>3400398</v>
      </c>
      <c r="D60" s="112">
        <v>1736598</v>
      </c>
      <c r="E60" s="79">
        <f t="shared" si="1"/>
        <v>-2273009</v>
      </c>
      <c r="F60" s="323">
        <f t="shared" si="2"/>
        <v>-0.56689072021272913</v>
      </c>
    </row>
    <row r="61" spans="1:6" ht="34.5">
      <c r="A61" s="104" t="s">
        <v>52</v>
      </c>
      <c r="B61" s="105"/>
      <c r="C61" s="105"/>
      <c r="D61" s="105"/>
      <c r="E61" s="79"/>
      <c r="F61" s="323" t="str">
        <f t="shared" si="2"/>
        <v xml:space="preserve">  </v>
      </c>
    </row>
    <row r="62" spans="1:6" ht="35.25">
      <c r="A62" s="106" t="s">
        <v>53</v>
      </c>
      <c r="B62" s="110">
        <f>SUM(B57:B61)</f>
        <v>55430705</v>
      </c>
      <c r="C62" s="110">
        <f>SUM(C57:C61)</f>
        <v>56412316</v>
      </c>
      <c r="D62" s="110">
        <f>SUM(D57:D61)</f>
        <v>54858425</v>
      </c>
      <c r="E62" s="85">
        <f t="shared" si="1"/>
        <v>-572280</v>
      </c>
      <c r="F62" s="327">
        <f t="shared" si="2"/>
        <v>-1.032424177177613E-2</v>
      </c>
    </row>
    <row r="63" spans="1:6" ht="34.5">
      <c r="A63" s="107"/>
      <c r="B63" s="108"/>
      <c r="C63" s="108"/>
      <c r="D63" s="108"/>
      <c r="E63" s="108"/>
      <c r="F63" s="334" t="str">
        <f>IF(ISBLANK(E63),"  ",IF(C63&gt;0,E63/C63,IF(E63&gt;0,1,0)))</f>
        <v xml:space="preserve">  </v>
      </c>
    </row>
    <row r="64" spans="1:6" ht="35.25">
      <c r="A64" s="62" t="s">
        <v>54</v>
      </c>
      <c r="B64" s="82"/>
      <c r="C64" s="82"/>
      <c r="D64" s="82"/>
      <c r="E64" s="82"/>
      <c r="F64" s="330" t="str">
        <f>IF(ISBLANK(E64),"  ",IF(C64&gt;0,E64/C64,IF(E64&gt;0,1,0)))</f>
        <v xml:space="preserve">  </v>
      </c>
    </row>
    <row r="65" spans="1:6" ht="34.5">
      <c r="A65" s="57" t="s">
        <v>55</v>
      </c>
      <c r="B65" s="81">
        <v>30675118</v>
      </c>
      <c r="C65" s="81">
        <v>32023123</v>
      </c>
      <c r="D65" s="81">
        <v>30957187</v>
      </c>
      <c r="E65" s="80">
        <f t="shared" ref="E65:E82" si="3">D65-B65</f>
        <v>282069</v>
      </c>
      <c r="F65" s="324">
        <f t="shared" ref="F65:F82" si="4">IF(ISBLANK(E65),"  ",IF(B65&gt;0,E65/B65,IF(E65&gt;0,1,0)))</f>
        <v>9.1953680504179309E-3</v>
      </c>
    </row>
    <row r="66" spans="1:6" ht="34.5">
      <c r="A66" s="65" t="s">
        <v>56</v>
      </c>
      <c r="B66" s="87">
        <v>529408</v>
      </c>
      <c r="C66" s="87">
        <v>425846</v>
      </c>
      <c r="D66" s="87">
        <v>378922</v>
      </c>
      <c r="E66" s="79">
        <f t="shared" si="3"/>
        <v>-150486</v>
      </c>
      <c r="F66" s="323">
        <f t="shared" si="4"/>
        <v>-0.28425335469052226</v>
      </c>
    </row>
    <row r="67" spans="1:6" ht="34.5">
      <c r="A67" s="57" t="s">
        <v>57</v>
      </c>
      <c r="B67" s="81">
        <v>9137910</v>
      </c>
      <c r="C67" s="81">
        <v>10846650</v>
      </c>
      <c r="D67" s="81">
        <v>11528073</v>
      </c>
      <c r="E67" s="79">
        <f t="shared" si="3"/>
        <v>2390163</v>
      </c>
      <c r="F67" s="323">
        <f t="shared" si="4"/>
        <v>0.26156560964159198</v>
      </c>
    </row>
    <row r="68" spans="1:6" ht="35.25">
      <c r="A68" s="63" t="s">
        <v>58</v>
      </c>
      <c r="B68" s="83">
        <f>SUM(B65:B67)</f>
        <v>40342436</v>
      </c>
      <c r="C68" s="83">
        <f>SUM(C65:C67)</f>
        <v>43295619</v>
      </c>
      <c r="D68" s="83">
        <f>SUM(D65:D67)</f>
        <v>42864182</v>
      </c>
      <c r="E68" s="85">
        <f t="shared" si="3"/>
        <v>2521746</v>
      </c>
      <c r="F68" s="327">
        <f t="shared" si="4"/>
        <v>6.2508520804246917E-2</v>
      </c>
    </row>
    <row r="69" spans="1:6" ht="34.5">
      <c r="A69" s="57" t="s">
        <v>59</v>
      </c>
      <c r="B69" s="81">
        <v>537520</v>
      </c>
      <c r="C69" s="81">
        <v>412333</v>
      </c>
      <c r="D69" s="81">
        <v>296448</v>
      </c>
      <c r="E69" s="79">
        <f t="shared" si="3"/>
        <v>-241072</v>
      </c>
      <c r="F69" s="323">
        <f t="shared" si="4"/>
        <v>-0.44848935853549637</v>
      </c>
    </row>
    <row r="70" spans="1:6" ht="34.5">
      <c r="A70" s="57" t="s">
        <v>60</v>
      </c>
      <c r="B70" s="81">
        <v>3910105</v>
      </c>
      <c r="C70" s="81">
        <v>3599587</v>
      </c>
      <c r="D70" s="81">
        <v>4715303</v>
      </c>
      <c r="E70" s="79">
        <f t="shared" si="3"/>
        <v>805198</v>
      </c>
      <c r="F70" s="323">
        <f t="shared" si="4"/>
        <v>0.20592746230599945</v>
      </c>
    </row>
    <row r="71" spans="1:6" ht="34.5">
      <c r="A71" s="57" t="s">
        <v>61</v>
      </c>
      <c r="B71" s="81">
        <v>688015</v>
      </c>
      <c r="C71" s="81">
        <v>647714</v>
      </c>
      <c r="D71" s="81">
        <v>571693</v>
      </c>
      <c r="E71" s="79">
        <f t="shared" si="3"/>
        <v>-116322</v>
      </c>
      <c r="F71" s="323">
        <f t="shared" si="4"/>
        <v>-0.16906898832147554</v>
      </c>
    </row>
    <row r="72" spans="1:6" ht="35.25">
      <c r="A72" s="63" t="s">
        <v>62</v>
      </c>
      <c r="B72" s="83">
        <f>SUM(B69:B71)</f>
        <v>5135640</v>
      </c>
      <c r="C72" s="83">
        <f>SUM(C69:C71)</f>
        <v>4659634</v>
      </c>
      <c r="D72" s="83">
        <f>SUM(D69:D71)</f>
        <v>5583444</v>
      </c>
      <c r="E72" s="85">
        <f t="shared" si="3"/>
        <v>447804</v>
      </c>
      <c r="F72" s="327">
        <f t="shared" si="4"/>
        <v>8.7195364161039332E-2</v>
      </c>
    </row>
    <row r="73" spans="1:6" ht="34.5">
      <c r="A73" s="57" t="s">
        <v>63</v>
      </c>
      <c r="B73" s="81">
        <v>663332</v>
      </c>
      <c r="C73" s="81">
        <v>663952</v>
      </c>
      <c r="D73" s="81">
        <v>731194</v>
      </c>
      <c r="E73" s="79">
        <f t="shared" si="3"/>
        <v>67862</v>
      </c>
      <c r="F73" s="323">
        <f t="shared" si="4"/>
        <v>0.10230472825071005</v>
      </c>
    </row>
    <row r="74" spans="1:6" ht="34.5">
      <c r="A74" s="57" t="s">
        <v>64</v>
      </c>
      <c r="B74" s="81">
        <v>5118615</v>
      </c>
      <c r="C74" s="81">
        <v>4672990</v>
      </c>
      <c r="D74" s="81">
        <v>4650523</v>
      </c>
      <c r="E74" s="79">
        <f t="shared" si="3"/>
        <v>-468092</v>
      </c>
      <c r="F74" s="323">
        <f t="shared" si="4"/>
        <v>-9.1448956407153101E-2</v>
      </c>
    </row>
    <row r="75" spans="1:6" ht="35.25">
      <c r="A75" s="57" t="s">
        <v>65</v>
      </c>
      <c r="B75" s="83"/>
      <c r="C75" s="83"/>
      <c r="D75" s="83"/>
      <c r="E75" s="79"/>
      <c r="F75" s="323" t="str">
        <f t="shared" si="4"/>
        <v xml:space="preserve">  </v>
      </c>
    </row>
    <row r="76" spans="1:6" ht="34.5">
      <c r="A76" s="57" t="s">
        <v>66</v>
      </c>
      <c r="B76" s="81">
        <v>4009607</v>
      </c>
      <c r="C76" s="81">
        <v>2693893</v>
      </c>
      <c r="D76" s="81">
        <v>733542</v>
      </c>
      <c r="E76" s="79">
        <f t="shared" si="3"/>
        <v>-3276065</v>
      </c>
      <c r="F76" s="323">
        <f t="shared" si="4"/>
        <v>-0.8170538908177285</v>
      </c>
    </row>
    <row r="77" spans="1:6" ht="35.25">
      <c r="A77" s="63" t="s">
        <v>67</v>
      </c>
      <c r="B77" s="83">
        <f>SUM(B73:B76)</f>
        <v>9791554</v>
      </c>
      <c r="C77" s="83">
        <f>SUM(C73:C76)</f>
        <v>8030835</v>
      </c>
      <c r="D77" s="83">
        <f>SUM(D73:D76)</f>
        <v>6115259</v>
      </c>
      <c r="E77" s="85">
        <f t="shared" si="3"/>
        <v>-3676295</v>
      </c>
      <c r="F77" s="327">
        <f t="shared" si="4"/>
        <v>-0.37545572439267555</v>
      </c>
    </row>
    <row r="78" spans="1:6" ht="34.5">
      <c r="A78" s="69" t="s">
        <v>68</v>
      </c>
      <c r="B78" s="81">
        <v>56235</v>
      </c>
      <c r="C78" s="81">
        <v>26229</v>
      </c>
      <c r="D78" s="81">
        <v>295540</v>
      </c>
      <c r="E78" s="79">
        <f t="shared" si="3"/>
        <v>239305</v>
      </c>
      <c r="F78" s="323">
        <f t="shared" si="4"/>
        <v>4.2554458966835602</v>
      </c>
    </row>
    <row r="79" spans="1:6" ht="34.5">
      <c r="A79" s="69" t="s">
        <v>69</v>
      </c>
      <c r="B79" s="80">
        <v>104839</v>
      </c>
      <c r="C79" s="80">
        <v>400000</v>
      </c>
      <c r="D79" s="80">
        <v>0</v>
      </c>
      <c r="E79" s="79">
        <f t="shared" si="3"/>
        <v>-104839</v>
      </c>
      <c r="F79" s="323">
        <f t="shared" si="4"/>
        <v>-1</v>
      </c>
    </row>
    <row r="80" spans="1:6" ht="34.5">
      <c r="A80" s="103" t="s">
        <v>70</v>
      </c>
      <c r="B80" s="80"/>
      <c r="C80" s="80"/>
      <c r="D80" s="80"/>
      <c r="E80" s="79"/>
      <c r="F80" s="323" t="str">
        <f t="shared" si="4"/>
        <v xml:space="preserve">  </v>
      </c>
    </row>
    <row r="81" spans="1:6" ht="35.25">
      <c r="A81" s="70" t="s">
        <v>71</v>
      </c>
      <c r="B81" s="91">
        <f>SUM(B78:B80)</f>
        <v>161074</v>
      </c>
      <c r="C81" s="91">
        <f>SUM(C78:C80)</f>
        <v>426229</v>
      </c>
      <c r="D81" s="91">
        <f>SUM(D78:D80)</f>
        <v>295540</v>
      </c>
      <c r="E81" s="85">
        <f t="shared" si="3"/>
        <v>134466</v>
      </c>
      <c r="F81" s="327">
        <f t="shared" si="4"/>
        <v>0.83480884562375057</v>
      </c>
    </row>
    <row r="82" spans="1:6" s="44" customFormat="1" ht="44.25">
      <c r="A82" s="68" t="s">
        <v>53</v>
      </c>
      <c r="B82" s="91">
        <f>+B81+B77+B72+B68+1</f>
        <v>55430705</v>
      </c>
      <c r="C82" s="91">
        <f>+C81+C77+C72+C68+1</f>
        <v>56412318</v>
      </c>
      <c r="D82" s="91">
        <f>+D81+D77+D72+D68</f>
        <v>54858425</v>
      </c>
      <c r="E82" s="85">
        <f t="shared" si="3"/>
        <v>-572280</v>
      </c>
      <c r="F82" s="327">
        <f t="shared" si="4"/>
        <v>-1.032424177177613E-2</v>
      </c>
    </row>
    <row r="83" spans="1:6" s="44" customFormat="1" ht="44.25">
      <c r="E83" s="457" t="s">
        <v>35</v>
      </c>
      <c r="F83" s="318"/>
    </row>
    <row r="84" spans="1:6" s="44" customFormat="1" ht="44.25">
      <c r="A84" s="44" t="s">
        <v>99</v>
      </c>
      <c r="F84" s="318"/>
    </row>
    <row r="85" spans="1:6" s="44" customFormat="1" ht="44.25">
      <c r="A85" s="44" t="s">
        <v>72</v>
      </c>
      <c r="F85" s="318"/>
    </row>
    <row r="86" spans="1:6" ht="44.25">
      <c r="A86" s="44"/>
      <c r="B86" s="48"/>
      <c r="C86" s="48"/>
      <c r="D86" s="48"/>
      <c r="E86" s="48"/>
      <c r="F86" s="319"/>
    </row>
    <row r="87" spans="1:6">
      <c r="F87" s="331"/>
    </row>
    <row r="88" spans="1:6">
      <c r="F88" s="331"/>
    </row>
    <row r="89" spans="1:6">
      <c r="F89" s="331"/>
    </row>
    <row r="90" spans="1:6">
      <c r="F90" s="331"/>
    </row>
    <row r="91" spans="1:6">
      <c r="F91" s="331"/>
    </row>
    <row r="92" spans="1:6">
      <c r="F92" s="331"/>
    </row>
    <row r="93" spans="1:6">
      <c r="F93" s="331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64" zoomScale="30" zoomScaleNormal="30" workbookViewId="0">
      <selection activeCell="C6" sqref="C6"/>
    </sheetView>
  </sheetViews>
  <sheetFormatPr defaultRowHeight="15"/>
  <cols>
    <col min="1" max="1" width="135" style="16" customWidth="1"/>
    <col min="2" max="2" width="30.5546875" style="16" customWidth="1"/>
    <col min="3" max="5" width="30.6640625" style="16" customWidth="1"/>
    <col min="6" max="6" width="35.5546875" style="332" customWidth="1"/>
    <col min="7" max="16384" width="8.88671875" style="16"/>
  </cols>
  <sheetData>
    <row r="1" spans="1:10" ht="45">
      <c r="A1" s="17" t="s">
        <v>0</v>
      </c>
      <c r="B1" s="18"/>
      <c r="C1" s="18"/>
      <c r="D1" s="17" t="s">
        <v>1</v>
      </c>
      <c r="E1" s="113" t="s">
        <v>105</v>
      </c>
      <c r="G1" s="78"/>
      <c r="H1" s="18"/>
      <c r="I1" s="18"/>
      <c r="J1" s="18"/>
    </row>
    <row r="2" spans="1:10" ht="45">
      <c r="A2" s="17" t="s">
        <v>2</v>
      </c>
      <c r="B2" s="18"/>
      <c r="C2" s="18"/>
      <c r="D2" s="18"/>
      <c r="E2" s="20"/>
      <c r="F2" s="336"/>
      <c r="G2" s="18"/>
      <c r="H2" s="18"/>
      <c r="I2" s="18"/>
      <c r="J2" s="18"/>
    </row>
    <row r="3" spans="1:10" ht="45.75" thickBot="1">
      <c r="A3" s="17" t="s">
        <v>3</v>
      </c>
      <c r="B3" s="18"/>
      <c r="C3" s="18"/>
      <c r="D3" s="18"/>
      <c r="E3" s="18"/>
      <c r="F3" s="337"/>
      <c r="G3" s="18"/>
      <c r="H3" s="18"/>
      <c r="I3" s="18"/>
      <c r="J3" s="18"/>
    </row>
    <row r="4" spans="1:10" ht="35.25">
      <c r="A4" s="21" t="s">
        <v>4</v>
      </c>
      <c r="B4" s="22" t="s">
        <v>5</v>
      </c>
      <c r="C4" s="23" t="s">
        <v>6</v>
      </c>
      <c r="D4" s="23" t="s">
        <v>6</v>
      </c>
      <c r="E4" s="22" t="s">
        <v>7</v>
      </c>
      <c r="F4" s="338" t="s">
        <v>8</v>
      </c>
      <c r="G4" s="24"/>
      <c r="H4" s="24"/>
      <c r="I4" s="24"/>
      <c r="J4" s="24"/>
    </row>
    <row r="5" spans="1:10" ht="35.25">
      <c r="A5" s="25"/>
      <c r="B5" s="26" t="s">
        <v>79</v>
      </c>
      <c r="C5" s="26" t="s">
        <v>93</v>
      </c>
      <c r="D5" s="26" t="s">
        <v>89</v>
      </c>
      <c r="E5" s="26" t="s">
        <v>79</v>
      </c>
      <c r="F5" s="339" t="s">
        <v>11</v>
      </c>
      <c r="G5" s="24"/>
      <c r="H5" s="24"/>
      <c r="I5" s="24"/>
      <c r="J5" s="24"/>
    </row>
    <row r="6" spans="1:10" ht="35.25">
      <c r="A6" s="27" t="s">
        <v>12</v>
      </c>
      <c r="B6" s="28"/>
      <c r="C6" s="28"/>
      <c r="D6" s="28"/>
      <c r="E6" s="28"/>
      <c r="F6" s="340"/>
      <c r="G6" s="24"/>
      <c r="H6" s="24"/>
      <c r="I6" s="24"/>
      <c r="J6" s="24"/>
    </row>
    <row r="7" spans="1:10" ht="35.25">
      <c r="A7" s="29" t="s">
        <v>13</v>
      </c>
      <c r="B7" s="25"/>
      <c r="C7" s="25"/>
      <c r="D7" s="25"/>
      <c r="E7" s="25"/>
      <c r="F7" s="341"/>
      <c r="G7" s="24"/>
      <c r="H7" s="24"/>
      <c r="I7" s="24"/>
      <c r="J7" s="24"/>
    </row>
    <row r="8" spans="1:10" ht="34.5">
      <c r="A8" s="30" t="s">
        <v>14</v>
      </c>
      <c r="B8" s="92">
        <v>41259264</v>
      </c>
      <c r="C8" s="92">
        <v>41259264</v>
      </c>
      <c r="D8" s="92">
        <v>29234534</v>
      </c>
      <c r="E8" s="92">
        <f>D8-B8</f>
        <v>-12024730</v>
      </c>
      <c r="F8" s="342">
        <f t="shared" ref="F8:F71" si="0">IF(ISBLANK(E8),"  ",IF(C8&gt;0,E8/C8,IF(E8&gt;0,1,0)))</f>
        <v>-0.29144315322735764</v>
      </c>
      <c r="G8" s="24"/>
      <c r="H8" s="24"/>
      <c r="I8" s="24"/>
      <c r="J8" s="24"/>
    </row>
    <row r="9" spans="1:10" ht="34.5">
      <c r="A9" s="31" t="s">
        <v>106</v>
      </c>
      <c r="B9" s="93">
        <v>0</v>
      </c>
      <c r="C9" s="93">
        <v>0</v>
      </c>
      <c r="D9" s="93">
        <v>2773211</v>
      </c>
      <c r="E9" s="160">
        <f>D9-B9</f>
        <v>2773211</v>
      </c>
      <c r="F9" s="343">
        <f t="shared" si="0"/>
        <v>1</v>
      </c>
      <c r="G9" s="24"/>
      <c r="H9" s="24"/>
      <c r="I9" s="24"/>
      <c r="J9" s="24"/>
    </row>
    <row r="10" spans="1:10" ht="34.5">
      <c r="A10" s="31" t="s">
        <v>15</v>
      </c>
      <c r="B10" s="93">
        <v>2220095</v>
      </c>
      <c r="C10" s="93">
        <v>2267430</v>
      </c>
      <c r="D10" s="93">
        <v>2121163</v>
      </c>
      <c r="E10" s="93">
        <v>-146267</v>
      </c>
      <c r="F10" s="343">
        <f t="shared" si="0"/>
        <v>-6.4507834861495167E-2</v>
      </c>
      <c r="G10" s="24"/>
      <c r="H10" s="24"/>
      <c r="I10" s="24"/>
      <c r="J10" s="24"/>
    </row>
    <row r="11" spans="1:10" ht="34.5">
      <c r="A11" s="30" t="s">
        <v>16</v>
      </c>
      <c r="B11" s="93">
        <v>0</v>
      </c>
      <c r="C11" s="93">
        <v>0</v>
      </c>
      <c r="D11" s="93">
        <v>234601</v>
      </c>
      <c r="E11" s="160">
        <f>D11-B11</f>
        <v>234601</v>
      </c>
      <c r="F11" s="343">
        <f t="shared" si="0"/>
        <v>1</v>
      </c>
      <c r="G11" s="24"/>
      <c r="H11" s="24"/>
      <c r="I11" s="24"/>
      <c r="J11" s="24"/>
    </row>
    <row r="12" spans="1:10" ht="34.5">
      <c r="A12" s="31" t="s">
        <v>17</v>
      </c>
      <c r="B12" s="93">
        <v>1525781</v>
      </c>
      <c r="C12" s="93">
        <v>1573116</v>
      </c>
      <c r="D12" s="93">
        <v>1360958</v>
      </c>
      <c r="E12" s="458">
        <f>D12-B12</f>
        <v>-164823</v>
      </c>
      <c r="F12" s="343">
        <f t="shared" si="0"/>
        <v>-0.10477485449261212</v>
      </c>
      <c r="G12" s="24"/>
      <c r="H12" s="24"/>
      <c r="I12" s="24"/>
      <c r="J12" s="24"/>
    </row>
    <row r="13" spans="1:10" ht="34.5">
      <c r="A13" s="31" t="s">
        <v>18</v>
      </c>
      <c r="B13" s="93"/>
      <c r="C13" s="93"/>
      <c r="D13" s="93"/>
      <c r="E13" s="93"/>
      <c r="F13" s="343" t="str">
        <f t="shared" si="0"/>
        <v xml:space="preserve">  </v>
      </c>
      <c r="G13" s="24"/>
      <c r="H13" s="24"/>
      <c r="I13" s="24"/>
      <c r="J13" s="24"/>
    </row>
    <row r="14" spans="1:10" ht="34.5">
      <c r="A14" s="31" t="s">
        <v>19</v>
      </c>
      <c r="B14" s="93">
        <v>528064</v>
      </c>
      <c r="C14" s="93">
        <v>528064</v>
      </c>
      <c r="D14" s="93">
        <v>525604</v>
      </c>
      <c r="E14" s="458">
        <f>D14-B14</f>
        <v>-2460</v>
      </c>
      <c r="F14" s="343">
        <f t="shared" si="0"/>
        <v>-4.6585262392437278E-3</v>
      </c>
      <c r="G14" s="24"/>
      <c r="H14" s="24"/>
      <c r="I14" s="24"/>
      <c r="J14" s="24"/>
    </row>
    <row r="15" spans="1:10" ht="34.5">
      <c r="A15" s="31" t="s">
        <v>20</v>
      </c>
      <c r="B15" s="93"/>
      <c r="C15" s="93"/>
      <c r="D15" s="93"/>
      <c r="E15" s="93"/>
      <c r="F15" s="343" t="str">
        <f t="shared" si="0"/>
        <v xml:space="preserve">  </v>
      </c>
      <c r="G15" s="24"/>
      <c r="H15" s="24"/>
      <c r="I15" s="24"/>
      <c r="J15" s="24"/>
    </row>
    <row r="16" spans="1:10" ht="34.5">
      <c r="A16" s="31" t="s">
        <v>21</v>
      </c>
      <c r="B16" s="93"/>
      <c r="C16" s="93"/>
      <c r="D16" s="93"/>
      <c r="E16" s="93"/>
      <c r="F16" s="343" t="str">
        <f t="shared" si="0"/>
        <v xml:space="preserve">  </v>
      </c>
      <c r="G16" s="24"/>
      <c r="H16" s="24"/>
      <c r="I16" s="24"/>
      <c r="J16" s="24"/>
    </row>
    <row r="17" spans="1:10" ht="34.5">
      <c r="A17" s="31" t="s">
        <v>22</v>
      </c>
      <c r="B17" s="93"/>
      <c r="C17" s="93"/>
      <c r="D17" s="93"/>
      <c r="E17" s="93"/>
      <c r="F17" s="343" t="str">
        <f t="shared" si="0"/>
        <v xml:space="preserve">  </v>
      </c>
      <c r="G17" s="24"/>
      <c r="H17" s="24"/>
      <c r="I17" s="24"/>
      <c r="J17" s="24"/>
    </row>
    <row r="18" spans="1:10" ht="34.5">
      <c r="A18" s="31" t="s">
        <v>23</v>
      </c>
      <c r="B18" s="93"/>
      <c r="C18" s="93"/>
      <c r="D18" s="93"/>
      <c r="E18" s="93"/>
      <c r="F18" s="343" t="str">
        <f t="shared" si="0"/>
        <v xml:space="preserve">  </v>
      </c>
      <c r="G18" s="24"/>
      <c r="H18" s="24"/>
    </row>
    <row r="19" spans="1:10" ht="34.5">
      <c r="A19" s="31" t="s">
        <v>24</v>
      </c>
      <c r="B19" s="93"/>
      <c r="C19" s="93"/>
      <c r="D19" s="93"/>
      <c r="E19" s="93"/>
      <c r="F19" s="343" t="str">
        <f t="shared" si="0"/>
        <v xml:space="preserve">  </v>
      </c>
      <c r="G19" s="24"/>
      <c r="H19" s="24"/>
    </row>
    <row r="20" spans="1:10" ht="34.5">
      <c r="A20" s="31" t="s">
        <v>25</v>
      </c>
      <c r="B20" s="93"/>
      <c r="C20" s="93"/>
      <c r="D20" s="93"/>
      <c r="E20" s="93"/>
      <c r="F20" s="343" t="str">
        <f t="shared" si="0"/>
        <v xml:space="preserve">  </v>
      </c>
      <c r="G20" s="24"/>
      <c r="H20" s="24"/>
    </row>
    <row r="21" spans="1:10" ht="34.5">
      <c r="A21" s="31" t="s">
        <v>26</v>
      </c>
      <c r="B21" s="93"/>
      <c r="C21" s="93"/>
      <c r="D21" s="93"/>
      <c r="E21" s="93"/>
      <c r="F21" s="343" t="str">
        <f t="shared" si="0"/>
        <v xml:space="preserve">  </v>
      </c>
      <c r="G21" s="24"/>
      <c r="H21" s="24"/>
    </row>
    <row r="22" spans="1:10" ht="34.5">
      <c r="A22" s="31" t="s">
        <v>27</v>
      </c>
      <c r="B22" s="93"/>
      <c r="C22" s="93"/>
      <c r="D22" s="93"/>
      <c r="E22" s="93"/>
      <c r="F22" s="343" t="str">
        <f t="shared" si="0"/>
        <v xml:space="preserve">  </v>
      </c>
      <c r="G22" s="24"/>
      <c r="H22" s="24"/>
    </row>
    <row r="23" spans="1:10" ht="34.5">
      <c r="A23" s="31" t="s">
        <v>28</v>
      </c>
      <c r="B23" s="93"/>
      <c r="C23" s="93"/>
      <c r="D23" s="93"/>
      <c r="E23" s="93"/>
      <c r="F23" s="343" t="str">
        <f t="shared" si="0"/>
        <v xml:space="preserve">  </v>
      </c>
      <c r="G23" s="24"/>
      <c r="H23" s="24"/>
    </row>
    <row r="24" spans="1:10" ht="34.5">
      <c r="A24" s="31" t="s">
        <v>90</v>
      </c>
      <c r="B24" s="93"/>
      <c r="C24" s="93"/>
      <c r="D24" s="93"/>
      <c r="E24" s="93"/>
      <c r="F24" s="343" t="str">
        <f t="shared" si="0"/>
        <v xml:space="preserve">  </v>
      </c>
      <c r="G24" s="24"/>
      <c r="H24" s="24"/>
    </row>
    <row r="25" spans="1:10" ht="34.5">
      <c r="A25" s="31" t="s">
        <v>80</v>
      </c>
      <c r="B25" s="93">
        <v>166250</v>
      </c>
      <c r="C25" s="93">
        <v>166250</v>
      </c>
      <c r="D25" s="93">
        <v>0</v>
      </c>
      <c r="E25" s="160">
        <f>D25-B25</f>
        <v>-166250</v>
      </c>
      <c r="F25" s="343">
        <f t="shared" si="0"/>
        <v>-1</v>
      </c>
      <c r="G25" s="24"/>
      <c r="H25" s="24"/>
    </row>
    <row r="26" spans="1:10" ht="35.25">
      <c r="A26" s="32" t="s">
        <v>29</v>
      </c>
      <c r="B26" s="93"/>
      <c r="C26" s="93"/>
      <c r="D26" s="93"/>
      <c r="E26" s="93"/>
      <c r="F26" s="343" t="str">
        <f t="shared" si="0"/>
        <v xml:space="preserve">  </v>
      </c>
      <c r="G26" s="24"/>
      <c r="H26" s="24"/>
    </row>
    <row r="27" spans="1:10" ht="34.5">
      <c r="A27" s="31" t="s">
        <v>30</v>
      </c>
      <c r="B27" s="93"/>
      <c r="C27" s="93"/>
      <c r="D27" s="93"/>
      <c r="E27" s="93"/>
      <c r="F27" s="343" t="str">
        <f t="shared" si="0"/>
        <v xml:space="preserve">  </v>
      </c>
      <c r="G27" s="24"/>
      <c r="H27" s="24"/>
    </row>
    <row r="28" spans="1:10" ht="35.25">
      <c r="A28" s="32" t="s">
        <v>31</v>
      </c>
      <c r="B28" s="93"/>
      <c r="C28" s="93"/>
      <c r="D28" s="93"/>
      <c r="E28" s="93"/>
      <c r="F28" s="343" t="str">
        <f t="shared" si="0"/>
        <v xml:space="preserve">  </v>
      </c>
      <c r="G28" s="24"/>
      <c r="H28" s="24"/>
    </row>
    <row r="29" spans="1:10" ht="34.5">
      <c r="A29" s="31" t="s">
        <v>30</v>
      </c>
      <c r="B29" s="93"/>
      <c r="C29" s="93"/>
      <c r="D29" s="93"/>
      <c r="E29" s="93"/>
      <c r="F29" s="343" t="str">
        <f t="shared" si="0"/>
        <v xml:space="preserve">  </v>
      </c>
      <c r="G29" s="24"/>
      <c r="H29" s="24"/>
    </row>
    <row r="30" spans="1:10" ht="34.5">
      <c r="A30" s="31" t="s">
        <v>32</v>
      </c>
      <c r="B30" s="93"/>
      <c r="C30" s="93"/>
      <c r="D30" s="93"/>
      <c r="E30" s="93"/>
      <c r="F30" s="343" t="str">
        <f t="shared" si="0"/>
        <v xml:space="preserve">  </v>
      </c>
      <c r="G30" s="24"/>
      <c r="H30" s="24"/>
    </row>
    <row r="31" spans="1:10" ht="35.25">
      <c r="A31" s="32" t="s">
        <v>33</v>
      </c>
      <c r="B31" s="94">
        <v>43479359</v>
      </c>
      <c r="C31" s="94">
        <v>43526694</v>
      </c>
      <c r="D31" s="94">
        <v>34128908</v>
      </c>
      <c r="E31" s="297">
        <f>D31-B31</f>
        <v>-9350451</v>
      </c>
      <c r="F31" s="344">
        <f t="shared" si="0"/>
        <v>-0.21482107049067406</v>
      </c>
      <c r="G31" s="24"/>
      <c r="H31" s="24"/>
    </row>
    <row r="32" spans="1:10" ht="35.25">
      <c r="A32" s="32"/>
      <c r="B32" s="93"/>
      <c r="C32" s="93"/>
      <c r="D32" s="93"/>
      <c r="E32" s="93"/>
      <c r="F32" s="343" t="str">
        <f t="shared" si="0"/>
        <v xml:space="preserve">  </v>
      </c>
      <c r="G32" s="24"/>
      <c r="H32" s="24"/>
    </row>
    <row r="33" spans="1:8" ht="35.25">
      <c r="A33" s="33" t="s">
        <v>34</v>
      </c>
      <c r="B33" s="95"/>
      <c r="C33" s="95"/>
      <c r="D33" s="95"/>
      <c r="E33" s="95"/>
      <c r="F33" s="345" t="str">
        <f t="shared" si="0"/>
        <v xml:space="preserve">  </v>
      </c>
      <c r="G33" s="24"/>
      <c r="H33" s="24"/>
    </row>
    <row r="34" spans="1:8" ht="35.25">
      <c r="A34" s="31" t="s">
        <v>35</v>
      </c>
      <c r="B34" s="94"/>
      <c r="C34" s="94"/>
      <c r="D34" s="94"/>
      <c r="E34" s="94"/>
      <c r="F34" s="344" t="str">
        <f t="shared" si="0"/>
        <v xml:space="preserve">  </v>
      </c>
      <c r="G34" s="24"/>
      <c r="H34" s="24"/>
    </row>
    <row r="35" spans="1:8" ht="35.25">
      <c r="A35" s="33" t="s">
        <v>36</v>
      </c>
      <c r="B35" s="95"/>
      <c r="C35" s="95"/>
      <c r="D35" s="95"/>
      <c r="E35" s="95"/>
      <c r="F35" s="345" t="str">
        <f t="shared" si="0"/>
        <v xml:space="preserve">  </v>
      </c>
      <c r="G35" s="24"/>
      <c r="H35" s="24"/>
    </row>
    <row r="36" spans="1:8" ht="35.25">
      <c r="A36" s="32"/>
      <c r="B36" s="94"/>
      <c r="C36" s="94"/>
      <c r="D36" s="94"/>
      <c r="E36" s="94"/>
      <c r="F36" s="344" t="str">
        <f t="shared" si="0"/>
        <v xml:space="preserve">  </v>
      </c>
      <c r="G36" s="24"/>
      <c r="H36" s="24"/>
    </row>
    <row r="37" spans="1:8" ht="35.25">
      <c r="A37" s="33" t="s">
        <v>107</v>
      </c>
      <c r="B37" s="95">
        <v>0</v>
      </c>
      <c r="C37" s="95">
        <v>0</v>
      </c>
      <c r="D37" s="95">
        <v>5749198</v>
      </c>
      <c r="E37" s="95">
        <f>D37-B37</f>
        <v>5749198</v>
      </c>
      <c r="F37" s="345">
        <f t="shared" si="0"/>
        <v>1</v>
      </c>
      <c r="G37" s="24"/>
      <c r="H37" s="24"/>
    </row>
    <row r="38" spans="1:8" ht="35.25">
      <c r="A38" s="31"/>
      <c r="B38" s="94"/>
      <c r="C38" s="94"/>
      <c r="D38" s="94"/>
      <c r="E38" s="94"/>
      <c r="F38" s="344" t="str">
        <f t="shared" si="0"/>
        <v xml:space="preserve">  </v>
      </c>
      <c r="G38" s="24"/>
      <c r="H38" s="24"/>
    </row>
    <row r="39" spans="1:8" ht="35.25">
      <c r="A39" s="33" t="s">
        <v>37</v>
      </c>
      <c r="B39" s="95">
        <v>22526602.5</v>
      </c>
      <c r="C39" s="95">
        <v>27232488</v>
      </c>
      <c r="D39" s="95">
        <v>29005188</v>
      </c>
      <c r="E39" s="95">
        <f>D39-B39</f>
        <v>6478585.5</v>
      </c>
      <c r="F39" s="345">
        <f t="shared" si="0"/>
        <v>0.23789914090846198</v>
      </c>
      <c r="G39" s="24"/>
      <c r="H39" s="24"/>
    </row>
    <row r="40" spans="1:8" ht="35.25">
      <c r="A40" s="31" t="s">
        <v>35</v>
      </c>
      <c r="B40" s="94"/>
      <c r="C40" s="94"/>
      <c r="D40" s="94"/>
      <c r="E40" s="94"/>
      <c r="F40" s="344" t="str">
        <f t="shared" si="0"/>
        <v xml:space="preserve">  </v>
      </c>
      <c r="G40" s="24"/>
      <c r="H40" s="24"/>
    </row>
    <row r="41" spans="1:8" ht="35.25">
      <c r="A41" s="33" t="s">
        <v>38</v>
      </c>
      <c r="B41" s="95"/>
      <c r="C41" s="95"/>
      <c r="D41" s="95"/>
      <c r="E41" s="95"/>
      <c r="F41" s="345" t="str">
        <f t="shared" si="0"/>
        <v xml:space="preserve">  </v>
      </c>
      <c r="G41" s="24"/>
      <c r="H41" s="24"/>
    </row>
    <row r="42" spans="1:8" ht="35.25">
      <c r="A42" s="31"/>
      <c r="B42" s="94"/>
      <c r="C42" s="94"/>
      <c r="D42" s="94"/>
      <c r="E42" s="94"/>
      <c r="F42" s="344" t="str">
        <f t="shared" si="0"/>
        <v xml:space="preserve">  </v>
      </c>
      <c r="G42" s="24"/>
      <c r="H42" s="24"/>
    </row>
    <row r="43" spans="1:8" ht="35.25">
      <c r="A43" s="29" t="s">
        <v>39</v>
      </c>
      <c r="B43" s="96">
        <v>66005961.5</v>
      </c>
      <c r="C43" s="96">
        <v>70759182</v>
      </c>
      <c r="D43" s="96">
        <v>68883294</v>
      </c>
      <c r="E43" s="95">
        <f>D43-B43</f>
        <v>2877332.5</v>
      </c>
      <c r="F43" s="345">
        <f t="shared" si="0"/>
        <v>4.0663733224049987E-2</v>
      </c>
      <c r="G43" s="24"/>
      <c r="H43" s="24"/>
    </row>
    <row r="44" spans="1:8" ht="34.5">
      <c r="A44" s="28"/>
      <c r="B44" s="97"/>
      <c r="C44" s="97"/>
      <c r="D44" s="97"/>
      <c r="E44" s="97"/>
      <c r="F44" s="346" t="str">
        <f t="shared" si="0"/>
        <v xml:space="preserve">  </v>
      </c>
      <c r="G44" s="24"/>
      <c r="H44" s="24"/>
    </row>
    <row r="45" spans="1:8" ht="34.5">
      <c r="A45" s="25"/>
      <c r="B45" s="98"/>
      <c r="C45" s="98"/>
      <c r="D45" s="98"/>
      <c r="E45" s="98"/>
      <c r="F45" s="347" t="str">
        <f t="shared" si="0"/>
        <v xml:space="preserve">  </v>
      </c>
      <c r="G45" s="24"/>
      <c r="H45" s="24"/>
    </row>
    <row r="46" spans="1:8" ht="35.25">
      <c r="A46" s="29" t="s">
        <v>40</v>
      </c>
      <c r="B46" s="98"/>
      <c r="C46" s="98"/>
      <c r="D46" s="98"/>
      <c r="E46" s="98"/>
      <c r="F46" s="347" t="str">
        <f t="shared" si="0"/>
        <v xml:space="preserve">  </v>
      </c>
      <c r="G46" s="24"/>
      <c r="H46" s="24"/>
    </row>
    <row r="47" spans="1:8" ht="34.5">
      <c r="A47" s="30" t="s">
        <v>41</v>
      </c>
      <c r="B47" s="92">
        <v>29890505.18</v>
      </c>
      <c r="C47" s="92">
        <v>31118335</v>
      </c>
      <c r="D47" s="92">
        <v>30837274</v>
      </c>
      <c r="E47" s="92">
        <f>D47-B47</f>
        <v>946768.8200000003</v>
      </c>
      <c r="F47" s="342">
        <f t="shared" si="0"/>
        <v>3.0424790400900313E-2</v>
      </c>
      <c r="G47" s="24"/>
      <c r="H47" s="24"/>
    </row>
    <row r="48" spans="1:8" ht="34.5">
      <c r="A48" s="31" t="s">
        <v>42</v>
      </c>
      <c r="B48" s="93">
        <v>869862.13</v>
      </c>
      <c r="C48" s="93">
        <v>675289</v>
      </c>
      <c r="D48" s="93">
        <v>1480982</v>
      </c>
      <c r="E48" s="458">
        <f>D48-B48</f>
        <v>611119.87</v>
      </c>
      <c r="F48" s="343">
        <f t="shared" si="0"/>
        <v>0.90497530686861472</v>
      </c>
      <c r="G48" s="24"/>
      <c r="H48" s="24"/>
    </row>
    <row r="49" spans="1:8" ht="34.5">
      <c r="A49" s="31" t="s">
        <v>43</v>
      </c>
      <c r="B49" s="93"/>
      <c r="C49" s="93"/>
      <c r="D49" s="93"/>
      <c r="E49" s="97"/>
      <c r="F49" s="343" t="str">
        <f t="shared" si="0"/>
        <v xml:space="preserve">  </v>
      </c>
      <c r="G49" s="24"/>
      <c r="H49" s="24"/>
    </row>
    <row r="50" spans="1:8" ht="34.5">
      <c r="A50" s="31" t="s">
        <v>44</v>
      </c>
      <c r="B50" s="93">
        <v>6640597.1699999999</v>
      </c>
      <c r="C50" s="93">
        <v>6779499</v>
      </c>
      <c r="D50" s="93">
        <v>6539100</v>
      </c>
      <c r="E50" s="160">
        <f t="shared" ref="E50:E55" si="1">D50-B50</f>
        <v>-101497.16999999993</v>
      </c>
      <c r="F50" s="343">
        <f t="shared" si="0"/>
        <v>-1.4971190349021354E-2</v>
      </c>
      <c r="G50" s="24"/>
      <c r="H50" s="24"/>
    </row>
    <row r="51" spans="1:8" ht="34.5">
      <c r="A51" s="31" t="s">
        <v>45</v>
      </c>
      <c r="B51" s="93">
        <v>4229406.68</v>
      </c>
      <c r="C51" s="93">
        <v>4937320</v>
      </c>
      <c r="D51" s="93">
        <v>4216240</v>
      </c>
      <c r="E51" s="160">
        <f t="shared" si="1"/>
        <v>-13166.679999999702</v>
      </c>
      <c r="F51" s="343">
        <f t="shared" si="0"/>
        <v>-2.6667665859210466E-3</v>
      </c>
      <c r="G51" s="24"/>
      <c r="H51" s="24"/>
    </row>
    <row r="52" spans="1:8" ht="34.5">
      <c r="A52" s="31" t="s">
        <v>74</v>
      </c>
      <c r="B52" s="93">
        <v>7767754.2999999998</v>
      </c>
      <c r="C52" s="93">
        <v>8584994</v>
      </c>
      <c r="D52" s="93">
        <v>8200203</v>
      </c>
      <c r="E52" s="160">
        <f t="shared" si="1"/>
        <v>432448.70000000019</v>
      </c>
      <c r="F52" s="343">
        <f t="shared" si="0"/>
        <v>5.037262693485868E-2</v>
      </c>
      <c r="G52" s="24"/>
      <c r="H52" s="24"/>
    </row>
    <row r="53" spans="1:8" ht="34.5">
      <c r="A53" s="31" t="s">
        <v>46</v>
      </c>
      <c r="B53" s="93">
        <v>3941381.18</v>
      </c>
      <c r="C53" s="93">
        <v>4715000</v>
      </c>
      <c r="D53" s="93">
        <v>4635000</v>
      </c>
      <c r="E53" s="160">
        <f t="shared" si="1"/>
        <v>693618.81999999983</v>
      </c>
      <c r="F53" s="343">
        <f t="shared" si="0"/>
        <v>0.14710897560975605</v>
      </c>
      <c r="G53" s="24"/>
      <c r="H53" s="24"/>
    </row>
    <row r="54" spans="1:8" ht="34.5">
      <c r="A54" s="31" t="s">
        <v>47</v>
      </c>
      <c r="B54" s="93">
        <v>6602292.4900000002</v>
      </c>
      <c r="C54" s="93">
        <v>8109503</v>
      </c>
      <c r="D54" s="93">
        <v>7012959</v>
      </c>
      <c r="E54" s="160">
        <f t="shared" si="1"/>
        <v>410666.50999999978</v>
      </c>
      <c r="F54" s="343">
        <f t="shared" si="0"/>
        <v>5.0640157602753186E-2</v>
      </c>
      <c r="G54" s="24"/>
      <c r="H54" s="24"/>
    </row>
    <row r="55" spans="1:8" ht="35.25">
      <c r="A55" s="27" t="s">
        <v>48</v>
      </c>
      <c r="B55" s="94">
        <v>59941799.130000003</v>
      </c>
      <c r="C55" s="94">
        <v>64919940</v>
      </c>
      <c r="D55" s="94">
        <v>62921758</v>
      </c>
      <c r="E55" s="297">
        <f t="shared" si="1"/>
        <v>2979958.8699999973</v>
      </c>
      <c r="F55" s="344">
        <f t="shared" si="0"/>
        <v>4.5902058289024869E-2</v>
      </c>
      <c r="G55" s="24"/>
      <c r="H55" s="24"/>
    </row>
    <row r="56" spans="1:8" ht="34.5">
      <c r="A56" s="31" t="s">
        <v>49</v>
      </c>
      <c r="B56" s="93"/>
      <c r="C56" s="93"/>
      <c r="D56" s="93"/>
      <c r="E56" s="97"/>
      <c r="F56" s="343" t="str">
        <f t="shared" si="0"/>
        <v xml:space="preserve">  </v>
      </c>
      <c r="G56" s="24"/>
      <c r="H56" s="24"/>
    </row>
    <row r="57" spans="1:8" ht="34.5">
      <c r="A57" s="31" t="s">
        <v>50</v>
      </c>
      <c r="B57" s="93">
        <v>2068656</v>
      </c>
      <c r="C57" s="93">
        <v>2143174</v>
      </c>
      <c r="D57" s="93">
        <v>2138375</v>
      </c>
      <c r="E57" s="160">
        <f>D57-B57</f>
        <v>69719</v>
      </c>
      <c r="F57" s="343">
        <f t="shared" si="0"/>
        <v>3.2530723123740772E-2</v>
      </c>
      <c r="G57" s="24"/>
      <c r="H57" s="24"/>
    </row>
    <row r="58" spans="1:8" ht="34.5">
      <c r="A58" s="31" t="s">
        <v>51</v>
      </c>
      <c r="B58" s="93">
        <v>3748818</v>
      </c>
      <c r="C58" s="93">
        <v>3648818</v>
      </c>
      <c r="D58" s="93">
        <v>3166557</v>
      </c>
      <c r="E58" s="160">
        <f>D58-B58</f>
        <v>-582261</v>
      </c>
      <c r="F58" s="343">
        <f t="shared" si="0"/>
        <v>-0.15957523778933341</v>
      </c>
      <c r="G58" s="24"/>
      <c r="H58" s="24"/>
    </row>
    <row r="59" spans="1:8" ht="34.5">
      <c r="A59" s="31" t="s">
        <v>52</v>
      </c>
      <c r="B59" s="93">
        <v>246688.37</v>
      </c>
      <c r="C59" s="93">
        <v>47250</v>
      </c>
      <c r="D59" s="93">
        <v>656604</v>
      </c>
      <c r="E59" s="160">
        <f>D59-B59</f>
        <v>409915.63</v>
      </c>
      <c r="F59" s="343">
        <f t="shared" si="0"/>
        <v>8.6754630687830687</v>
      </c>
      <c r="G59" s="24"/>
      <c r="H59" s="24"/>
    </row>
    <row r="60" spans="1:8" ht="35.25">
      <c r="A60" s="27" t="s">
        <v>53</v>
      </c>
      <c r="B60" s="94">
        <v>66005961.5</v>
      </c>
      <c r="C60" s="94">
        <v>70759182</v>
      </c>
      <c r="D60" s="94">
        <v>68883294</v>
      </c>
      <c r="E60" s="297">
        <f>D60-B60</f>
        <v>2877332.5</v>
      </c>
      <c r="F60" s="344">
        <f t="shared" si="0"/>
        <v>4.0663733224049987E-2</v>
      </c>
      <c r="G60" s="24"/>
      <c r="H60" s="24"/>
    </row>
    <row r="61" spans="1:8" ht="34.5">
      <c r="A61" s="28"/>
      <c r="B61" s="97"/>
      <c r="C61" s="97"/>
      <c r="D61" s="97"/>
      <c r="E61" s="97"/>
      <c r="F61" s="346" t="str">
        <f t="shared" si="0"/>
        <v xml:space="preserve">  </v>
      </c>
      <c r="G61" s="24"/>
      <c r="H61" s="24"/>
    </row>
    <row r="62" spans="1:8" ht="35.25">
      <c r="A62" s="29" t="s">
        <v>54</v>
      </c>
      <c r="B62" s="98"/>
      <c r="C62" s="98"/>
      <c r="D62" s="98"/>
      <c r="E62" s="98"/>
      <c r="F62" s="347" t="str">
        <f t="shared" si="0"/>
        <v xml:space="preserve">  </v>
      </c>
      <c r="G62" s="24"/>
      <c r="H62" s="24"/>
    </row>
    <row r="63" spans="1:8" ht="34.5">
      <c r="A63" s="30" t="s">
        <v>55</v>
      </c>
      <c r="B63" s="92">
        <v>37198470.799999997</v>
      </c>
      <c r="C63" s="92">
        <v>37404787</v>
      </c>
      <c r="D63" s="92">
        <v>36599279</v>
      </c>
      <c r="E63" s="92">
        <f t="shared" ref="E63:E72" si="2">D63-B63</f>
        <v>-599191.79999999702</v>
      </c>
      <c r="F63" s="342">
        <f t="shared" si="0"/>
        <v>-1.6019120761200885E-2</v>
      </c>
      <c r="G63" s="24"/>
      <c r="H63" s="24"/>
    </row>
    <row r="64" spans="1:8" ht="34.5">
      <c r="A64" s="31" t="s">
        <v>56</v>
      </c>
      <c r="B64" s="93">
        <v>714961.3</v>
      </c>
      <c r="C64" s="93">
        <v>936148</v>
      </c>
      <c r="D64" s="93">
        <v>565067</v>
      </c>
      <c r="E64" s="160">
        <f t="shared" si="2"/>
        <v>-149894.30000000005</v>
      </c>
      <c r="F64" s="343">
        <f t="shared" si="0"/>
        <v>-0.16011816507646232</v>
      </c>
      <c r="G64" s="24"/>
      <c r="H64" s="24"/>
    </row>
    <row r="65" spans="1:8" ht="34.5">
      <c r="A65" s="31" t="s">
        <v>57</v>
      </c>
      <c r="B65" s="93">
        <v>11182209.17</v>
      </c>
      <c r="C65" s="93">
        <v>11772221</v>
      </c>
      <c r="D65" s="93">
        <v>11843642</v>
      </c>
      <c r="E65" s="160">
        <f t="shared" si="2"/>
        <v>661432.83000000007</v>
      </c>
      <c r="F65" s="343">
        <f t="shared" si="0"/>
        <v>5.6185899839970729E-2</v>
      </c>
      <c r="G65" s="24"/>
      <c r="H65" s="24"/>
    </row>
    <row r="66" spans="1:8" ht="35.25">
      <c r="A66" s="27" t="s">
        <v>58</v>
      </c>
      <c r="B66" s="99">
        <v>49095641.269999996</v>
      </c>
      <c r="C66" s="99">
        <v>50113156</v>
      </c>
      <c r="D66" s="99">
        <v>49007988</v>
      </c>
      <c r="E66" s="284">
        <f t="shared" si="2"/>
        <v>-87653.269999995828</v>
      </c>
      <c r="F66" s="344">
        <f t="shared" si="0"/>
        <v>-1.7491069610542154E-3</v>
      </c>
      <c r="G66" s="24"/>
      <c r="H66" s="24"/>
    </row>
    <row r="67" spans="1:8" ht="34.5">
      <c r="A67" s="31" t="s">
        <v>59</v>
      </c>
      <c r="B67" s="93">
        <v>238269.63</v>
      </c>
      <c r="C67" s="93">
        <v>404372</v>
      </c>
      <c r="D67" s="93">
        <v>133057</v>
      </c>
      <c r="E67" s="160">
        <f t="shared" si="2"/>
        <v>-105212.63</v>
      </c>
      <c r="F67" s="343">
        <f t="shared" si="0"/>
        <v>-0.26018772318558159</v>
      </c>
      <c r="G67" s="24"/>
      <c r="H67" s="24"/>
    </row>
    <row r="68" spans="1:8" ht="34.5">
      <c r="A68" s="31" t="s">
        <v>60</v>
      </c>
      <c r="B68" s="93">
        <v>3883626.12</v>
      </c>
      <c r="C68" s="93">
        <v>4966822</v>
      </c>
      <c r="D68" s="93">
        <v>4595168</v>
      </c>
      <c r="E68" s="160">
        <f t="shared" si="2"/>
        <v>711541.87999999989</v>
      </c>
      <c r="F68" s="343">
        <f t="shared" si="0"/>
        <v>0.14325898532300935</v>
      </c>
      <c r="G68" s="24"/>
      <c r="H68" s="24"/>
    </row>
    <row r="69" spans="1:8" ht="34.5">
      <c r="A69" s="31" t="s">
        <v>61</v>
      </c>
      <c r="B69" s="93">
        <v>712242.28</v>
      </c>
      <c r="C69" s="93">
        <v>939606</v>
      </c>
      <c r="D69" s="93">
        <v>674164</v>
      </c>
      <c r="E69" s="160">
        <f t="shared" si="2"/>
        <v>-38078.280000000028</v>
      </c>
      <c r="F69" s="343">
        <f t="shared" si="0"/>
        <v>-4.0525794854439016E-2</v>
      </c>
      <c r="G69" s="24"/>
      <c r="H69" s="24"/>
    </row>
    <row r="70" spans="1:8" ht="35.25">
      <c r="A70" s="32" t="s">
        <v>62</v>
      </c>
      <c r="B70" s="94">
        <v>4834138.03</v>
      </c>
      <c r="C70" s="94">
        <v>6310800</v>
      </c>
      <c r="D70" s="94">
        <v>5402389</v>
      </c>
      <c r="E70" s="284">
        <f t="shared" si="2"/>
        <v>568250.96999999974</v>
      </c>
      <c r="F70" s="344">
        <f t="shared" si="0"/>
        <v>9.0044205172085903E-2</v>
      </c>
      <c r="G70" s="24"/>
      <c r="H70" s="24"/>
    </row>
    <row r="71" spans="1:8" ht="34.5">
      <c r="A71" s="31" t="s">
        <v>63</v>
      </c>
      <c r="B71" s="93">
        <v>302018.14</v>
      </c>
      <c r="C71" s="93">
        <v>513215</v>
      </c>
      <c r="D71" s="93">
        <v>173373</v>
      </c>
      <c r="E71" s="160">
        <f t="shared" si="2"/>
        <v>-128645.14000000001</v>
      </c>
      <c r="F71" s="343">
        <f t="shared" si="0"/>
        <v>-0.25066519879582633</v>
      </c>
      <c r="G71" s="24"/>
      <c r="H71" s="24"/>
    </row>
    <row r="72" spans="1:8" ht="34.5">
      <c r="A72" s="31" t="s">
        <v>64</v>
      </c>
      <c r="B72" s="93">
        <v>8262568.3099999996</v>
      </c>
      <c r="C72" s="93">
        <v>8853606</v>
      </c>
      <c r="D72" s="93">
        <v>8761661</v>
      </c>
      <c r="E72" s="458">
        <f t="shared" si="2"/>
        <v>499092.69000000041</v>
      </c>
      <c r="F72" s="343">
        <f t="shared" ref="F72:F80" si="3">IF(ISBLANK(E72),"  ",IF(C72&gt;0,E72/C72,IF(E72&gt;0,1,0)))</f>
        <v>5.6371685164214494E-2</v>
      </c>
      <c r="G72" s="24"/>
      <c r="H72" s="24"/>
    </row>
    <row r="73" spans="1:8" ht="34.5">
      <c r="A73" s="31" t="s">
        <v>65</v>
      </c>
      <c r="B73" s="93"/>
      <c r="C73" s="93"/>
      <c r="D73" s="93"/>
      <c r="E73" s="93"/>
      <c r="F73" s="343" t="str">
        <f t="shared" si="3"/>
        <v xml:space="preserve">  </v>
      </c>
      <c r="G73" s="24"/>
      <c r="H73" s="24"/>
    </row>
    <row r="74" spans="1:8" ht="34.5">
      <c r="A74" s="31" t="s">
        <v>66</v>
      </c>
      <c r="B74" s="93">
        <v>2068656</v>
      </c>
      <c r="C74" s="93">
        <v>2143174</v>
      </c>
      <c r="D74" s="93">
        <v>2138375</v>
      </c>
      <c r="E74" s="160">
        <f t="shared" ref="E74:E80" si="4">D74-B74</f>
        <v>69719</v>
      </c>
      <c r="F74" s="343">
        <f t="shared" si="3"/>
        <v>3.2530723123740772E-2</v>
      </c>
      <c r="G74" s="24"/>
      <c r="H74" s="24"/>
    </row>
    <row r="75" spans="1:8" ht="35.25">
      <c r="A75" s="32" t="s">
        <v>67</v>
      </c>
      <c r="B75" s="94">
        <v>10633242.449999999</v>
      </c>
      <c r="C75" s="94">
        <v>11509995</v>
      </c>
      <c r="D75" s="94">
        <v>11073409</v>
      </c>
      <c r="E75" s="284">
        <f t="shared" si="4"/>
        <v>440166.55000000075</v>
      </c>
      <c r="F75" s="344">
        <f t="shared" si="3"/>
        <v>3.8242114788060354E-2</v>
      </c>
      <c r="G75" s="24"/>
      <c r="H75" s="24"/>
    </row>
    <row r="76" spans="1:8" ht="34.5">
      <c r="A76" s="31" t="s">
        <v>68</v>
      </c>
      <c r="B76" s="93">
        <v>259492</v>
      </c>
      <c r="C76" s="93">
        <v>1583731</v>
      </c>
      <c r="D76" s="93">
        <v>19000</v>
      </c>
      <c r="E76" s="160">
        <f t="shared" si="4"/>
        <v>-240492</v>
      </c>
      <c r="F76" s="343">
        <f t="shared" si="3"/>
        <v>-0.15185154549604699</v>
      </c>
      <c r="G76" s="24"/>
      <c r="H76" s="24"/>
    </row>
    <row r="77" spans="1:8" ht="34.5">
      <c r="A77" s="31" t="s">
        <v>69</v>
      </c>
      <c r="B77" s="93">
        <v>307564.74</v>
      </c>
      <c r="C77" s="93">
        <v>291500</v>
      </c>
      <c r="D77" s="93">
        <v>100000</v>
      </c>
      <c r="E77" s="160">
        <f t="shared" si="4"/>
        <v>-207564.74</v>
      </c>
      <c r="F77" s="343">
        <f t="shared" si="3"/>
        <v>-0.71205742710120068</v>
      </c>
      <c r="G77" s="24"/>
      <c r="H77" s="24"/>
    </row>
    <row r="78" spans="1:8" ht="34.5">
      <c r="A78" s="31" t="s">
        <v>70</v>
      </c>
      <c r="B78" s="93">
        <v>875884</v>
      </c>
      <c r="C78" s="93">
        <v>950000</v>
      </c>
      <c r="D78" s="93">
        <v>3280508</v>
      </c>
      <c r="E78" s="160">
        <f t="shared" si="4"/>
        <v>2404624</v>
      </c>
      <c r="F78" s="343">
        <f t="shared" si="3"/>
        <v>2.5311831578947368</v>
      </c>
      <c r="G78" s="24"/>
      <c r="H78" s="24"/>
    </row>
    <row r="79" spans="1:8" ht="35.25">
      <c r="A79" s="32" t="s">
        <v>71</v>
      </c>
      <c r="B79" s="94">
        <v>1442940.74</v>
      </c>
      <c r="C79" s="94">
        <v>2825231</v>
      </c>
      <c r="D79" s="94">
        <v>3399508</v>
      </c>
      <c r="E79" s="284">
        <f t="shared" si="4"/>
        <v>1956567.26</v>
      </c>
      <c r="F79" s="344">
        <f t="shared" si="3"/>
        <v>0.69253355212370249</v>
      </c>
      <c r="G79" s="24"/>
      <c r="H79" s="24"/>
    </row>
    <row r="80" spans="1:8" ht="36" thickBot="1">
      <c r="A80" s="27" t="s">
        <v>53</v>
      </c>
      <c r="B80" s="94">
        <v>66005962.489999995</v>
      </c>
      <c r="C80" s="94">
        <v>70759182</v>
      </c>
      <c r="D80" s="94">
        <v>68883294</v>
      </c>
      <c r="E80" s="297">
        <f t="shared" si="4"/>
        <v>2877331.5100000054</v>
      </c>
      <c r="F80" s="348">
        <f t="shared" si="3"/>
        <v>4.0663719232932986E-2</v>
      </c>
      <c r="G80" s="24"/>
      <c r="H80" s="24"/>
    </row>
    <row r="81" spans="1:8" ht="25.5">
      <c r="A81" s="34"/>
      <c r="B81" s="34"/>
      <c r="C81" s="34"/>
      <c r="D81" s="34"/>
      <c r="E81" s="34"/>
      <c r="F81" s="349" t="s">
        <v>35</v>
      </c>
      <c r="G81" s="24"/>
      <c r="H81" s="24"/>
    </row>
    <row r="82" spans="1:8" ht="44.25">
      <c r="A82" s="36" t="s">
        <v>108</v>
      </c>
      <c r="B82" s="36"/>
      <c r="C82" s="36"/>
      <c r="D82" s="36"/>
      <c r="E82" s="36"/>
      <c r="F82" s="350"/>
      <c r="G82" s="36"/>
      <c r="H82" s="36"/>
    </row>
    <row r="83" spans="1:8" ht="44.25">
      <c r="A83" s="36" t="s">
        <v>72</v>
      </c>
      <c r="B83" s="36"/>
      <c r="C83" s="36"/>
      <c r="D83" s="36"/>
      <c r="E83" s="36"/>
      <c r="F83" s="351"/>
      <c r="G83" s="36"/>
      <c r="H83" s="36"/>
    </row>
    <row r="84" spans="1:8" ht="44.25">
      <c r="A84" s="35" t="s">
        <v>35</v>
      </c>
      <c r="B84" s="36"/>
      <c r="C84" s="36"/>
      <c r="D84" s="36"/>
      <c r="E84" s="36"/>
      <c r="F84" s="351"/>
      <c r="G84" s="36"/>
      <c r="H84" s="36"/>
    </row>
    <row r="85" spans="1:8" ht="44.25">
      <c r="A85" s="19"/>
      <c r="B85" s="36"/>
      <c r="C85" s="36"/>
      <c r="D85" s="36"/>
      <c r="E85" s="36"/>
      <c r="F85" s="351"/>
      <c r="G85" s="36"/>
      <c r="H85" s="36"/>
    </row>
    <row r="86" spans="1:8" ht="30">
      <c r="A86" s="35"/>
      <c r="B86" s="37"/>
      <c r="C86" s="37"/>
      <c r="D86" s="37"/>
      <c r="E86" s="37"/>
      <c r="F86" s="352"/>
      <c r="G86" s="24"/>
      <c r="H86" s="24"/>
    </row>
    <row r="87" spans="1:8">
      <c r="A87" s="24"/>
      <c r="B87" s="24"/>
      <c r="C87" s="24"/>
      <c r="D87" s="24"/>
      <c r="E87" s="24"/>
      <c r="F87" s="353"/>
      <c r="G87" s="24"/>
      <c r="H87" s="24"/>
    </row>
    <row r="88" spans="1:8">
      <c r="A88" s="24"/>
      <c r="B88" s="24"/>
      <c r="C88" s="24"/>
      <c r="D88" s="24"/>
      <c r="E88" s="24"/>
      <c r="F88" s="353"/>
      <c r="G88" s="24"/>
      <c r="H88" s="24"/>
    </row>
    <row r="89" spans="1:8">
      <c r="A89" s="24"/>
      <c r="B89" s="24"/>
      <c r="C89" s="24"/>
      <c r="D89" s="24"/>
      <c r="E89" s="24"/>
      <c r="F89" s="353"/>
      <c r="G89" s="24"/>
      <c r="H89" s="24"/>
    </row>
    <row r="90" spans="1:8">
      <c r="A90" s="24"/>
      <c r="B90" s="24"/>
      <c r="C90" s="24"/>
      <c r="D90" s="24"/>
      <c r="E90" s="24"/>
      <c r="F90" s="353"/>
      <c r="G90" s="24"/>
      <c r="H90" s="24"/>
    </row>
    <row r="91" spans="1:8">
      <c r="A91" s="24"/>
      <c r="B91" s="24"/>
      <c r="C91" s="24"/>
      <c r="D91" s="24"/>
      <c r="E91" s="24"/>
      <c r="F91" s="353"/>
      <c r="G91" s="24"/>
      <c r="H91" s="24"/>
    </row>
    <row r="92" spans="1:8">
      <c r="A92" s="24"/>
      <c r="B92" s="24"/>
      <c r="C92" s="24"/>
      <c r="D92" s="24"/>
      <c r="E92" s="24"/>
      <c r="F92" s="353"/>
      <c r="G92" s="24"/>
      <c r="H92" s="24"/>
    </row>
    <row r="93" spans="1:8">
      <c r="A93" s="24"/>
      <c r="B93" s="24"/>
      <c r="C93" s="24"/>
      <c r="D93" s="24"/>
      <c r="E93" s="24"/>
      <c r="F93" s="353"/>
      <c r="G93" s="24"/>
      <c r="H93" s="24"/>
    </row>
  </sheetData>
  <phoneticPr fontId="28" type="noConversion"/>
  <printOptions horizontalCentered="1"/>
  <pageMargins left="0.45" right="0.45" top="0.5" bottom="0.5" header="0.3" footer="0.3"/>
  <pageSetup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53</vt:i4>
      </vt:variant>
    </vt:vector>
  </HeadingPairs>
  <TitlesOfParts>
    <vt:vector size="103" baseType="lpstr">
      <vt:lpstr>Total PSE</vt:lpstr>
      <vt:lpstr>Total 4YR</vt:lpstr>
      <vt:lpstr>Total 2YR</vt:lpstr>
      <vt:lpstr>2Yr &amp; 4Yr</vt:lpstr>
      <vt:lpstr>BOR</vt:lpstr>
      <vt:lpstr>Lumcon</vt:lpstr>
      <vt:lpstr>Total UL</vt:lpstr>
      <vt:lpstr>Grambling</vt:lpstr>
      <vt:lpstr>McNeese</vt:lpstr>
      <vt:lpstr>Nicholls</vt:lpstr>
      <vt:lpstr>NwSU</vt:lpstr>
      <vt:lpstr>SLU</vt:lpstr>
      <vt:lpstr>LaTech</vt:lpstr>
      <vt:lpstr>ULL</vt:lpstr>
      <vt:lpstr>ULM</vt:lpstr>
      <vt:lpstr>UL BOS</vt:lpstr>
      <vt:lpstr>Total LSU</vt:lpstr>
      <vt:lpstr>LSU</vt:lpstr>
      <vt:lpstr>LAW</vt:lpstr>
      <vt:lpstr>PBRC</vt:lpstr>
      <vt:lpstr>AG</vt:lpstr>
      <vt:lpstr>LSUS</vt:lpstr>
      <vt:lpstr>LSUA</vt:lpstr>
      <vt:lpstr>LSUE</vt:lpstr>
      <vt:lpstr>UNO</vt:lpstr>
      <vt:lpstr>HSCNO</vt:lpstr>
      <vt:lpstr>HSCS</vt:lpstr>
      <vt:lpstr>EACON</vt:lpstr>
      <vt:lpstr>HPLMC</vt:lpstr>
      <vt:lpstr>BOS</vt:lpstr>
      <vt:lpstr>VET</vt:lpstr>
      <vt:lpstr>Total SU</vt:lpstr>
      <vt:lpstr>SUBR</vt:lpstr>
      <vt:lpstr>SUNO</vt:lpstr>
      <vt:lpstr>SUSBO</vt:lpstr>
      <vt:lpstr>SUAG</vt:lpstr>
      <vt:lpstr>SULAW</vt:lpstr>
      <vt:lpstr>SUBOS</vt:lpstr>
      <vt:lpstr>Total LCTCS</vt:lpstr>
      <vt:lpstr>BPCC</vt:lpstr>
      <vt:lpstr>BRCC</vt:lpstr>
      <vt:lpstr>Nunez</vt:lpstr>
      <vt:lpstr>Delgado</vt:lpstr>
      <vt:lpstr>LDCC</vt:lpstr>
      <vt:lpstr>SLCC</vt:lpstr>
      <vt:lpstr>Fletcher</vt:lpstr>
      <vt:lpstr>RPCC</vt:lpstr>
      <vt:lpstr>SOWELA</vt:lpstr>
      <vt:lpstr>LTC</vt:lpstr>
      <vt:lpstr>LCTCSBOS</vt:lpstr>
      <vt:lpstr>PRINT</vt:lpstr>
      <vt:lpstr>'2Yr &amp; 4Yr'!Print_Area</vt:lpstr>
      <vt:lpstr>AG!Print_Area</vt:lpstr>
      <vt:lpstr>BOR!Print_Area</vt:lpstr>
      <vt:lpstr>BOS!Print_Area</vt:lpstr>
      <vt:lpstr>BPCC!Print_Area</vt:lpstr>
      <vt:lpstr>BRCC!Print_Area</vt:lpstr>
      <vt:lpstr>Delgado!Print_Area</vt:lpstr>
      <vt:lpstr>EACON!Print_Area</vt:lpstr>
      <vt:lpstr>Fletcher!Print_Area</vt:lpstr>
      <vt:lpstr>Grambling!Print_Area</vt:lpstr>
      <vt:lpstr>HPLMC!Print_Area</vt:lpstr>
      <vt:lpstr>HSCNO!Print_Area</vt:lpstr>
      <vt:lpstr>HSCS!Print_Area</vt:lpstr>
      <vt:lpstr>LaTech!Print_Area</vt:lpstr>
      <vt:lpstr>LAW!Print_Area</vt:lpstr>
      <vt:lpstr>LCTCSBOS!Print_Area</vt:lpstr>
      <vt:lpstr>LDCC!Print_Area</vt:lpstr>
      <vt:lpstr>LSU!Print_Area</vt:lpstr>
      <vt:lpstr>LSUA!Print_Area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Nunez!Print_Area</vt:lpstr>
      <vt:lpstr>NwSU!Print_Area</vt:lpstr>
      <vt:lpstr>PBRC!Print_Area</vt:lpstr>
      <vt:lpstr>RPCC!Print_Area</vt:lpstr>
      <vt:lpstr>SLCC!Print_Area</vt:lpstr>
      <vt:lpstr>SLU!Print_Area</vt:lpstr>
      <vt:lpstr>SOWELA!Print_Area</vt:lpstr>
      <vt:lpstr>SUAG!Print_Area</vt:lpstr>
      <vt:lpstr>SUBOS!Print_Area</vt:lpstr>
      <vt:lpstr>SUBR!Print_Area</vt:lpstr>
      <vt:lpstr>SULAW!Print_Area</vt:lpstr>
      <vt:lpstr>SUNO!Print_Area</vt:lpstr>
      <vt:lpstr>SUSBO!Print_Area</vt:lpstr>
      <vt:lpstr>'Total 2YR'!Print_Area</vt:lpstr>
      <vt:lpstr>'Total 4YR'!Print_Area</vt:lpstr>
      <vt:lpstr>'Total LCTCS'!Print_Area</vt:lpstr>
      <vt:lpstr>'Total LSU'!Print_Area</vt:lpstr>
      <vt:lpstr>'Total PSE'!Print_Area</vt:lpstr>
      <vt:lpstr>'Total SU'!Print_Area</vt:lpstr>
      <vt:lpstr>'Total UL'!Print_Area</vt:lpstr>
      <vt:lpstr>'UL BOS'!Print_Area</vt:lpstr>
      <vt:lpstr>ULL!Print_Area</vt:lpstr>
      <vt:lpstr>ULM!Print_Area</vt:lpstr>
      <vt:lpstr>UNO!Print_Area</vt:lpstr>
      <vt:lpstr>VET!Print_Area</vt:lpstr>
      <vt:lpstr>Print_Area</vt:lpstr>
      <vt:lpstr>'Total LSU'!Print_Titles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wbrewe3</dc:creator>
  <cp:lastModifiedBy>wendy.simoneaux</cp:lastModifiedBy>
  <cp:lastPrinted>2009-11-25T15:44:10Z</cp:lastPrinted>
  <dcterms:created xsi:type="dcterms:W3CDTF">2007-08-01T19:24:11Z</dcterms:created>
  <dcterms:modified xsi:type="dcterms:W3CDTF">2009-11-25T15:44:47Z</dcterms:modified>
</cp:coreProperties>
</file>