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Budget_Analyst\Budget 2021\BOR1_BOR2_BOR3_BOR5_Summary\"/>
    </mc:Choice>
  </mc:AlternateContent>
  <xr:revisionPtr revIDLastSave="0" documentId="13_ncr:1_{E3CADF38-266A-46D1-B195-548923DE12AA}" xr6:coauthVersionLast="45" xr6:coauthVersionMax="45" xr10:uidLastSave="{00000000-0000-0000-0000-000000000000}"/>
  <bookViews>
    <workbookView xWindow="-120" yWindow="-120" windowWidth="29040" windowHeight="15840" xr2:uid="{A133A4CC-3FE3-45BE-BDAA-65518304E88D}"/>
  </bookViews>
  <sheets>
    <sheet name="Home" sheetId="63" r:id="rId1"/>
    <sheet name="HESummary" sheetId="52" r:id="rId2"/>
    <sheet name="2Year" sheetId="55" r:id="rId3"/>
    <sheet name="4Year" sheetId="54" r:id="rId4"/>
    <sheet name="2&amp;4Year" sheetId="53" r:id="rId5"/>
    <sheet name="Boards" sheetId="59" r:id="rId6"/>
    <sheet name="Specialized" sheetId="60" r:id="rId7"/>
    <sheet name="BORSummary" sheetId="61" r:id="rId8"/>
    <sheet name="BOR" sheetId="37" r:id="rId9"/>
    <sheet name="LUMCON" sheetId="36" r:id="rId10"/>
    <sheet name="LOSFA" sheetId="35" r:id="rId11"/>
    <sheet name="ULSummary" sheetId="33" r:id="rId12"/>
    <sheet name="UL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34" r:id="rId22"/>
    <sheet name="LSU Summary" sheetId="11" r:id="rId23"/>
    <sheet name="LSU" sheetId="22" r:id="rId24"/>
    <sheet name="LSUA" sheetId="21" r:id="rId25"/>
    <sheet name="LSUS" sheetId="20" r:id="rId26"/>
    <sheet name="LSUE" sheetId="19" r:id="rId27"/>
    <sheet name="LSUHSCS" sheetId="17" r:id="rId28"/>
    <sheet name="LSUHSCNO" sheetId="16" r:id="rId29"/>
    <sheet name="LSUAg" sheetId="15" r:id="rId30"/>
    <sheet name="PBRC" sheetId="14" r:id="rId31"/>
    <sheet name="SU Summary" sheetId="8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 Summary" sheetId="7" r:id="rId39"/>
    <sheet name="LCTCBoard" sheetId="38" r:id="rId40"/>
    <sheet name="Online" sheetId="39" r:id="rId41"/>
    <sheet name="AE" sheetId="64" r:id="rId42"/>
    <sheet name="RR" sheetId="65" r:id="rId43"/>
    <sheet name="BRCC" sheetId="40" r:id="rId44"/>
    <sheet name="BPCC" sheetId="41" r:id="rId45"/>
    <sheet name="Delgado" sheetId="43" r:id="rId46"/>
    <sheet name="CentLATCC" sheetId="42" r:id="rId47"/>
    <sheet name="Fletcher" sheetId="44" r:id="rId48"/>
    <sheet name="LDCC" sheetId="45" r:id="rId49"/>
    <sheet name="Northshore" sheetId="47" r:id="rId50"/>
    <sheet name="Nunez" sheetId="48" r:id="rId51"/>
    <sheet name="RPCC" sheetId="49" r:id="rId52"/>
    <sheet name="SLCC" sheetId="50" r:id="rId53"/>
    <sheet name="SOWELA" sheetId="51" r:id="rId54"/>
    <sheet name="NwLTCC" sheetId="46" r:id="rId55"/>
  </sheets>
  <externalReferences>
    <externalReference r:id="rId56"/>
  </externalReferences>
  <definedNames>
    <definedName name="_xlnm.Print_Area" localSheetId="4">'2&amp;4Year'!$A$1:$G$99</definedName>
    <definedName name="_xlnm.Print_Area" localSheetId="2">'2Year'!$A$1:$G$99</definedName>
    <definedName name="_xlnm.Print_Area" localSheetId="3">'4Year'!$A$1:$G$99</definedName>
    <definedName name="_xlnm.Print_Area" localSheetId="41">AE!$A$1:$G$99</definedName>
    <definedName name="_xlnm.Print_Area" localSheetId="5">Boards!$A$1:$G$99</definedName>
    <definedName name="_xlnm.Print_Area" localSheetId="8">BOR!$A$1:$G$99</definedName>
    <definedName name="_xlnm.Print_Area" localSheetId="7">BORSummary!$A$1:$G$99</definedName>
    <definedName name="_xlnm.Print_Area" localSheetId="44">BPCC!$A$1:$G$99</definedName>
    <definedName name="_xlnm.Print_Area" localSheetId="43">BRCC!$A$1:$G$99</definedName>
    <definedName name="_xlnm.Print_Area" localSheetId="46">CentLATCC!$A$1:$G$99</definedName>
    <definedName name="_xlnm.Print_Area" localSheetId="45">Delgado!$A$1:$G$99</definedName>
    <definedName name="_xlnm.Print_Area" localSheetId="47">Fletcher!$A$1:$G$99</definedName>
    <definedName name="_xlnm.Print_Area" localSheetId="13">Grambling!$A$1:$G$99</definedName>
    <definedName name="_xlnm.Print_Area" localSheetId="1">HESummary!$A$1:$G$99</definedName>
    <definedName name="_xlnm.Print_Area" localSheetId="14">LATech!$A$1:$G$99</definedName>
    <definedName name="_xlnm.Print_Area" localSheetId="39">LCTCBoard!$A$1:$G$99</definedName>
    <definedName name="_xlnm.Print_Area" localSheetId="38">'LCTCS Summary'!$A$1:$G$99</definedName>
    <definedName name="_xlnm.Print_Area" localSheetId="48">LDCC!$A$1:$G$99</definedName>
    <definedName name="_xlnm.Print_Area" localSheetId="10">LOSFA!$A$1:$G$99</definedName>
    <definedName name="_xlnm.Print_Area" localSheetId="23">LSU!$A$1:$G$99</definedName>
    <definedName name="_xlnm.Print_Area" localSheetId="22">'LSU Summary'!$A$1:$G$99</definedName>
    <definedName name="_xlnm.Print_Area" localSheetId="24">LSUA!$A$1:$G$99</definedName>
    <definedName name="_xlnm.Print_Area" localSheetId="29">LSUAg!$A$1:$G$99</definedName>
    <definedName name="_xlnm.Print_Area" localSheetId="26">LSUE!$A$1:$G$99</definedName>
    <definedName name="_xlnm.Print_Area" localSheetId="28">LSUHSCNO!$A$1:$G$99</definedName>
    <definedName name="_xlnm.Print_Area" localSheetId="27">LSUHSCS!$A$1:$G$99</definedName>
    <definedName name="_xlnm.Print_Area" localSheetId="25">LSUS!$A$1:$G$99</definedName>
    <definedName name="_xlnm.Print_Area" localSheetId="9">LUMCON!$A$1:$G$99</definedName>
    <definedName name="_xlnm.Print_Area" localSheetId="15">McNeese!$A$1:$G$99</definedName>
    <definedName name="_xlnm.Print_Area" localSheetId="16">Nicholls!$A$1:$G$99</definedName>
    <definedName name="_xlnm.Print_Area" localSheetId="49">Northshore!$A$1:$G$99</definedName>
    <definedName name="_xlnm.Print_Area" localSheetId="50">Nunez!$A$1:$G$99</definedName>
    <definedName name="_xlnm.Print_Area" localSheetId="54">NwLTCC!$A$1:$G$99</definedName>
    <definedName name="_xlnm.Print_Area" localSheetId="17">NwSU!$A$1:$G$99</definedName>
    <definedName name="_xlnm.Print_Area" localSheetId="40">Online!$A$1:$G$99</definedName>
    <definedName name="_xlnm.Print_Area" localSheetId="30">PBRC!$A$1:$G$99</definedName>
    <definedName name="_xlnm.Print_Area" localSheetId="51">RPCC!$A$1:$G$99</definedName>
    <definedName name="_xlnm.Print_Area" localSheetId="42">RR!$A$1:$G$99</definedName>
    <definedName name="_xlnm.Print_Area" localSheetId="52">SLCC!$A$1:$G$99</definedName>
    <definedName name="_xlnm.Print_Area" localSheetId="18">SLU!$A$1:$G$99</definedName>
    <definedName name="_xlnm.Print_Area" localSheetId="53">SOWELA!$A$1:$G$99</definedName>
    <definedName name="_xlnm.Print_Area" localSheetId="6">Specialized!$A$1:$G$99</definedName>
    <definedName name="_xlnm.Print_Area" localSheetId="31">'SU Summary'!$A$1:$G$99</definedName>
    <definedName name="_xlnm.Print_Area" localSheetId="37">SUAg!$A$1:$G$99</definedName>
    <definedName name="_xlnm.Print_Area" localSheetId="32">SUBoard!$A$1:$G$99</definedName>
    <definedName name="_xlnm.Print_Area" localSheetId="33">SUBR!$A$1:$G$99</definedName>
    <definedName name="_xlnm.Print_Area" localSheetId="36">SULaw!$A$1:$G$99</definedName>
    <definedName name="_xlnm.Print_Area" localSheetId="34">SUNO!$A$1:$G$99</definedName>
    <definedName name="_xlnm.Print_Area" localSheetId="35">SUSLA!$A$1:$G$99</definedName>
    <definedName name="_xlnm.Print_Area" localSheetId="12">ULBoard!$A$1:$G$99</definedName>
    <definedName name="_xlnm.Print_Area" localSheetId="19">ULL!$A$1:$G$99</definedName>
    <definedName name="_xlnm.Print_Area" localSheetId="20">ULM!$A$1:$G$99</definedName>
    <definedName name="_xlnm.Print_Area" localSheetId="11">ULSummary!$A$1:$G$99</definedName>
    <definedName name="_xlnm.Print_Area" localSheetId="21">UNO!$A$1:$G$99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59" l="1"/>
  <c r="G60" i="59"/>
  <c r="G61" i="59"/>
  <c r="G62" i="59"/>
  <c r="G63" i="59"/>
  <c r="G64" i="59"/>
  <c r="G65" i="59"/>
  <c r="G66" i="59"/>
  <c r="G67" i="59"/>
  <c r="G68" i="59"/>
  <c r="G69" i="59"/>
  <c r="G70" i="59"/>
  <c r="G71" i="59"/>
  <c r="G72" i="59"/>
  <c r="G73" i="59"/>
  <c r="G74" i="59"/>
  <c r="G75" i="59"/>
  <c r="G76" i="59"/>
  <c r="G77" i="59"/>
  <c r="G78" i="59"/>
  <c r="G79" i="59"/>
  <c r="G80" i="59"/>
  <c r="G81" i="59"/>
  <c r="G82" i="59"/>
  <c r="G83" i="59"/>
  <c r="G84" i="59"/>
  <c r="G85" i="59"/>
  <c r="G86" i="59"/>
  <c r="G87" i="59"/>
  <c r="G88" i="59"/>
  <c r="G89" i="59"/>
  <c r="G90" i="59"/>
  <c r="G91" i="59"/>
  <c r="G92" i="59"/>
  <c r="G93" i="59"/>
  <c r="G94" i="59"/>
  <c r="G95" i="59"/>
  <c r="G96" i="59"/>
  <c r="G9" i="59"/>
  <c r="G10" i="59"/>
  <c r="G11" i="59"/>
  <c r="G12" i="59"/>
  <c r="G13" i="59"/>
  <c r="G14" i="59"/>
  <c r="G15" i="59"/>
  <c r="G16" i="59"/>
  <c r="G17" i="59"/>
  <c r="G18" i="59"/>
  <c r="G19" i="59"/>
  <c r="G20" i="59"/>
  <c r="G21" i="59"/>
  <c r="G22" i="59"/>
  <c r="G23" i="59"/>
  <c r="G24" i="59"/>
  <c r="G25" i="59"/>
  <c r="G26" i="59"/>
  <c r="G27" i="59"/>
  <c r="G28" i="59"/>
  <c r="G29" i="59"/>
  <c r="G30" i="59"/>
  <c r="G31" i="59"/>
  <c r="G32" i="59"/>
  <c r="G33" i="59"/>
  <c r="G34" i="59"/>
  <c r="G35" i="59"/>
  <c r="G36" i="59"/>
  <c r="G37" i="59"/>
  <c r="G38" i="59"/>
  <c r="G39" i="59"/>
  <c r="G40" i="59"/>
  <c r="G41" i="59"/>
  <c r="G42" i="59"/>
  <c r="G43" i="59"/>
  <c r="G44" i="59"/>
  <c r="G45" i="59"/>
  <c r="G46" i="59"/>
  <c r="G47" i="59"/>
  <c r="G48" i="59"/>
  <c r="G49" i="59"/>
  <c r="G50" i="59"/>
  <c r="G51" i="59"/>
  <c r="G52" i="59"/>
  <c r="G53" i="59"/>
  <c r="G54" i="59"/>
  <c r="G55" i="59"/>
  <c r="G56" i="59"/>
  <c r="G57" i="59"/>
  <c r="G58" i="59"/>
  <c r="D58" i="59"/>
  <c r="B58" i="59"/>
  <c r="C58" i="60"/>
  <c r="B58" i="60"/>
  <c r="C58" i="59"/>
  <c r="B79" i="59"/>
  <c r="C79" i="59"/>
  <c r="D79" i="59"/>
  <c r="B80" i="59"/>
  <c r="C80" i="59"/>
  <c r="D80" i="59"/>
  <c r="B81" i="59"/>
  <c r="C81" i="59"/>
  <c r="D81" i="59"/>
  <c r="B82" i="59"/>
  <c r="C82" i="59"/>
  <c r="D82" i="59"/>
  <c r="B83" i="59"/>
  <c r="C83" i="59"/>
  <c r="D83" i="59"/>
  <c r="B84" i="59"/>
  <c r="C84" i="59"/>
  <c r="D84" i="59"/>
  <c r="B85" i="59"/>
  <c r="C85" i="59"/>
  <c r="D85" i="59"/>
  <c r="B86" i="59"/>
  <c r="C86" i="59"/>
  <c r="D86" i="59"/>
  <c r="B87" i="59"/>
  <c r="C87" i="59"/>
  <c r="D87" i="59"/>
  <c r="B88" i="59"/>
  <c r="C88" i="59"/>
  <c r="D88" i="59"/>
  <c r="B89" i="59"/>
  <c r="C89" i="59"/>
  <c r="D89" i="59"/>
  <c r="B90" i="59"/>
  <c r="C90" i="59"/>
  <c r="D90" i="59"/>
  <c r="B91" i="59"/>
  <c r="C91" i="59"/>
  <c r="D91" i="59"/>
  <c r="B92" i="59"/>
  <c r="C92" i="59"/>
  <c r="D92" i="59"/>
  <c r="B93" i="59"/>
  <c r="C93" i="59"/>
  <c r="D93" i="59"/>
  <c r="B94" i="59"/>
  <c r="C94" i="59"/>
  <c r="D94" i="59"/>
  <c r="B95" i="59"/>
  <c r="C95" i="59"/>
  <c r="D95" i="59"/>
  <c r="B96" i="59"/>
  <c r="C96" i="59"/>
  <c r="D96" i="59"/>
  <c r="C78" i="59"/>
  <c r="D78" i="59"/>
  <c r="B78" i="59"/>
  <c r="B63" i="59"/>
  <c r="C63" i="59"/>
  <c r="D63" i="59"/>
  <c r="B64" i="59"/>
  <c r="C64" i="59"/>
  <c r="D64" i="59"/>
  <c r="B65" i="59"/>
  <c r="C65" i="59"/>
  <c r="D65" i="59"/>
  <c r="B66" i="59"/>
  <c r="C66" i="59"/>
  <c r="D66" i="59"/>
  <c r="B67" i="59"/>
  <c r="C67" i="59"/>
  <c r="D67" i="59"/>
  <c r="B68" i="59"/>
  <c r="C68" i="59"/>
  <c r="D68" i="59"/>
  <c r="B69" i="59"/>
  <c r="C69" i="59"/>
  <c r="D69" i="59"/>
  <c r="B70" i="59"/>
  <c r="C70" i="59"/>
  <c r="D70" i="59"/>
  <c r="B71" i="59"/>
  <c r="C71" i="59"/>
  <c r="D71" i="59"/>
  <c r="B72" i="59"/>
  <c r="C72" i="59"/>
  <c r="D72" i="59"/>
  <c r="B73" i="59"/>
  <c r="C73" i="59"/>
  <c r="D73" i="59"/>
  <c r="B74" i="59"/>
  <c r="C74" i="59"/>
  <c r="D74" i="59"/>
  <c r="B75" i="59"/>
  <c r="C75" i="59"/>
  <c r="D75" i="59"/>
  <c r="C62" i="59"/>
  <c r="D62" i="59"/>
  <c r="B62" i="59"/>
  <c r="C56" i="59"/>
  <c r="D56" i="59"/>
  <c r="B56" i="59"/>
  <c r="C54" i="59"/>
  <c r="D54" i="59"/>
  <c r="B54" i="59"/>
  <c r="D52" i="59"/>
  <c r="C52" i="59"/>
  <c r="B52" i="59"/>
  <c r="C46" i="59"/>
  <c r="D46" i="59"/>
  <c r="B46" i="59"/>
  <c r="B40" i="59"/>
  <c r="C40" i="59"/>
  <c r="D40" i="59"/>
  <c r="B41" i="59"/>
  <c r="C41" i="59"/>
  <c r="D41" i="59"/>
  <c r="B42" i="59"/>
  <c r="C42" i="59"/>
  <c r="D42" i="59"/>
  <c r="B43" i="59"/>
  <c r="C43" i="59"/>
  <c r="D43" i="59"/>
  <c r="B44" i="59"/>
  <c r="C44" i="59"/>
  <c r="D44" i="59"/>
  <c r="C39" i="59"/>
  <c r="D39" i="59"/>
  <c r="B39" i="59"/>
  <c r="C37" i="59"/>
  <c r="D37" i="59"/>
  <c r="B37" i="59"/>
  <c r="C35" i="59"/>
  <c r="D35" i="59"/>
  <c r="B35" i="59"/>
  <c r="C33" i="59"/>
  <c r="D33" i="59"/>
  <c r="B33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B18" i="59"/>
  <c r="C18" i="59"/>
  <c r="D18" i="59"/>
  <c r="B19" i="59"/>
  <c r="C19" i="59"/>
  <c r="D19" i="59"/>
  <c r="B20" i="59"/>
  <c r="C20" i="59"/>
  <c r="D20" i="59"/>
  <c r="B21" i="59"/>
  <c r="C21" i="59"/>
  <c r="D21" i="59"/>
  <c r="B22" i="59"/>
  <c r="C22" i="59"/>
  <c r="D22" i="59"/>
  <c r="B23" i="59"/>
  <c r="C23" i="59"/>
  <c r="D23" i="59"/>
  <c r="B24" i="59"/>
  <c r="C24" i="59"/>
  <c r="D24" i="59"/>
  <c r="B25" i="59"/>
  <c r="C25" i="59"/>
  <c r="D25" i="59"/>
  <c r="B26" i="59"/>
  <c r="C26" i="59"/>
  <c r="D26" i="59"/>
  <c r="B27" i="59"/>
  <c r="C27" i="59"/>
  <c r="D27" i="59"/>
  <c r="B28" i="59"/>
  <c r="C28" i="59"/>
  <c r="D28" i="59"/>
  <c r="B29" i="59"/>
  <c r="C29" i="59"/>
  <c r="D29" i="59"/>
  <c r="B30" i="59"/>
  <c r="C30" i="59"/>
  <c r="D30" i="59"/>
  <c r="B31" i="59"/>
  <c r="C31" i="59"/>
  <c r="D31" i="59"/>
  <c r="D8" i="59"/>
  <c r="C8" i="59"/>
  <c r="B8" i="59"/>
  <c r="B96" i="7" l="1"/>
  <c r="B75" i="7"/>
  <c r="B96" i="50"/>
  <c r="B75" i="50"/>
  <c r="B96" i="8"/>
  <c r="B75" i="8"/>
  <c r="B96" i="11"/>
  <c r="B75" i="11"/>
  <c r="B96" i="61" l="1"/>
  <c r="B75" i="61"/>
  <c r="B96" i="36"/>
  <c r="B75" i="36"/>
  <c r="C96" i="24" l="1"/>
  <c r="G81" i="24"/>
  <c r="G96" i="24" s="1"/>
  <c r="C81" i="24"/>
  <c r="G75" i="24"/>
  <c r="G70" i="24"/>
  <c r="C58" i="24"/>
  <c r="C75" i="24"/>
  <c r="C70" i="24"/>
  <c r="C59" i="2" l="1"/>
  <c r="B75" i="20" l="1"/>
  <c r="G37" i="8" l="1"/>
  <c r="D37" i="8"/>
  <c r="D58" i="8" s="1"/>
  <c r="G8" i="7"/>
  <c r="D8" i="7"/>
  <c r="G8" i="8"/>
  <c r="D8" i="8"/>
  <c r="D96" i="20"/>
  <c r="G8" i="11"/>
  <c r="D8" i="11"/>
  <c r="D96" i="31"/>
  <c r="E95" i="31"/>
  <c r="F95" i="31" s="1"/>
  <c r="F94" i="31"/>
  <c r="E94" i="31"/>
  <c r="E93" i="31"/>
  <c r="F93" i="31" s="1"/>
  <c r="F92" i="31"/>
  <c r="E92" i="31"/>
  <c r="E91" i="31"/>
  <c r="F91" i="31" s="1"/>
  <c r="F90" i="31"/>
  <c r="E90" i="31"/>
  <c r="D90" i="31"/>
  <c r="E89" i="31"/>
  <c r="F89" i="31" s="1"/>
  <c r="F88" i="31"/>
  <c r="E88" i="31"/>
  <c r="E87" i="31"/>
  <c r="F87" i="31" s="1"/>
  <c r="F86" i="31"/>
  <c r="E86" i="31"/>
  <c r="E85" i="31"/>
  <c r="F85" i="31" s="1"/>
  <c r="D85" i="31"/>
  <c r="E84" i="31"/>
  <c r="F84" i="31" s="1"/>
  <c r="F83" i="31"/>
  <c r="E83" i="31"/>
  <c r="E82" i="31"/>
  <c r="F82" i="31" s="1"/>
  <c r="G81" i="31"/>
  <c r="G96" i="31" s="1"/>
  <c r="D81" i="31"/>
  <c r="C81" i="31"/>
  <c r="C96" i="31" s="1"/>
  <c r="F80" i="31"/>
  <c r="E80" i="31"/>
  <c r="E79" i="31"/>
  <c r="F79" i="31" s="1"/>
  <c r="E78" i="31"/>
  <c r="F78" i="31" s="1"/>
  <c r="F74" i="31"/>
  <c r="E74" i="31"/>
  <c r="E73" i="31"/>
  <c r="F73" i="31" s="1"/>
  <c r="F72" i="31"/>
  <c r="E72" i="31"/>
  <c r="E71" i="31"/>
  <c r="F71" i="31" s="1"/>
  <c r="G70" i="31"/>
  <c r="G75" i="31" s="1"/>
  <c r="D70" i="31"/>
  <c r="D75" i="31" s="1"/>
  <c r="C70" i="31"/>
  <c r="C75" i="31" s="1"/>
  <c r="F69" i="31"/>
  <c r="E69" i="31"/>
  <c r="E68" i="31"/>
  <c r="F68" i="31" s="1"/>
  <c r="F67" i="31"/>
  <c r="E67" i="31"/>
  <c r="E66" i="31"/>
  <c r="F66" i="31" s="1"/>
  <c r="F65" i="31"/>
  <c r="E65" i="31"/>
  <c r="E64" i="31"/>
  <c r="F64" i="31" s="1"/>
  <c r="F63" i="31"/>
  <c r="E63" i="31"/>
  <c r="E62" i="31"/>
  <c r="F62" i="31" s="1"/>
  <c r="D58" i="31"/>
  <c r="E56" i="31"/>
  <c r="F56" i="31" s="1"/>
  <c r="F54" i="31"/>
  <c r="E54" i="31"/>
  <c r="E52" i="31"/>
  <c r="F52" i="31" s="1"/>
  <c r="F50" i="31"/>
  <c r="E50" i="31"/>
  <c r="G48" i="31"/>
  <c r="G58" i="31" s="1"/>
  <c r="E48" i="31"/>
  <c r="F48" i="31" s="1"/>
  <c r="F46" i="31"/>
  <c r="E46" i="31"/>
  <c r="E44" i="31"/>
  <c r="F44" i="31" s="1"/>
  <c r="F43" i="31"/>
  <c r="E43" i="31"/>
  <c r="E42" i="31"/>
  <c r="F42" i="31" s="1"/>
  <c r="F41" i="31"/>
  <c r="E41" i="31"/>
  <c r="E40" i="31"/>
  <c r="F40" i="31" s="1"/>
  <c r="F39" i="31"/>
  <c r="E39" i="31"/>
  <c r="D37" i="31"/>
  <c r="C37" i="31"/>
  <c r="C58" i="31" s="1"/>
  <c r="B37" i="31"/>
  <c r="F36" i="31"/>
  <c r="E35" i="31"/>
  <c r="F35" i="31" s="1"/>
  <c r="F33" i="31"/>
  <c r="E33" i="31"/>
  <c r="E31" i="31"/>
  <c r="F31" i="31" s="1"/>
  <c r="F30" i="31"/>
  <c r="E30" i="31"/>
  <c r="E29" i="31"/>
  <c r="F29" i="31" s="1"/>
  <c r="F28" i="31"/>
  <c r="E28" i="31"/>
  <c r="E27" i="31"/>
  <c r="F27" i="31" s="1"/>
  <c r="F26" i="31"/>
  <c r="E26" i="31"/>
  <c r="E25" i="31"/>
  <c r="F25" i="31" s="1"/>
  <c r="F24" i="31"/>
  <c r="E24" i="31"/>
  <c r="E23" i="31"/>
  <c r="F23" i="31" s="1"/>
  <c r="F22" i="31"/>
  <c r="E22" i="31"/>
  <c r="E21" i="31"/>
  <c r="F21" i="31" s="1"/>
  <c r="F20" i="31"/>
  <c r="E20" i="31"/>
  <c r="E19" i="31"/>
  <c r="F19" i="31" s="1"/>
  <c r="F18" i="31"/>
  <c r="E18" i="31"/>
  <c r="E17" i="31"/>
  <c r="F17" i="31" s="1"/>
  <c r="F16" i="31"/>
  <c r="E16" i="31"/>
  <c r="E15" i="31"/>
  <c r="F15" i="31" s="1"/>
  <c r="F14" i="31"/>
  <c r="E14" i="31"/>
  <c r="E13" i="31"/>
  <c r="F13" i="31" s="1"/>
  <c r="F12" i="31"/>
  <c r="E12" i="31"/>
  <c r="E11" i="31"/>
  <c r="F11" i="31" s="1"/>
  <c r="F10" i="31"/>
  <c r="E10" i="31"/>
  <c r="E9" i="31"/>
  <c r="F9" i="31" s="1"/>
  <c r="G8" i="31"/>
  <c r="G37" i="31" s="1"/>
  <c r="F8" i="31"/>
  <c r="E8" i="31"/>
  <c r="D8" i="33"/>
  <c r="G90" i="36"/>
  <c r="G96" i="36" s="1"/>
  <c r="D90" i="36"/>
  <c r="D96" i="36" s="1"/>
  <c r="G70" i="36"/>
  <c r="G75" i="36" s="1"/>
  <c r="D70" i="36"/>
  <c r="D75" i="36" s="1"/>
  <c r="G58" i="36"/>
  <c r="D58" i="36"/>
  <c r="G37" i="36"/>
  <c r="D37" i="36"/>
  <c r="E81" i="31" l="1"/>
  <c r="F81" i="31" s="1"/>
  <c r="E75" i="31"/>
  <c r="F75" i="31" s="1"/>
  <c r="E58" i="31"/>
  <c r="F58" i="31" s="1"/>
  <c r="E96" i="31"/>
  <c r="F96" i="31" s="1"/>
  <c r="G8" i="33"/>
  <c r="E70" i="31"/>
  <c r="F70" i="31" s="1"/>
  <c r="E37" i="31"/>
  <c r="F37" i="31" s="1"/>
  <c r="G96" i="3" l="1"/>
  <c r="G96" i="4"/>
  <c r="G96" i="5"/>
  <c r="G96" i="6"/>
  <c r="G96" i="1"/>
  <c r="D96" i="2"/>
  <c r="D96" i="3"/>
  <c r="D96" i="4"/>
  <c r="D96" i="5"/>
  <c r="D96" i="6"/>
  <c r="D96" i="1"/>
  <c r="C96" i="2"/>
  <c r="C96" i="3"/>
  <c r="C96" i="4"/>
  <c r="C96" i="5"/>
  <c r="C96" i="6"/>
  <c r="C96" i="1"/>
  <c r="B96" i="2"/>
  <c r="B96" i="3"/>
  <c r="B96" i="4"/>
  <c r="B96" i="5"/>
  <c r="B96" i="6"/>
  <c r="B96" i="1"/>
  <c r="G94" i="2"/>
  <c r="G94" i="3"/>
  <c r="G94" i="4"/>
  <c r="G94" i="5"/>
  <c r="G94" i="6"/>
  <c r="G94" i="1"/>
  <c r="C94" i="2"/>
  <c r="D94" i="2"/>
  <c r="C94" i="3"/>
  <c r="D94" i="3"/>
  <c r="C94" i="4"/>
  <c r="D94" i="4"/>
  <c r="C94" i="5"/>
  <c r="D94" i="5"/>
  <c r="C94" i="6"/>
  <c r="D94" i="6"/>
  <c r="C94" i="1"/>
  <c r="D94" i="1"/>
  <c r="B94" i="2"/>
  <c r="B94" i="3"/>
  <c r="B94" i="4"/>
  <c r="B94" i="5"/>
  <c r="B94" i="6"/>
  <c r="B94" i="1"/>
  <c r="G90" i="2"/>
  <c r="G90" i="3"/>
  <c r="G90" i="4"/>
  <c r="G90" i="5"/>
  <c r="G90" i="6"/>
  <c r="G90" i="1"/>
  <c r="C90" i="2"/>
  <c r="D90" i="2"/>
  <c r="C90" i="3"/>
  <c r="D90" i="3"/>
  <c r="C90" i="4"/>
  <c r="D90" i="4"/>
  <c r="C90" i="5"/>
  <c r="D90" i="5"/>
  <c r="C90" i="6"/>
  <c r="D90" i="6"/>
  <c r="C90" i="1"/>
  <c r="D90" i="1"/>
  <c r="B90" i="2"/>
  <c r="B90" i="3"/>
  <c r="B90" i="4"/>
  <c r="B90" i="5"/>
  <c r="B90" i="6"/>
  <c r="B90" i="1"/>
  <c r="G85" i="2"/>
  <c r="G85" i="3"/>
  <c r="G85" i="4"/>
  <c r="G85" i="5"/>
  <c r="G85" i="6"/>
  <c r="G85" i="1"/>
  <c r="C85" i="2"/>
  <c r="D85" i="2"/>
  <c r="C85" i="3"/>
  <c r="D85" i="3"/>
  <c r="C85" i="4"/>
  <c r="D85" i="4"/>
  <c r="C85" i="5"/>
  <c r="D85" i="5"/>
  <c r="C85" i="6"/>
  <c r="D85" i="6"/>
  <c r="C85" i="1"/>
  <c r="D85" i="1"/>
  <c r="B85" i="2"/>
  <c r="B85" i="3"/>
  <c r="B85" i="4"/>
  <c r="B85" i="5"/>
  <c r="B85" i="6"/>
  <c r="B85" i="1"/>
  <c r="G81" i="2"/>
  <c r="G96" i="2" s="1"/>
  <c r="G81" i="3"/>
  <c r="G81" i="4"/>
  <c r="G81" i="5"/>
  <c r="G81" i="6"/>
  <c r="G81" i="1"/>
  <c r="C81" i="2"/>
  <c r="D81" i="2"/>
  <c r="C81" i="3"/>
  <c r="D81" i="3"/>
  <c r="C81" i="4"/>
  <c r="D81" i="4"/>
  <c r="C81" i="5"/>
  <c r="D81" i="5"/>
  <c r="C81" i="6"/>
  <c r="D81" i="6"/>
  <c r="C81" i="1"/>
  <c r="D81" i="1"/>
  <c r="B81" i="2"/>
  <c r="B81" i="3"/>
  <c r="B81" i="4"/>
  <c r="B81" i="5"/>
  <c r="B81" i="6"/>
  <c r="B81" i="1"/>
  <c r="G75" i="3"/>
  <c r="G75" i="4"/>
  <c r="G75" i="5"/>
  <c r="G75" i="6"/>
  <c r="G75" i="1"/>
  <c r="C75" i="2"/>
  <c r="D75" i="2"/>
  <c r="C75" i="3"/>
  <c r="D75" i="3"/>
  <c r="C75" i="4"/>
  <c r="D75" i="4"/>
  <c r="C75" i="5"/>
  <c r="D75" i="5"/>
  <c r="C75" i="6"/>
  <c r="D75" i="6"/>
  <c r="C75" i="1"/>
  <c r="D75" i="1"/>
  <c r="B75" i="2"/>
  <c r="B75" i="3"/>
  <c r="B75" i="4"/>
  <c r="B75" i="5"/>
  <c r="B75" i="6"/>
  <c r="B75" i="1"/>
  <c r="G70" i="2"/>
  <c r="G75" i="2" s="1"/>
  <c r="G70" i="3"/>
  <c r="G70" i="4"/>
  <c r="G70" i="5"/>
  <c r="G70" i="6"/>
  <c r="G70" i="1"/>
  <c r="C70" i="2"/>
  <c r="D70" i="2"/>
  <c r="C70" i="3"/>
  <c r="D70" i="3"/>
  <c r="C70" i="4"/>
  <c r="D70" i="4"/>
  <c r="C70" i="5"/>
  <c r="D70" i="5"/>
  <c r="C70" i="6"/>
  <c r="D70" i="6"/>
  <c r="C70" i="1"/>
  <c r="D70" i="1"/>
  <c r="B70" i="2"/>
  <c r="B70" i="3"/>
  <c r="B70" i="4"/>
  <c r="B70" i="5"/>
  <c r="B70" i="6"/>
  <c r="B70" i="1"/>
  <c r="G58" i="2"/>
  <c r="G58" i="3"/>
  <c r="G58" i="4"/>
  <c r="G58" i="5"/>
  <c r="G58" i="6"/>
  <c r="G58" i="1"/>
  <c r="D58" i="2"/>
  <c r="D58" i="3"/>
  <c r="D58" i="4"/>
  <c r="D58" i="5"/>
  <c r="D58" i="6"/>
  <c r="D58" i="1"/>
  <c r="C58" i="2"/>
  <c r="C58" i="3"/>
  <c r="C58" i="4"/>
  <c r="C58" i="5"/>
  <c r="C58" i="6"/>
  <c r="C58" i="1"/>
  <c r="B58" i="2"/>
  <c r="B58" i="3"/>
  <c r="B58" i="4"/>
  <c r="B58" i="5"/>
  <c r="B58" i="6"/>
  <c r="B58" i="1"/>
  <c r="G37" i="2"/>
  <c r="G37" i="3"/>
  <c r="G37" i="4"/>
  <c r="G37" i="5"/>
  <c r="G37" i="6"/>
  <c r="G37" i="1"/>
  <c r="D37" i="2"/>
  <c r="D37" i="3"/>
  <c r="D37" i="4"/>
  <c r="D37" i="5"/>
  <c r="D37" i="6"/>
  <c r="D37" i="1"/>
  <c r="C37" i="2"/>
  <c r="C37" i="3"/>
  <c r="C37" i="4"/>
  <c r="C37" i="5"/>
  <c r="C37" i="6"/>
  <c r="C37" i="1"/>
  <c r="B37" i="2"/>
  <c r="B37" i="3"/>
  <c r="B37" i="4"/>
  <c r="B37" i="5"/>
  <c r="B37" i="6"/>
  <c r="B37" i="1"/>
  <c r="G96" i="55" l="1"/>
  <c r="G80" i="55"/>
  <c r="G81" i="55"/>
  <c r="G82" i="55"/>
  <c r="G83" i="55"/>
  <c r="G84" i="55"/>
  <c r="G85" i="55"/>
  <c r="G86" i="55"/>
  <c r="G87" i="55"/>
  <c r="G88" i="55"/>
  <c r="G89" i="55"/>
  <c r="G90" i="55"/>
  <c r="G91" i="55"/>
  <c r="G92" i="55"/>
  <c r="G93" i="55"/>
  <c r="G94" i="55"/>
  <c r="G95" i="55"/>
  <c r="G79" i="55"/>
  <c r="C96" i="55"/>
  <c r="D96" i="55"/>
  <c r="B96" i="55"/>
  <c r="B80" i="55"/>
  <c r="C80" i="55"/>
  <c r="D80" i="55"/>
  <c r="B81" i="55"/>
  <c r="C81" i="55"/>
  <c r="D81" i="55"/>
  <c r="B82" i="55"/>
  <c r="C82" i="55"/>
  <c r="D82" i="55"/>
  <c r="B83" i="55"/>
  <c r="C83" i="55"/>
  <c r="D83" i="55"/>
  <c r="B84" i="55"/>
  <c r="C84" i="55"/>
  <c r="D84" i="55"/>
  <c r="B85" i="55"/>
  <c r="C85" i="55"/>
  <c r="D85" i="55"/>
  <c r="B86" i="55"/>
  <c r="C86" i="55"/>
  <c r="D86" i="55"/>
  <c r="B87" i="55"/>
  <c r="C87" i="55"/>
  <c r="D87" i="55"/>
  <c r="B88" i="55"/>
  <c r="C88" i="55"/>
  <c r="D88" i="55"/>
  <c r="B89" i="55"/>
  <c r="C89" i="55"/>
  <c r="D89" i="55"/>
  <c r="B90" i="55"/>
  <c r="C90" i="55"/>
  <c r="D90" i="55"/>
  <c r="B91" i="55"/>
  <c r="C91" i="55"/>
  <c r="D91" i="55"/>
  <c r="B92" i="55"/>
  <c r="C92" i="55"/>
  <c r="D92" i="55"/>
  <c r="B93" i="55"/>
  <c r="C93" i="55"/>
  <c r="D93" i="55"/>
  <c r="B94" i="55"/>
  <c r="C94" i="55"/>
  <c r="D94" i="55"/>
  <c r="B95" i="55"/>
  <c r="C95" i="55"/>
  <c r="D95" i="55"/>
  <c r="C79" i="55"/>
  <c r="D79" i="55"/>
  <c r="B79" i="55"/>
  <c r="G78" i="55"/>
  <c r="C78" i="55"/>
  <c r="D78" i="55"/>
  <c r="B78" i="55"/>
  <c r="G64" i="55"/>
  <c r="G65" i="55"/>
  <c r="G66" i="55"/>
  <c r="G67" i="55"/>
  <c r="G68" i="55"/>
  <c r="G69" i="55"/>
  <c r="G70" i="55"/>
  <c r="G71" i="55"/>
  <c r="G72" i="55"/>
  <c r="G73" i="55"/>
  <c r="G74" i="55"/>
  <c r="G75" i="55"/>
  <c r="G63" i="55"/>
  <c r="B64" i="55"/>
  <c r="C64" i="55"/>
  <c r="D64" i="55"/>
  <c r="B65" i="55"/>
  <c r="C65" i="55"/>
  <c r="D65" i="55"/>
  <c r="B66" i="55"/>
  <c r="C66" i="55"/>
  <c r="D66" i="55"/>
  <c r="B67" i="55"/>
  <c r="C67" i="55"/>
  <c r="D67" i="55"/>
  <c r="B68" i="55"/>
  <c r="C68" i="55"/>
  <c r="D68" i="55"/>
  <c r="B69" i="55"/>
  <c r="C69" i="55"/>
  <c r="D69" i="55"/>
  <c r="B70" i="55"/>
  <c r="C70" i="55"/>
  <c r="D70" i="55"/>
  <c r="B71" i="55"/>
  <c r="C71" i="55"/>
  <c r="D71" i="55"/>
  <c r="B72" i="55"/>
  <c r="C72" i="55"/>
  <c r="D72" i="55"/>
  <c r="B73" i="55"/>
  <c r="C73" i="55"/>
  <c r="D73" i="55"/>
  <c r="B74" i="55"/>
  <c r="C74" i="55"/>
  <c r="D74" i="55"/>
  <c r="B75" i="55"/>
  <c r="C75" i="55"/>
  <c r="D75" i="55"/>
  <c r="C63" i="55"/>
  <c r="D63" i="55"/>
  <c r="B63" i="55"/>
  <c r="G62" i="55"/>
  <c r="C62" i="55"/>
  <c r="D62" i="55"/>
  <c r="B62" i="55"/>
  <c r="C58" i="55"/>
  <c r="B58" i="55"/>
  <c r="G56" i="55"/>
  <c r="C56" i="55"/>
  <c r="D56" i="55"/>
  <c r="B56" i="55"/>
  <c r="G54" i="55"/>
  <c r="C54" i="55"/>
  <c r="D54" i="55"/>
  <c r="B54" i="55"/>
  <c r="C52" i="55"/>
  <c r="B52" i="55"/>
  <c r="G50" i="55"/>
  <c r="C50" i="55"/>
  <c r="D50" i="55"/>
  <c r="B50" i="55"/>
  <c r="G48" i="55"/>
  <c r="C48" i="55"/>
  <c r="D48" i="55"/>
  <c r="B48" i="55"/>
  <c r="G46" i="55"/>
  <c r="C46" i="55"/>
  <c r="D46" i="55"/>
  <c r="B46" i="55"/>
  <c r="G41" i="55"/>
  <c r="G42" i="55"/>
  <c r="G43" i="55"/>
  <c r="G44" i="55"/>
  <c r="G40" i="55"/>
  <c r="B44" i="55"/>
  <c r="C44" i="55"/>
  <c r="D44" i="55"/>
  <c r="B41" i="55"/>
  <c r="C41" i="55"/>
  <c r="D41" i="55"/>
  <c r="B42" i="55"/>
  <c r="C42" i="55"/>
  <c r="D42" i="55"/>
  <c r="B43" i="55"/>
  <c r="C43" i="55"/>
  <c r="D43" i="55"/>
  <c r="C40" i="55"/>
  <c r="D40" i="55"/>
  <c r="B40" i="55"/>
  <c r="G39" i="55"/>
  <c r="C39" i="55"/>
  <c r="D39" i="55"/>
  <c r="B39" i="55"/>
  <c r="C37" i="55"/>
  <c r="D37" i="55"/>
  <c r="B37" i="55"/>
  <c r="G35" i="55"/>
  <c r="G37" i="55"/>
  <c r="G33" i="55"/>
  <c r="G10" i="55"/>
  <c r="G11" i="55"/>
  <c r="G12" i="55"/>
  <c r="G13" i="55"/>
  <c r="G14" i="55"/>
  <c r="G15" i="55"/>
  <c r="G16" i="55"/>
  <c r="G17" i="55"/>
  <c r="G18" i="55"/>
  <c r="G19" i="55"/>
  <c r="G20" i="55"/>
  <c r="G21" i="55"/>
  <c r="G22" i="55"/>
  <c r="G23" i="55"/>
  <c r="G24" i="55"/>
  <c r="G25" i="55"/>
  <c r="G26" i="55"/>
  <c r="G27" i="55"/>
  <c r="G28" i="55"/>
  <c r="G29" i="55"/>
  <c r="G30" i="55"/>
  <c r="G31" i="55"/>
  <c r="G9" i="55"/>
  <c r="C35" i="55"/>
  <c r="D35" i="55"/>
  <c r="B35" i="55"/>
  <c r="C33" i="55"/>
  <c r="D33" i="55"/>
  <c r="B33" i="55"/>
  <c r="D31" i="55"/>
  <c r="C31" i="55"/>
  <c r="B31" i="55"/>
  <c r="D30" i="55"/>
  <c r="C30" i="55"/>
  <c r="B30" i="55"/>
  <c r="D29" i="55"/>
  <c r="C29" i="55"/>
  <c r="B29" i="55"/>
  <c r="D28" i="55"/>
  <c r="C28" i="55"/>
  <c r="B28" i="55"/>
  <c r="D27" i="55"/>
  <c r="C27" i="55"/>
  <c r="B27" i="55"/>
  <c r="D26" i="55"/>
  <c r="C26" i="55"/>
  <c r="B26" i="55"/>
  <c r="D25" i="55"/>
  <c r="C25" i="55"/>
  <c r="B25" i="55"/>
  <c r="D24" i="55"/>
  <c r="C24" i="55"/>
  <c r="B24" i="55"/>
  <c r="D23" i="55"/>
  <c r="C23" i="55"/>
  <c r="B23" i="55"/>
  <c r="D22" i="55"/>
  <c r="C22" i="55"/>
  <c r="B22" i="55"/>
  <c r="D21" i="55"/>
  <c r="C21" i="55"/>
  <c r="B21" i="55"/>
  <c r="D20" i="55"/>
  <c r="C20" i="55"/>
  <c r="B20" i="55"/>
  <c r="D19" i="55"/>
  <c r="C19" i="55"/>
  <c r="B19" i="55"/>
  <c r="D18" i="55"/>
  <c r="C18" i="55"/>
  <c r="B18" i="55"/>
  <c r="D17" i="55"/>
  <c r="C17" i="55"/>
  <c r="B17" i="55"/>
  <c r="D16" i="55"/>
  <c r="C16" i="55"/>
  <c r="B16" i="55"/>
  <c r="D15" i="55"/>
  <c r="C15" i="55"/>
  <c r="B15" i="55"/>
  <c r="D14" i="55"/>
  <c r="C14" i="55"/>
  <c r="B14" i="55"/>
  <c r="D13" i="55"/>
  <c r="C13" i="55"/>
  <c r="B13" i="55"/>
  <c r="D12" i="55"/>
  <c r="C12" i="55"/>
  <c r="B12" i="55"/>
  <c r="D11" i="55"/>
  <c r="C11" i="55"/>
  <c r="B11" i="55"/>
  <c r="D10" i="55"/>
  <c r="C10" i="55"/>
  <c r="B10" i="55"/>
  <c r="C9" i="55"/>
  <c r="D9" i="55"/>
  <c r="B9" i="55"/>
  <c r="G8" i="55"/>
  <c r="C8" i="55"/>
  <c r="D8" i="55"/>
  <c r="B8" i="55"/>
  <c r="E35" i="55" l="1"/>
  <c r="E35" i="59"/>
  <c r="E35" i="60"/>
  <c r="E35" i="61"/>
  <c r="E35" i="37"/>
  <c r="E35" i="36"/>
  <c r="E35" i="35"/>
  <c r="E35" i="1"/>
  <c r="E35" i="2"/>
  <c r="E35" i="3"/>
  <c r="E35" i="4"/>
  <c r="E35" i="5"/>
  <c r="E35" i="6"/>
  <c r="E33" i="55"/>
  <c r="E33" i="59"/>
  <c r="E33" i="60"/>
  <c r="E33" i="61"/>
  <c r="E33" i="37"/>
  <c r="E33" i="36"/>
  <c r="E33" i="35"/>
  <c r="E33" i="1"/>
  <c r="E33" i="2"/>
  <c r="E33" i="3"/>
  <c r="E33" i="4"/>
  <c r="E33" i="5"/>
  <c r="E33" i="6"/>
  <c r="E96" i="55"/>
  <c r="E96" i="60"/>
  <c r="E96" i="37"/>
  <c r="E96" i="36"/>
  <c r="E96" i="35"/>
  <c r="E96" i="1"/>
  <c r="E96" i="2"/>
  <c r="E96" i="3"/>
  <c r="E96" i="4"/>
  <c r="E96" i="5"/>
  <c r="E96" i="6"/>
  <c r="E80" i="55"/>
  <c r="E81" i="55"/>
  <c r="E82" i="55"/>
  <c r="E83" i="55"/>
  <c r="E84" i="55"/>
  <c r="E85" i="55"/>
  <c r="E86" i="55"/>
  <c r="E87" i="55"/>
  <c r="E88" i="55"/>
  <c r="E89" i="55"/>
  <c r="E90" i="55"/>
  <c r="E91" i="55"/>
  <c r="E92" i="55"/>
  <c r="E93" i="55"/>
  <c r="E94" i="55"/>
  <c r="E95" i="55"/>
  <c r="E80" i="59"/>
  <c r="E82" i="59"/>
  <c r="E83" i="59"/>
  <c r="E84" i="59"/>
  <c r="E85" i="59"/>
  <c r="E86" i="59"/>
  <c r="E87" i="59"/>
  <c r="E88" i="59"/>
  <c r="E89" i="59"/>
  <c r="E90" i="59"/>
  <c r="E91" i="59"/>
  <c r="E92" i="59"/>
  <c r="E93" i="59"/>
  <c r="E94" i="59"/>
  <c r="E95" i="59"/>
  <c r="E80" i="60"/>
  <c r="E81" i="60"/>
  <c r="E82" i="60"/>
  <c r="E83" i="60"/>
  <c r="E84" i="60"/>
  <c r="E85" i="60"/>
  <c r="E86" i="60"/>
  <c r="E87" i="60"/>
  <c r="E88" i="60"/>
  <c r="E89" i="60"/>
  <c r="E90" i="60"/>
  <c r="E91" i="60"/>
  <c r="E92" i="60"/>
  <c r="E93" i="60"/>
  <c r="E94" i="60"/>
  <c r="E95" i="60"/>
  <c r="E80" i="61"/>
  <c r="E81" i="61"/>
  <c r="E82" i="61"/>
  <c r="E83" i="61"/>
  <c r="E84" i="61"/>
  <c r="E85" i="61"/>
  <c r="E86" i="61"/>
  <c r="E88" i="61"/>
  <c r="E89" i="61"/>
  <c r="E80" i="37"/>
  <c r="E81" i="37"/>
  <c r="E82" i="37"/>
  <c r="E83" i="37"/>
  <c r="E84" i="37"/>
  <c r="E85" i="37"/>
  <c r="E86" i="37"/>
  <c r="E87" i="37"/>
  <c r="E88" i="37"/>
  <c r="E89" i="37"/>
  <c r="E90" i="37"/>
  <c r="E91" i="37"/>
  <c r="E92" i="37"/>
  <c r="E93" i="37"/>
  <c r="E94" i="37"/>
  <c r="E95" i="37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95" i="35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79" i="55"/>
  <c r="E79" i="59"/>
  <c r="E79" i="60"/>
  <c r="E79" i="61"/>
  <c r="E79" i="37"/>
  <c r="E79" i="36"/>
  <c r="E79" i="35"/>
  <c r="E79" i="1"/>
  <c r="E79" i="2"/>
  <c r="E79" i="3"/>
  <c r="E79" i="4"/>
  <c r="E79" i="5"/>
  <c r="E79" i="6"/>
  <c r="E78" i="55"/>
  <c r="E78" i="59"/>
  <c r="E78" i="60"/>
  <c r="E78" i="61"/>
  <c r="E78" i="37"/>
  <c r="E78" i="36"/>
  <c r="E78" i="35"/>
  <c r="E78" i="1"/>
  <c r="E78" i="2"/>
  <c r="E78" i="3"/>
  <c r="E78" i="4"/>
  <c r="E78" i="5"/>
  <c r="E78" i="6"/>
  <c r="E64" i="55"/>
  <c r="E65" i="55"/>
  <c r="E66" i="55"/>
  <c r="E67" i="55"/>
  <c r="E68" i="55"/>
  <c r="E69" i="55"/>
  <c r="E70" i="55"/>
  <c r="E71" i="55"/>
  <c r="E72" i="55"/>
  <c r="E73" i="55"/>
  <c r="E74" i="55"/>
  <c r="E75" i="55"/>
  <c r="E64" i="59"/>
  <c r="E65" i="59"/>
  <c r="E66" i="59"/>
  <c r="E67" i="59"/>
  <c r="E68" i="59"/>
  <c r="E69" i="59"/>
  <c r="E71" i="59"/>
  <c r="E72" i="59"/>
  <c r="E73" i="59"/>
  <c r="E74" i="59"/>
  <c r="E64" i="60"/>
  <c r="E65" i="60"/>
  <c r="E66" i="60"/>
  <c r="E67" i="60"/>
  <c r="E68" i="60"/>
  <c r="E69" i="60"/>
  <c r="E70" i="60"/>
  <c r="E71" i="60"/>
  <c r="E72" i="60"/>
  <c r="E73" i="60"/>
  <c r="E74" i="60"/>
  <c r="E75" i="60"/>
  <c r="E64" i="61"/>
  <c r="E65" i="61"/>
  <c r="E66" i="61"/>
  <c r="E67" i="61"/>
  <c r="E68" i="61"/>
  <c r="E69" i="61"/>
  <c r="E64" i="37"/>
  <c r="E65" i="37"/>
  <c r="E66" i="37"/>
  <c r="E67" i="37"/>
  <c r="E68" i="37"/>
  <c r="E69" i="37"/>
  <c r="E70" i="37"/>
  <c r="E71" i="37"/>
  <c r="E72" i="37"/>
  <c r="E73" i="37"/>
  <c r="E74" i="37"/>
  <c r="E75" i="37"/>
  <c r="E64" i="36"/>
  <c r="E65" i="36"/>
  <c r="E66" i="36"/>
  <c r="E67" i="36"/>
  <c r="E68" i="36"/>
  <c r="E69" i="36"/>
  <c r="E70" i="36"/>
  <c r="E71" i="36"/>
  <c r="E72" i="36"/>
  <c r="E73" i="36"/>
  <c r="E74" i="36"/>
  <c r="E75" i="36"/>
  <c r="E64" i="35"/>
  <c r="E65" i="35"/>
  <c r="E66" i="35"/>
  <c r="E67" i="35"/>
  <c r="E68" i="35"/>
  <c r="E69" i="35"/>
  <c r="E70" i="35"/>
  <c r="E71" i="35"/>
  <c r="E72" i="35"/>
  <c r="E73" i="35"/>
  <c r="E74" i="35"/>
  <c r="E75" i="35"/>
  <c r="E64" i="1"/>
  <c r="E65" i="1"/>
  <c r="E66" i="1"/>
  <c r="E67" i="1"/>
  <c r="E68" i="1"/>
  <c r="E69" i="1"/>
  <c r="E70" i="1"/>
  <c r="E71" i="1"/>
  <c r="E72" i="1"/>
  <c r="E73" i="1"/>
  <c r="E74" i="1"/>
  <c r="E75" i="1"/>
  <c r="E64" i="2"/>
  <c r="E65" i="2"/>
  <c r="E66" i="2"/>
  <c r="E67" i="2"/>
  <c r="E68" i="2"/>
  <c r="E69" i="2"/>
  <c r="E70" i="2"/>
  <c r="E71" i="2"/>
  <c r="E72" i="2"/>
  <c r="E73" i="2"/>
  <c r="E74" i="2"/>
  <c r="E75" i="2"/>
  <c r="E64" i="3"/>
  <c r="E65" i="3"/>
  <c r="E66" i="3"/>
  <c r="E67" i="3"/>
  <c r="E68" i="3"/>
  <c r="E69" i="3"/>
  <c r="E70" i="3"/>
  <c r="E71" i="3"/>
  <c r="E72" i="3"/>
  <c r="E73" i="3"/>
  <c r="E74" i="3"/>
  <c r="E75" i="3"/>
  <c r="E64" i="4"/>
  <c r="E65" i="4"/>
  <c r="E66" i="4"/>
  <c r="E67" i="4"/>
  <c r="E68" i="4"/>
  <c r="E69" i="4"/>
  <c r="E70" i="4"/>
  <c r="E71" i="4"/>
  <c r="E72" i="4"/>
  <c r="E73" i="4"/>
  <c r="E74" i="4"/>
  <c r="E75" i="4"/>
  <c r="E64" i="5"/>
  <c r="E65" i="5"/>
  <c r="E66" i="5"/>
  <c r="E67" i="5"/>
  <c r="E68" i="5"/>
  <c r="E69" i="5"/>
  <c r="E70" i="5"/>
  <c r="E71" i="5"/>
  <c r="E72" i="5"/>
  <c r="E73" i="5"/>
  <c r="E74" i="5"/>
  <c r="E75" i="5"/>
  <c r="E64" i="6"/>
  <c r="E65" i="6"/>
  <c r="E66" i="6"/>
  <c r="E67" i="6"/>
  <c r="E68" i="6"/>
  <c r="E69" i="6"/>
  <c r="E70" i="6"/>
  <c r="E71" i="6"/>
  <c r="E72" i="6"/>
  <c r="E73" i="6"/>
  <c r="E74" i="6"/>
  <c r="E75" i="6"/>
  <c r="E63" i="55"/>
  <c r="E63" i="59"/>
  <c r="E63" i="60"/>
  <c r="E63" i="37"/>
  <c r="E63" i="36"/>
  <c r="E63" i="35"/>
  <c r="E63" i="1"/>
  <c r="E63" i="2"/>
  <c r="E63" i="3"/>
  <c r="E63" i="4"/>
  <c r="E63" i="5"/>
  <c r="E63" i="6"/>
  <c r="E62" i="55"/>
  <c r="E62" i="59"/>
  <c r="E62" i="60"/>
  <c r="E62" i="61"/>
  <c r="E62" i="37"/>
  <c r="E62" i="36"/>
  <c r="E62" i="35"/>
  <c r="E62" i="1"/>
  <c r="E62" i="2"/>
  <c r="E62" i="3"/>
  <c r="E62" i="4"/>
  <c r="E62" i="5"/>
  <c r="E62" i="6"/>
  <c r="E58" i="60"/>
  <c r="E58" i="37"/>
  <c r="E58" i="36"/>
  <c r="E58" i="35"/>
  <c r="E58" i="1"/>
  <c r="E58" i="2"/>
  <c r="E58" i="3"/>
  <c r="E58" i="4"/>
  <c r="E58" i="5"/>
  <c r="E58" i="6"/>
  <c r="E56" i="55"/>
  <c r="E56" i="59"/>
  <c r="E56" i="60"/>
  <c r="E56" i="61"/>
  <c r="E56" i="37"/>
  <c r="E56" i="36"/>
  <c r="E56" i="35"/>
  <c r="E56" i="1"/>
  <c r="E56" i="2"/>
  <c r="E56" i="3"/>
  <c r="E56" i="4"/>
  <c r="E56" i="5"/>
  <c r="E56" i="6"/>
  <c r="E54" i="55"/>
  <c r="E54" i="59"/>
  <c r="E54" i="60"/>
  <c r="E54" i="61"/>
  <c r="E54" i="37"/>
  <c r="E54" i="36"/>
  <c r="E54" i="35"/>
  <c r="E54" i="1"/>
  <c r="E54" i="2"/>
  <c r="E54" i="3"/>
  <c r="E54" i="4"/>
  <c r="E54" i="5"/>
  <c r="E54" i="6"/>
  <c r="E52" i="59"/>
  <c r="E52" i="60"/>
  <c r="E52" i="61"/>
  <c r="E52" i="37"/>
  <c r="E52" i="36"/>
  <c r="E52" i="35"/>
  <c r="E52" i="1"/>
  <c r="E52" i="2"/>
  <c r="E52" i="3"/>
  <c r="E52" i="4"/>
  <c r="E52" i="5"/>
  <c r="E52" i="6"/>
  <c r="E50" i="55"/>
  <c r="E50" i="59"/>
  <c r="E50" i="60"/>
  <c r="E50" i="61"/>
  <c r="E50" i="37"/>
  <c r="E50" i="36"/>
  <c r="E50" i="35"/>
  <c r="E50" i="1"/>
  <c r="E50" i="2"/>
  <c r="E50" i="3"/>
  <c r="E50" i="4"/>
  <c r="E50" i="5"/>
  <c r="E50" i="6"/>
  <c r="E48" i="55"/>
  <c r="E48" i="59"/>
  <c r="E48" i="60"/>
  <c r="E48" i="61"/>
  <c r="E48" i="37"/>
  <c r="E48" i="36"/>
  <c r="E48" i="35"/>
  <c r="E48" i="1"/>
  <c r="E48" i="2"/>
  <c r="E48" i="3"/>
  <c r="E48" i="4"/>
  <c r="E48" i="5"/>
  <c r="E48" i="6"/>
  <c r="E46" i="55"/>
  <c r="E46" i="59"/>
  <c r="E46" i="60"/>
  <c r="E46" i="61"/>
  <c r="E46" i="37"/>
  <c r="E46" i="36"/>
  <c r="E46" i="35"/>
  <c r="E46" i="1"/>
  <c r="E46" i="2"/>
  <c r="E46" i="3"/>
  <c r="E46" i="4"/>
  <c r="E46" i="5"/>
  <c r="E46" i="6"/>
  <c r="E41" i="55"/>
  <c r="E42" i="55"/>
  <c r="E43" i="55"/>
  <c r="E44" i="55"/>
  <c r="E41" i="59"/>
  <c r="E42" i="59"/>
  <c r="E43" i="59"/>
  <c r="E44" i="59"/>
  <c r="E41" i="60"/>
  <c r="E42" i="60"/>
  <c r="E43" i="60"/>
  <c r="E44" i="60"/>
  <c r="E41" i="61"/>
  <c r="E42" i="61"/>
  <c r="E43" i="61"/>
  <c r="E44" i="61"/>
  <c r="E41" i="37"/>
  <c r="E42" i="37"/>
  <c r="E43" i="37"/>
  <c r="E44" i="37"/>
  <c r="E41" i="36"/>
  <c r="E42" i="36"/>
  <c r="E43" i="36"/>
  <c r="E44" i="36"/>
  <c r="E41" i="35"/>
  <c r="E42" i="35"/>
  <c r="E43" i="35"/>
  <c r="E44" i="35"/>
  <c r="E41" i="1"/>
  <c r="E42" i="1"/>
  <c r="E43" i="1"/>
  <c r="E44" i="1"/>
  <c r="E41" i="2"/>
  <c r="E42" i="2"/>
  <c r="E43" i="2"/>
  <c r="E44" i="2"/>
  <c r="E41" i="3"/>
  <c r="E42" i="3"/>
  <c r="E43" i="3"/>
  <c r="E44" i="3"/>
  <c r="E41" i="4"/>
  <c r="E42" i="4"/>
  <c r="E43" i="4"/>
  <c r="E44" i="4"/>
  <c r="E41" i="5"/>
  <c r="E42" i="5"/>
  <c r="E43" i="5"/>
  <c r="E44" i="5"/>
  <c r="E41" i="6"/>
  <c r="E42" i="6"/>
  <c r="E43" i="6"/>
  <c r="E44" i="6"/>
  <c r="E40" i="55"/>
  <c r="E40" i="59"/>
  <c r="E40" i="60"/>
  <c r="E40" i="61"/>
  <c r="E40" i="37"/>
  <c r="E40" i="36"/>
  <c r="E40" i="35"/>
  <c r="E40" i="1"/>
  <c r="E40" i="2"/>
  <c r="E40" i="3"/>
  <c r="E40" i="4"/>
  <c r="E40" i="5"/>
  <c r="E40" i="6"/>
  <c r="E39" i="55"/>
  <c r="E39" i="59"/>
  <c r="E39" i="60"/>
  <c r="E39" i="61"/>
  <c r="E39" i="37"/>
  <c r="E39" i="36"/>
  <c r="E39" i="35"/>
  <c r="E39" i="1"/>
  <c r="E39" i="2"/>
  <c r="E39" i="3"/>
  <c r="E39" i="4"/>
  <c r="E39" i="5"/>
  <c r="E39" i="6"/>
  <c r="E37" i="55"/>
  <c r="E37" i="60"/>
  <c r="E37" i="37"/>
  <c r="E37" i="36"/>
  <c r="E37" i="35"/>
  <c r="E37" i="1"/>
  <c r="E37" i="2"/>
  <c r="E37" i="3"/>
  <c r="E37" i="4"/>
  <c r="E37" i="5"/>
  <c r="E37" i="6"/>
  <c r="E10" i="55"/>
  <c r="E11" i="55"/>
  <c r="E12" i="55"/>
  <c r="E13" i="55"/>
  <c r="E14" i="55"/>
  <c r="E15" i="55"/>
  <c r="E16" i="55"/>
  <c r="E17" i="55"/>
  <c r="E18" i="55"/>
  <c r="E19" i="55"/>
  <c r="E20" i="55"/>
  <c r="E21" i="55"/>
  <c r="E22" i="55"/>
  <c r="E23" i="55"/>
  <c r="E24" i="55"/>
  <c r="E25" i="55"/>
  <c r="E26" i="55"/>
  <c r="E27" i="55"/>
  <c r="E28" i="55"/>
  <c r="E29" i="55"/>
  <c r="E30" i="55"/>
  <c r="E31" i="55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9" i="55"/>
  <c r="E9" i="59"/>
  <c r="E9" i="60"/>
  <c r="E9" i="61"/>
  <c r="E9" i="37"/>
  <c r="E9" i="36"/>
  <c r="E9" i="35"/>
  <c r="E9" i="1"/>
  <c r="E9" i="2"/>
  <c r="E9" i="3"/>
  <c r="E9" i="4"/>
  <c r="E9" i="5"/>
  <c r="E9" i="6"/>
  <c r="E8" i="55"/>
  <c r="E8" i="59"/>
  <c r="E8" i="60"/>
  <c r="E8" i="37"/>
  <c r="E8" i="36"/>
  <c r="E8" i="35"/>
  <c r="E8" i="1"/>
  <c r="E8" i="2"/>
  <c r="E8" i="3"/>
  <c r="E8" i="4"/>
  <c r="E8" i="5"/>
  <c r="E8" i="6"/>
  <c r="D90" i="37" l="1"/>
  <c r="D96" i="37" s="1"/>
  <c r="G96" i="37"/>
  <c r="D70" i="37"/>
  <c r="G10" i="37"/>
  <c r="G37" i="37" s="1"/>
  <c r="G58" i="37" s="1"/>
  <c r="D10" i="37"/>
  <c r="D37" i="37"/>
  <c r="D58" i="37" s="1"/>
  <c r="B58" i="37"/>
  <c r="C58" i="37"/>
  <c r="F75" i="37"/>
  <c r="G46" i="37"/>
  <c r="D46" i="37"/>
  <c r="G8" i="24" l="1"/>
  <c r="G48" i="24"/>
  <c r="G8" i="34"/>
  <c r="G48" i="34"/>
  <c r="G8" i="30"/>
  <c r="G48" i="30"/>
  <c r="G58" i="25" l="1"/>
  <c r="G58" i="26"/>
  <c r="G58" i="27"/>
  <c r="G58" i="28"/>
  <c r="G58" i="29"/>
  <c r="G79" i="11" l="1"/>
  <c r="G80" i="11"/>
  <c r="G82" i="11"/>
  <c r="G85" i="11" s="1"/>
  <c r="G83" i="11"/>
  <c r="G84" i="11"/>
  <c r="G86" i="11"/>
  <c r="G90" i="11" s="1"/>
  <c r="G87" i="11"/>
  <c r="G88" i="11"/>
  <c r="G89" i="11"/>
  <c r="G91" i="11"/>
  <c r="G94" i="11" s="1"/>
  <c r="G92" i="11"/>
  <c r="G93" i="11"/>
  <c r="G95" i="11"/>
  <c r="G78" i="11"/>
  <c r="G81" i="11" s="1"/>
  <c r="B95" i="11"/>
  <c r="C95" i="11"/>
  <c r="D95" i="11"/>
  <c r="E95" i="11" s="1"/>
  <c r="B79" i="11"/>
  <c r="C79" i="11"/>
  <c r="D79" i="11"/>
  <c r="E79" i="11" s="1"/>
  <c r="B80" i="11"/>
  <c r="C80" i="11"/>
  <c r="D80" i="11"/>
  <c r="E80" i="11" s="1"/>
  <c r="B82" i="11"/>
  <c r="C82" i="11"/>
  <c r="C85" i="11" s="1"/>
  <c r="D82" i="11"/>
  <c r="B83" i="11"/>
  <c r="C83" i="11"/>
  <c r="D83" i="11"/>
  <c r="E83" i="11" s="1"/>
  <c r="B84" i="11"/>
  <c r="B85" i="11" s="1"/>
  <c r="C84" i="11"/>
  <c r="D84" i="11"/>
  <c r="E84" i="11" s="1"/>
  <c r="B86" i="11"/>
  <c r="C86" i="11"/>
  <c r="C90" i="11" s="1"/>
  <c r="D86" i="11"/>
  <c r="B87" i="11"/>
  <c r="C87" i="11"/>
  <c r="D87" i="11"/>
  <c r="B88" i="11"/>
  <c r="C88" i="11"/>
  <c r="D88" i="11"/>
  <c r="E88" i="11" s="1"/>
  <c r="B89" i="11"/>
  <c r="C89" i="11"/>
  <c r="D89" i="11"/>
  <c r="E89" i="11" s="1"/>
  <c r="B91" i="11"/>
  <c r="C91" i="11"/>
  <c r="C94" i="11" s="1"/>
  <c r="D91" i="11"/>
  <c r="E91" i="11" s="1"/>
  <c r="B92" i="11"/>
  <c r="B94" i="11" s="1"/>
  <c r="C92" i="11"/>
  <c r="D92" i="11"/>
  <c r="B93" i="11"/>
  <c r="C93" i="11"/>
  <c r="D93" i="11"/>
  <c r="C78" i="11"/>
  <c r="C81" i="11" s="1"/>
  <c r="C96" i="11" s="1"/>
  <c r="D78" i="11"/>
  <c r="E78" i="11" s="1"/>
  <c r="B78" i="11"/>
  <c r="B81" i="11" s="1"/>
  <c r="G63" i="11"/>
  <c r="G64" i="11"/>
  <c r="G65" i="11"/>
  <c r="G66" i="11"/>
  <c r="G67" i="11"/>
  <c r="G68" i="11"/>
  <c r="G69" i="11"/>
  <c r="G70" i="11"/>
  <c r="G75" i="11" s="1"/>
  <c r="G71" i="11"/>
  <c r="G72" i="11"/>
  <c r="G73" i="11"/>
  <c r="G74" i="11"/>
  <c r="G62" i="11"/>
  <c r="B63" i="11"/>
  <c r="C63" i="11"/>
  <c r="D63" i="11"/>
  <c r="E63" i="11" s="1"/>
  <c r="B64" i="11"/>
  <c r="C64" i="11"/>
  <c r="D64" i="11"/>
  <c r="E64" i="11" s="1"/>
  <c r="B65" i="11"/>
  <c r="C65" i="11"/>
  <c r="D65" i="11"/>
  <c r="B66" i="11"/>
  <c r="C66" i="11"/>
  <c r="D66" i="11"/>
  <c r="E66" i="11" s="1"/>
  <c r="B67" i="11"/>
  <c r="C67" i="11"/>
  <c r="D67" i="11"/>
  <c r="E67" i="11" s="1"/>
  <c r="B68" i="11"/>
  <c r="C68" i="11"/>
  <c r="D68" i="11"/>
  <c r="E68" i="11" s="1"/>
  <c r="B69" i="11"/>
  <c r="C69" i="11"/>
  <c r="D69" i="11"/>
  <c r="C70" i="11"/>
  <c r="C75" i="11" s="1"/>
  <c r="D70" i="11"/>
  <c r="E70" i="11" s="1"/>
  <c r="B71" i="11"/>
  <c r="C71" i="11"/>
  <c r="D71" i="11"/>
  <c r="E71" i="11" s="1"/>
  <c r="B72" i="11"/>
  <c r="C72" i="11"/>
  <c r="D72" i="11"/>
  <c r="E72" i="11" s="1"/>
  <c r="B73" i="11"/>
  <c r="C73" i="11"/>
  <c r="D73" i="11"/>
  <c r="B74" i="11"/>
  <c r="C74" i="11"/>
  <c r="D74" i="11"/>
  <c r="E74" i="11" s="1"/>
  <c r="C62" i="11"/>
  <c r="D62" i="11"/>
  <c r="E62" i="11" s="1"/>
  <c r="B62" i="11"/>
  <c r="G56" i="11"/>
  <c r="C56" i="11"/>
  <c r="D56" i="11"/>
  <c r="E56" i="11" s="1"/>
  <c r="B56" i="11"/>
  <c r="G54" i="11"/>
  <c r="C54" i="11"/>
  <c r="D54" i="11"/>
  <c r="E54" i="11" s="1"/>
  <c r="B54" i="11"/>
  <c r="G52" i="11"/>
  <c r="C52" i="11"/>
  <c r="D52" i="11"/>
  <c r="E52" i="11" s="1"/>
  <c r="B52" i="11"/>
  <c r="G50" i="11"/>
  <c r="C50" i="11"/>
  <c r="D50" i="11"/>
  <c r="E50" i="11" s="1"/>
  <c r="B50" i="11"/>
  <c r="G48" i="11"/>
  <c r="C48" i="11"/>
  <c r="D48" i="11"/>
  <c r="E48" i="11" s="1"/>
  <c r="B48" i="11"/>
  <c r="G46" i="11"/>
  <c r="C46" i="11"/>
  <c r="D46" i="11"/>
  <c r="E46" i="11" s="1"/>
  <c r="B46" i="11"/>
  <c r="G40" i="11"/>
  <c r="G41" i="11"/>
  <c r="G42" i="11"/>
  <c r="G43" i="11"/>
  <c r="G44" i="11"/>
  <c r="G39" i="11"/>
  <c r="B40" i="11"/>
  <c r="C40" i="11"/>
  <c r="D40" i="11"/>
  <c r="E40" i="11" s="1"/>
  <c r="B41" i="11"/>
  <c r="C41" i="11"/>
  <c r="D41" i="11"/>
  <c r="B42" i="11"/>
  <c r="C42" i="11"/>
  <c r="D42" i="11"/>
  <c r="E42" i="11" s="1"/>
  <c r="B43" i="11"/>
  <c r="C43" i="11"/>
  <c r="D43" i="11"/>
  <c r="E43" i="11" s="1"/>
  <c r="B44" i="11"/>
  <c r="C44" i="11"/>
  <c r="D44" i="11"/>
  <c r="E44" i="11" s="1"/>
  <c r="C39" i="11"/>
  <c r="D39" i="11"/>
  <c r="E39" i="11" s="1"/>
  <c r="B39" i="11"/>
  <c r="G35" i="11"/>
  <c r="C35" i="11"/>
  <c r="D35" i="11"/>
  <c r="B35" i="11"/>
  <c r="G33" i="11"/>
  <c r="C33" i="11"/>
  <c r="D33" i="11"/>
  <c r="E33" i="11" s="1"/>
  <c r="B33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9" i="11"/>
  <c r="G37" i="11" s="1"/>
  <c r="B10" i="11"/>
  <c r="C10" i="11"/>
  <c r="D10" i="11"/>
  <c r="E10" i="11" s="1"/>
  <c r="B11" i="11"/>
  <c r="C11" i="11"/>
  <c r="D11" i="11"/>
  <c r="B12" i="11"/>
  <c r="C12" i="11"/>
  <c r="D12" i="11"/>
  <c r="E12" i="11" s="1"/>
  <c r="B13" i="11"/>
  <c r="C13" i="11"/>
  <c r="D13" i="11"/>
  <c r="B14" i="11"/>
  <c r="C14" i="11"/>
  <c r="D14" i="11"/>
  <c r="E14" i="11" s="1"/>
  <c r="B15" i="11"/>
  <c r="C15" i="11"/>
  <c r="D15" i="11"/>
  <c r="B16" i="11"/>
  <c r="C16" i="11"/>
  <c r="D16" i="11"/>
  <c r="E16" i="11" s="1"/>
  <c r="B17" i="11"/>
  <c r="C17" i="11"/>
  <c r="D17" i="11"/>
  <c r="B18" i="11"/>
  <c r="C18" i="11"/>
  <c r="D18" i="11"/>
  <c r="E18" i="11" s="1"/>
  <c r="B19" i="11"/>
  <c r="C19" i="11"/>
  <c r="D19" i="11"/>
  <c r="B20" i="11"/>
  <c r="C20" i="11"/>
  <c r="D20" i="11"/>
  <c r="E20" i="11" s="1"/>
  <c r="B21" i="11"/>
  <c r="C21" i="11"/>
  <c r="D21" i="11"/>
  <c r="B22" i="11"/>
  <c r="C22" i="11"/>
  <c r="D22" i="11"/>
  <c r="E22" i="11" s="1"/>
  <c r="B23" i="11"/>
  <c r="C23" i="11"/>
  <c r="D23" i="11"/>
  <c r="B24" i="11"/>
  <c r="C24" i="11"/>
  <c r="D24" i="11"/>
  <c r="E24" i="11" s="1"/>
  <c r="B25" i="11"/>
  <c r="C25" i="11"/>
  <c r="D25" i="11"/>
  <c r="B26" i="11"/>
  <c r="C26" i="11"/>
  <c r="D26" i="11"/>
  <c r="E26" i="11" s="1"/>
  <c r="B27" i="11"/>
  <c r="C27" i="11"/>
  <c r="D27" i="11"/>
  <c r="B28" i="11"/>
  <c r="C28" i="11"/>
  <c r="D28" i="11"/>
  <c r="E28" i="11" s="1"/>
  <c r="B29" i="11"/>
  <c r="C29" i="11"/>
  <c r="D29" i="11"/>
  <c r="B30" i="11"/>
  <c r="C30" i="11"/>
  <c r="D30" i="11"/>
  <c r="E30" i="11" s="1"/>
  <c r="B31" i="11"/>
  <c r="C31" i="11"/>
  <c r="D31" i="11"/>
  <c r="C9" i="11"/>
  <c r="D9" i="11"/>
  <c r="B9" i="11"/>
  <c r="C8" i="11"/>
  <c r="E8" i="11"/>
  <c r="B8" i="11"/>
  <c r="B37" i="11" s="1"/>
  <c r="G58" i="11" l="1"/>
  <c r="G96" i="11"/>
  <c r="E29" i="11"/>
  <c r="E25" i="11"/>
  <c r="E21" i="11"/>
  <c r="E17" i="11"/>
  <c r="E13" i="11"/>
  <c r="E35" i="11"/>
  <c r="E41" i="11"/>
  <c r="E92" i="11"/>
  <c r="E87" i="11"/>
  <c r="E82" i="11"/>
  <c r="E69" i="11"/>
  <c r="E65" i="11"/>
  <c r="E93" i="11"/>
  <c r="B90" i="11"/>
  <c r="D85" i="11"/>
  <c r="E85" i="11" s="1"/>
  <c r="C37" i="11"/>
  <c r="C58" i="11" s="1"/>
  <c r="E73" i="11"/>
  <c r="D81" i="11"/>
  <c r="D75" i="11"/>
  <c r="E75" i="11" s="1"/>
  <c r="E86" i="11"/>
  <c r="D90" i="11"/>
  <c r="E90" i="11" s="1"/>
  <c r="D94" i="11"/>
  <c r="E94" i="11" s="1"/>
  <c r="D37" i="11"/>
  <c r="E9" i="11"/>
  <c r="E31" i="11"/>
  <c r="E27" i="11"/>
  <c r="E23" i="11"/>
  <c r="E19" i="11"/>
  <c r="E15" i="11"/>
  <c r="E11" i="11"/>
  <c r="E96" i="39"/>
  <c r="E96" i="64"/>
  <c r="E96" i="65"/>
  <c r="E96" i="40"/>
  <c r="E96" i="41"/>
  <c r="E96" i="43"/>
  <c r="E96" i="42"/>
  <c r="E96" i="44"/>
  <c r="E96" i="45"/>
  <c r="E96" i="47"/>
  <c r="E96" i="48"/>
  <c r="E96" i="50"/>
  <c r="E96" i="51"/>
  <c r="E96" i="46"/>
  <c r="E96" i="38"/>
  <c r="E80" i="39"/>
  <c r="E81" i="39"/>
  <c r="E82" i="39"/>
  <c r="E83" i="39"/>
  <c r="E84" i="39"/>
  <c r="E85" i="39"/>
  <c r="E86" i="39"/>
  <c r="E87" i="39"/>
  <c r="E88" i="39"/>
  <c r="E89" i="39"/>
  <c r="E90" i="39"/>
  <c r="E91" i="39"/>
  <c r="E92" i="39"/>
  <c r="E93" i="39"/>
  <c r="E94" i="39"/>
  <c r="E95" i="39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80" i="65"/>
  <c r="E81" i="65"/>
  <c r="E82" i="65"/>
  <c r="E83" i="65"/>
  <c r="E84" i="65"/>
  <c r="E85" i="65"/>
  <c r="E86" i="65"/>
  <c r="E87" i="65"/>
  <c r="E88" i="65"/>
  <c r="E89" i="65"/>
  <c r="E90" i="65"/>
  <c r="E91" i="65"/>
  <c r="E92" i="65"/>
  <c r="E93" i="65"/>
  <c r="E94" i="65"/>
  <c r="E95" i="65"/>
  <c r="E80" i="40"/>
  <c r="E81" i="40"/>
  <c r="E82" i="40"/>
  <c r="E83" i="40"/>
  <c r="E84" i="40"/>
  <c r="E85" i="40"/>
  <c r="E86" i="40"/>
  <c r="E87" i="40"/>
  <c r="E88" i="40"/>
  <c r="E89" i="40"/>
  <c r="E90" i="40"/>
  <c r="E91" i="40"/>
  <c r="E92" i="40"/>
  <c r="E93" i="40"/>
  <c r="E94" i="40"/>
  <c r="E95" i="40"/>
  <c r="E80" i="41"/>
  <c r="E81" i="41"/>
  <c r="E82" i="41"/>
  <c r="E83" i="41"/>
  <c r="E84" i="41"/>
  <c r="E85" i="41"/>
  <c r="E86" i="41"/>
  <c r="E87" i="41"/>
  <c r="E88" i="41"/>
  <c r="E89" i="41"/>
  <c r="E90" i="41"/>
  <c r="E91" i="41"/>
  <c r="E92" i="41"/>
  <c r="E93" i="41"/>
  <c r="E94" i="41"/>
  <c r="E95" i="41"/>
  <c r="E80" i="43"/>
  <c r="E81" i="43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80" i="42"/>
  <c r="E81" i="42"/>
  <c r="E82" i="42"/>
  <c r="E83" i="42"/>
  <c r="E84" i="42"/>
  <c r="E85" i="42"/>
  <c r="E86" i="42"/>
  <c r="E87" i="42"/>
  <c r="E88" i="42"/>
  <c r="E89" i="42"/>
  <c r="E90" i="42"/>
  <c r="E91" i="42"/>
  <c r="E92" i="42"/>
  <c r="E93" i="42"/>
  <c r="E94" i="42"/>
  <c r="E95" i="42"/>
  <c r="E80" i="44"/>
  <c r="E81" i="44"/>
  <c r="E82" i="44"/>
  <c r="E83" i="44"/>
  <c r="E84" i="44"/>
  <c r="E85" i="44"/>
  <c r="E86" i="44"/>
  <c r="E87" i="44"/>
  <c r="E88" i="44"/>
  <c r="E89" i="44"/>
  <c r="E90" i="44"/>
  <c r="E91" i="44"/>
  <c r="E92" i="44"/>
  <c r="E93" i="44"/>
  <c r="E94" i="44"/>
  <c r="E95" i="44"/>
  <c r="E80" i="45"/>
  <c r="E81" i="45"/>
  <c r="E82" i="45"/>
  <c r="E83" i="45"/>
  <c r="E84" i="45"/>
  <c r="E85" i="45"/>
  <c r="E86" i="45"/>
  <c r="E87" i="45"/>
  <c r="E88" i="45"/>
  <c r="E89" i="45"/>
  <c r="E90" i="45"/>
  <c r="E91" i="45"/>
  <c r="E92" i="45"/>
  <c r="E93" i="45"/>
  <c r="E94" i="45"/>
  <c r="E95" i="45"/>
  <c r="E80" i="47"/>
  <c r="E81" i="47"/>
  <c r="E82" i="47"/>
  <c r="E83" i="47"/>
  <c r="E84" i="47"/>
  <c r="E85" i="47"/>
  <c r="E86" i="47"/>
  <c r="E87" i="47"/>
  <c r="E88" i="47"/>
  <c r="E89" i="47"/>
  <c r="E90" i="47"/>
  <c r="E91" i="47"/>
  <c r="E92" i="47"/>
  <c r="E93" i="47"/>
  <c r="E94" i="47"/>
  <c r="E95" i="47"/>
  <c r="E80" i="48"/>
  <c r="E81" i="48"/>
  <c r="E82" i="48"/>
  <c r="E83" i="48"/>
  <c r="E84" i="48"/>
  <c r="E85" i="48"/>
  <c r="E86" i="48"/>
  <c r="E87" i="48"/>
  <c r="E88" i="48"/>
  <c r="E89" i="48"/>
  <c r="E90" i="48"/>
  <c r="E91" i="48"/>
  <c r="E92" i="48"/>
  <c r="E93" i="48"/>
  <c r="E94" i="48"/>
  <c r="E95" i="48"/>
  <c r="E80" i="49"/>
  <c r="E81" i="49"/>
  <c r="E82" i="49"/>
  <c r="E83" i="49"/>
  <c r="E84" i="49"/>
  <c r="E85" i="49"/>
  <c r="E86" i="49"/>
  <c r="E87" i="49"/>
  <c r="E88" i="49"/>
  <c r="E89" i="49"/>
  <c r="E91" i="49"/>
  <c r="E92" i="49"/>
  <c r="E93" i="49"/>
  <c r="E94" i="49"/>
  <c r="E95" i="49"/>
  <c r="E80" i="50"/>
  <c r="E81" i="50"/>
  <c r="E82" i="50"/>
  <c r="E83" i="50"/>
  <c r="E84" i="50"/>
  <c r="E85" i="50"/>
  <c r="E86" i="50"/>
  <c r="E87" i="50"/>
  <c r="E88" i="50"/>
  <c r="E89" i="50"/>
  <c r="E90" i="50"/>
  <c r="E91" i="50"/>
  <c r="E92" i="50"/>
  <c r="E93" i="50"/>
  <c r="E94" i="50"/>
  <c r="E95" i="50"/>
  <c r="E80" i="51"/>
  <c r="E81" i="51"/>
  <c r="E82" i="51"/>
  <c r="E83" i="51"/>
  <c r="E84" i="51"/>
  <c r="E85" i="51"/>
  <c r="E86" i="51"/>
  <c r="E87" i="51"/>
  <c r="E88" i="51"/>
  <c r="E89" i="51"/>
  <c r="E90" i="51"/>
  <c r="E91" i="51"/>
  <c r="E92" i="51"/>
  <c r="E93" i="51"/>
  <c r="E94" i="51"/>
  <c r="E95" i="51"/>
  <c r="E80" i="46"/>
  <c r="E81" i="46"/>
  <c r="E82" i="46"/>
  <c r="E83" i="46"/>
  <c r="E84" i="46"/>
  <c r="E85" i="46"/>
  <c r="E86" i="46"/>
  <c r="E87" i="46"/>
  <c r="E88" i="46"/>
  <c r="E89" i="46"/>
  <c r="E90" i="46"/>
  <c r="E91" i="46"/>
  <c r="E92" i="46"/>
  <c r="E93" i="46"/>
  <c r="E94" i="46"/>
  <c r="E95" i="46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79" i="39"/>
  <c r="E79" i="64"/>
  <c r="E79" i="65"/>
  <c r="E79" i="40"/>
  <c r="E79" i="41"/>
  <c r="E79" i="43"/>
  <c r="E79" i="42"/>
  <c r="E79" i="44"/>
  <c r="E79" i="45"/>
  <c r="E79" i="47"/>
  <c r="E79" i="48"/>
  <c r="E79" i="49"/>
  <c r="E79" i="50"/>
  <c r="E79" i="51"/>
  <c r="E79" i="46"/>
  <c r="E79" i="38"/>
  <c r="E78" i="39"/>
  <c r="E78" i="64"/>
  <c r="E78" i="65"/>
  <c r="E78" i="40"/>
  <c r="E78" i="41"/>
  <c r="E78" i="43"/>
  <c r="E78" i="42"/>
  <c r="E78" i="44"/>
  <c r="E78" i="45"/>
  <c r="E78" i="47"/>
  <c r="E78" i="48"/>
  <c r="E78" i="49"/>
  <c r="E78" i="50"/>
  <c r="E78" i="51"/>
  <c r="E78" i="46"/>
  <c r="E78" i="38"/>
  <c r="E63" i="39"/>
  <c r="E64" i="39"/>
  <c r="E65" i="39"/>
  <c r="E66" i="39"/>
  <c r="E67" i="39"/>
  <c r="E68" i="39"/>
  <c r="E69" i="39"/>
  <c r="E70" i="39"/>
  <c r="E71" i="39"/>
  <c r="E72" i="39"/>
  <c r="E73" i="39"/>
  <c r="E74" i="39"/>
  <c r="E75" i="39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63" i="65"/>
  <c r="E64" i="65"/>
  <c r="E65" i="65"/>
  <c r="E66" i="65"/>
  <c r="E67" i="65"/>
  <c r="E68" i="65"/>
  <c r="E69" i="65"/>
  <c r="E70" i="65"/>
  <c r="E71" i="65"/>
  <c r="E72" i="65"/>
  <c r="E73" i="65"/>
  <c r="E74" i="65"/>
  <c r="E75" i="65"/>
  <c r="E63" i="40"/>
  <c r="E64" i="40"/>
  <c r="E65" i="40"/>
  <c r="E66" i="40"/>
  <c r="E67" i="40"/>
  <c r="E68" i="40"/>
  <c r="E69" i="40"/>
  <c r="E70" i="40"/>
  <c r="E71" i="40"/>
  <c r="E72" i="40"/>
  <c r="E73" i="40"/>
  <c r="E74" i="40"/>
  <c r="E75" i="40"/>
  <c r="E63" i="41"/>
  <c r="E64" i="41"/>
  <c r="E65" i="41"/>
  <c r="E66" i="41"/>
  <c r="E67" i="41"/>
  <c r="E68" i="41"/>
  <c r="E69" i="41"/>
  <c r="E70" i="41"/>
  <c r="E71" i="41"/>
  <c r="E72" i="41"/>
  <c r="E73" i="41"/>
  <c r="E74" i="41"/>
  <c r="E75" i="41"/>
  <c r="E63" i="43"/>
  <c r="E64" i="43"/>
  <c r="E65" i="43"/>
  <c r="E66" i="43"/>
  <c r="E67" i="43"/>
  <c r="E68" i="43"/>
  <c r="E69" i="43"/>
  <c r="E70" i="43"/>
  <c r="E71" i="43"/>
  <c r="E72" i="43"/>
  <c r="E73" i="43"/>
  <c r="E74" i="43"/>
  <c r="E75" i="43"/>
  <c r="E63" i="42"/>
  <c r="E64" i="42"/>
  <c r="E65" i="42"/>
  <c r="E66" i="42"/>
  <c r="E67" i="42"/>
  <c r="E68" i="42"/>
  <c r="E69" i="42"/>
  <c r="E70" i="42"/>
  <c r="E71" i="42"/>
  <c r="E72" i="42"/>
  <c r="E73" i="42"/>
  <c r="E74" i="42"/>
  <c r="E75" i="42"/>
  <c r="E63" i="44"/>
  <c r="E64" i="44"/>
  <c r="E65" i="44"/>
  <c r="E66" i="44"/>
  <c r="E67" i="44"/>
  <c r="E68" i="44"/>
  <c r="E69" i="44"/>
  <c r="E70" i="44"/>
  <c r="E71" i="44"/>
  <c r="E72" i="44"/>
  <c r="E73" i="44"/>
  <c r="E74" i="44"/>
  <c r="E75" i="44"/>
  <c r="E63" i="45"/>
  <c r="E64" i="45"/>
  <c r="E65" i="45"/>
  <c r="E66" i="45"/>
  <c r="E67" i="45"/>
  <c r="E68" i="45"/>
  <c r="E69" i="45"/>
  <c r="E70" i="45"/>
  <c r="E71" i="45"/>
  <c r="E72" i="45"/>
  <c r="E73" i="45"/>
  <c r="E74" i="45"/>
  <c r="E75" i="45"/>
  <c r="E63" i="47"/>
  <c r="E64" i="47"/>
  <c r="E65" i="47"/>
  <c r="E66" i="47"/>
  <c r="E67" i="47"/>
  <c r="E68" i="47"/>
  <c r="E69" i="47"/>
  <c r="E70" i="47"/>
  <c r="E71" i="47"/>
  <c r="E72" i="47"/>
  <c r="E73" i="47"/>
  <c r="E74" i="47"/>
  <c r="E75" i="47"/>
  <c r="E63" i="48"/>
  <c r="E64" i="48"/>
  <c r="E65" i="48"/>
  <c r="E66" i="48"/>
  <c r="E67" i="48"/>
  <c r="E68" i="48"/>
  <c r="E69" i="48"/>
  <c r="E70" i="48"/>
  <c r="E71" i="48"/>
  <c r="E72" i="48"/>
  <c r="E73" i="48"/>
  <c r="E74" i="48"/>
  <c r="E75" i="48"/>
  <c r="E63" i="49"/>
  <c r="E64" i="49"/>
  <c r="E65" i="49"/>
  <c r="E66" i="49"/>
  <c r="E67" i="49"/>
  <c r="E68" i="49"/>
  <c r="E69" i="49"/>
  <c r="E70" i="49"/>
  <c r="E71" i="49"/>
  <c r="E72" i="49"/>
  <c r="E73" i="49"/>
  <c r="E74" i="49"/>
  <c r="E75" i="49"/>
  <c r="E63" i="50"/>
  <c r="E64" i="50"/>
  <c r="E65" i="50"/>
  <c r="E66" i="50"/>
  <c r="E67" i="50"/>
  <c r="E68" i="50"/>
  <c r="E69" i="50"/>
  <c r="E70" i="50"/>
  <c r="E71" i="50"/>
  <c r="E72" i="50"/>
  <c r="E73" i="50"/>
  <c r="E74" i="50"/>
  <c r="E75" i="50"/>
  <c r="E63" i="51"/>
  <c r="E64" i="51"/>
  <c r="E65" i="51"/>
  <c r="E66" i="51"/>
  <c r="E67" i="51"/>
  <c r="E68" i="51"/>
  <c r="E69" i="51"/>
  <c r="E70" i="51"/>
  <c r="E71" i="51"/>
  <c r="E72" i="51"/>
  <c r="E73" i="51"/>
  <c r="E74" i="51"/>
  <c r="E75" i="51"/>
  <c r="E63" i="46"/>
  <c r="E64" i="46"/>
  <c r="E65" i="46"/>
  <c r="E66" i="46"/>
  <c r="E67" i="46"/>
  <c r="E68" i="46"/>
  <c r="E69" i="46"/>
  <c r="E70" i="46"/>
  <c r="E71" i="46"/>
  <c r="E72" i="46"/>
  <c r="E73" i="46"/>
  <c r="E74" i="46"/>
  <c r="E75" i="46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62" i="39"/>
  <c r="E62" i="64"/>
  <c r="E62" i="65"/>
  <c r="E62" i="40"/>
  <c r="E62" i="41"/>
  <c r="E62" i="43"/>
  <c r="E62" i="42"/>
  <c r="E62" i="44"/>
  <c r="E62" i="45"/>
  <c r="E62" i="47"/>
  <c r="E62" i="48"/>
  <c r="E62" i="49"/>
  <c r="E62" i="50"/>
  <c r="E62" i="51"/>
  <c r="E62" i="46"/>
  <c r="E62" i="38"/>
  <c r="E58" i="39"/>
  <c r="E58" i="64"/>
  <c r="E58" i="65"/>
  <c r="E58" i="40"/>
  <c r="E58" i="41"/>
  <c r="E58" i="43"/>
  <c r="E58" i="42"/>
  <c r="E58" i="47"/>
  <c r="E58" i="48"/>
  <c r="E58" i="49"/>
  <c r="E58" i="50"/>
  <c r="E58" i="51"/>
  <c r="E58" i="46"/>
  <c r="E58" i="38"/>
  <c r="E56" i="39"/>
  <c r="E56" i="64"/>
  <c r="E56" i="65"/>
  <c r="E56" i="40"/>
  <c r="E56" i="41"/>
  <c r="E56" i="43"/>
  <c r="E56" i="42"/>
  <c r="E56" i="44"/>
  <c r="E56" i="45"/>
  <c r="E56" i="47"/>
  <c r="E56" i="48"/>
  <c r="E56" i="49"/>
  <c r="E56" i="50"/>
  <c r="E56" i="51"/>
  <c r="E56" i="46"/>
  <c r="E56" i="38"/>
  <c r="E54" i="39"/>
  <c r="E54" i="64"/>
  <c r="E54" i="65"/>
  <c r="E54" i="40"/>
  <c r="E54" i="41"/>
  <c r="E54" i="43"/>
  <c r="E54" i="42"/>
  <c r="E54" i="44"/>
  <c r="E54" i="45"/>
  <c r="E54" i="47"/>
  <c r="E54" i="48"/>
  <c r="E54" i="49"/>
  <c r="E54" i="50"/>
  <c r="E54" i="51"/>
  <c r="E54" i="46"/>
  <c r="E54" i="38"/>
  <c r="E52" i="39"/>
  <c r="E52" i="64"/>
  <c r="E52" i="65"/>
  <c r="E52" i="40"/>
  <c r="E52" i="41"/>
  <c r="E52" i="43"/>
  <c r="E52" i="42"/>
  <c r="E52" i="44"/>
  <c r="E52" i="45"/>
  <c r="E52" i="47"/>
  <c r="E52" i="48"/>
  <c r="E52" i="49"/>
  <c r="E52" i="50"/>
  <c r="E52" i="51"/>
  <c r="E52" i="46"/>
  <c r="E52" i="38"/>
  <c r="E50" i="39"/>
  <c r="E50" i="64"/>
  <c r="E50" i="65"/>
  <c r="E50" i="40"/>
  <c r="E50" i="41"/>
  <c r="E50" i="43"/>
  <c r="E50" i="42"/>
  <c r="E50" i="44"/>
  <c r="E50" i="45"/>
  <c r="E50" i="47"/>
  <c r="E50" i="48"/>
  <c r="E50" i="49"/>
  <c r="E50" i="50"/>
  <c r="E50" i="51"/>
  <c r="E50" i="46"/>
  <c r="E50" i="38"/>
  <c r="E48" i="39"/>
  <c r="E48" i="64"/>
  <c r="E48" i="65"/>
  <c r="E48" i="40"/>
  <c r="E48" i="41"/>
  <c r="E48" i="43"/>
  <c r="E48" i="42"/>
  <c r="E48" i="44"/>
  <c r="E48" i="45"/>
  <c r="E48" i="47"/>
  <c r="E48" i="48"/>
  <c r="E48" i="49"/>
  <c r="E48" i="50"/>
  <c r="E48" i="51"/>
  <c r="E48" i="46"/>
  <c r="E48" i="38"/>
  <c r="E46" i="39"/>
  <c r="E46" i="64"/>
  <c r="E46" i="65"/>
  <c r="E46" i="40"/>
  <c r="E46" i="41"/>
  <c r="E46" i="43"/>
  <c r="E46" i="42"/>
  <c r="E46" i="44"/>
  <c r="E46" i="45"/>
  <c r="E46" i="47"/>
  <c r="E46" i="48"/>
  <c r="E46" i="49"/>
  <c r="E46" i="50"/>
  <c r="E46" i="51"/>
  <c r="E46" i="46"/>
  <c r="E46" i="38"/>
  <c r="E40" i="39"/>
  <c r="E41" i="39"/>
  <c r="E42" i="39"/>
  <c r="E43" i="39"/>
  <c r="E44" i="39"/>
  <c r="E40" i="64"/>
  <c r="E41" i="64"/>
  <c r="E42" i="64"/>
  <c r="E43" i="64"/>
  <c r="E44" i="64"/>
  <c r="E40" i="65"/>
  <c r="E41" i="65"/>
  <c r="E42" i="65"/>
  <c r="E43" i="65"/>
  <c r="E44" i="65"/>
  <c r="E40" i="40"/>
  <c r="E41" i="40"/>
  <c r="E42" i="40"/>
  <c r="E43" i="40"/>
  <c r="E44" i="40"/>
  <c r="E40" i="41"/>
  <c r="E41" i="41"/>
  <c r="E42" i="41"/>
  <c r="E43" i="41"/>
  <c r="E44" i="41"/>
  <c r="E40" i="43"/>
  <c r="E41" i="43"/>
  <c r="E42" i="43"/>
  <c r="E43" i="43"/>
  <c r="E44" i="43"/>
  <c r="E40" i="42"/>
  <c r="E41" i="42"/>
  <c r="E42" i="42"/>
  <c r="E43" i="42"/>
  <c r="E44" i="42"/>
  <c r="E40" i="44"/>
  <c r="E41" i="44"/>
  <c r="E42" i="44"/>
  <c r="E43" i="44"/>
  <c r="E44" i="44"/>
  <c r="E40" i="45"/>
  <c r="E41" i="45"/>
  <c r="E42" i="45"/>
  <c r="E43" i="45"/>
  <c r="E44" i="45"/>
  <c r="E40" i="47"/>
  <c r="E41" i="47"/>
  <c r="E42" i="47"/>
  <c r="E43" i="47"/>
  <c r="E44" i="47"/>
  <c r="E40" i="48"/>
  <c r="E41" i="48"/>
  <c r="E42" i="48"/>
  <c r="E43" i="48"/>
  <c r="E44" i="48"/>
  <c r="E40" i="49"/>
  <c r="E41" i="49"/>
  <c r="E42" i="49"/>
  <c r="E43" i="49"/>
  <c r="E44" i="49"/>
  <c r="E40" i="50"/>
  <c r="E41" i="50"/>
  <c r="E42" i="50"/>
  <c r="E43" i="50"/>
  <c r="E44" i="50"/>
  <c r="E40" i="51"/>
  <c r="E41" i="51"/>
  <c r="E42" i="51"/>
  <c r="E43" i="51"/>
  <c r="E44" i="51"/>
  <c r="E40" i="46"/>
  <c r="E41" i="46"/>
  <c r="E42" i="46"/>
  <c r="E43" i="46"/>
  <c r="E44" i="46"/>
  <c r="E40" i="38"/>
  <c r="E41" i="38"/>
  <c r="E42" i="38"/>
  <c r="E43" i="38"/>
  <c r="E44" i="38"/>
  <c r="E39" i="39"/>
  <c r="E39" i="64"/>
  <c r="E39" i="65"/>
  <c r="E39" i="40"/>
  <c r="E39" i="41"/>
  <c r="E39" i="43"/>
  <c r="E39" i="42"/>
  <c r="E39" i="44"/>
  <c r="E39" i="45"/>
  <c r="E39" i="47"/>
  <c r="E39" i="48"/>
  <c r="E39" i="49"/>
  <c r="E39" i="50"/>
  <c r="E39" i="51"/>
  <c r="E39" i="46"/>
  <c r="E39" i="38"/>
  <c r="E37" i="39"/>
  <c r="E37" i="64"/>
  <c r="E37" i="65"/>
  <c r="E37" i="40"/>
  <c r="E37" i="41"/>
  <c r="E37" i="43"/>
  <c r="E37" i="42"/>
  <c r="E37" i="45"/>
  <c r="E37" i="47"/>
  <c r="E37" i="48"/>
  <c r="E37" i="49"/>
  <c r="E37" i="50"/>
  <c r="E37" i="51"/>
  <c r="E37" i="46"/>
  <c r="E37" i="38"/>
  <c r="E35" i="39"/>
  <c r="E35" i="64"/>
  <c r="E35" i="65"/>
  <c r="E35" i="40"/>
  <c r="E35" i="41"/>
  <c r="E35" i="43"/>
  <c r="E35" i="42"/>
  <c r="E35" i="44"/>
  <c r="E35" i="45"/>
  <c r="E35" i="47"/>
  <c r="E35" i="48"/>
  <c r="E35" i="49"/>
  <c r="E35" i="50"/>
  <c r="E35" i="51"/>
  <c r="E35" i="46"/>
  <c r="E35" i="38"/>
  <c r="E33" i="39"/>
  <c r="E33" i="64"/>
  <c r="E33" i="65"/>
  <c r="E33" i="40"/>
  <c r="E33" i="41"/>
  <c r="E33" i="43"/>
  <c r="E33" i="42"/>
  <c r="E33" i="44"/>
  <c r="E33" i="45"/>
  <c r="E33" i="47"/>
  <c r="E33" i="48"/>
  <c r="E33" i="49"/>
  <c r="E33" i="50"/>
  <c r="E33" i="51"/>
  <c r="E33" i="46"/>
  <c r="E33" i="38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10" i="65"/>
  <c r="E11" i="65"/>
  <c r="E12" i="65"/>
  <c r="E13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31" i="65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1" i="44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10" i="47"/>
  <c r="E11" i="47"/>
  <c r="E12" i="47"/>
  <c r="E13" i="47"/>
  <c r="E14" i="47"/>
  <c r="E15" i="47"/>
  <c r="E16" i="47"/>
  <c r="E17" i="47"/>
  <c r="E18" i="47"/>
  <c r="E19" i="47"/>
  <c r="E20" i="47"/>
  <c r="E21" i="47"/>
  <c r="E22" i="47"/>
  <c r="E23" i="47"/>
  <c r="E24" i="47"/>
  <c r="E25" i="47"/>
  <c r="E26" i="47"/>
  <c r="E27" i="47"/>
  <c r="E28" i="47"/>
  <c r="E29" i="47"/>
  <c r="E30" i="47"/>
  <c r="E31" i="47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10" i="50"/>
  <c r="E11" i="50"/>
  <c r="E12" i="50"/>
  <c r="E13" i="50"/>
  <c r="E14" i="50"/>
  <c r="E15" i="50"/>
  <c r="E16" i="50"/>
  <c r="E17" i="50"/>
  <c r="E18" i="50"/>
  <c r="E19" i="50"/>
  <c r="E20" i="50"/>
  <c r="E21" i="50"/>
  <c r="E22" i="50"/>
  <c r="E23" i="50"/>
  <c r="E24" i="50"/>
  <c r="E25" i="50"/>
  <c r="E26" i="50"/>
  <c r="E27" i="50"/>
  <c r="E28" i="50"/>
  <c r="E29" i="50"/>
  <c r="E30" i="50"/>
  <c r="E31" i="50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10" i="46"/>
  <c r="E11" i="46"/>
  <c r="E12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9" i="39"/>
  <c r="E9" i="64"/>
  <c r="E9" i="65"/>
  <c r="E9" i="40"/>
  <c r="E9" i="41"/>
  <c r="E9" i="43"/>
  <c r="E9" i="42"/>
  <c r="E9" i="44"/>
  <c r="E9" i="45"/>
  <c r="E9" i="47"/>
  <c r="E9" i="48"/>
  <c r="E9" i="49"/>
  <c r="E9" i="50"/>
  <c r="E9" i="51"/>
  <c r="E9" i="46"/>
  <c r="E9" i="38"/>
  <c r="E8" i="39"/>
  <c r="E8" i="64"/>
  <c r="E8" i="65"/>
  <c r="E8" i="40"/>
  <c r="E8" i="41"/>
  <c r="E8" i="43"/>
  <c r="E8" i="42"/>
  <c r="E8" i="44"/>
  <c r="E8" i="45"/>
  <c r="E8" i="47"/>
  <c r="E8" i="48"/>
  <c r="E8" i="49"/>
  <c r="E8" i="50"/>
  <c r="E8" i="51"/>
  <c r="E8" i="46"/>
  <c r="E8" i="38"/>
  <c r="E81" i="11" l="1"/>
  <c r="D96" i="11"/>
  <c r="E96" i="11" s="1"/>
  <c r="E37" i="11"/>
  <c r="D58" i="11"/>
  <c r="G96" i="7"/>
  <c r="D96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B79" i="7"/>
  <c r="C79" i="7"/>
  <c r="D79" i="7"/>
  <c r="B80" i="7"/>
  <c r="C80" i="7"/>
  <c r="D80" i="7"/>
  <c r="B81" i="7"/>
  <c r="C81" i="7"/>
  <c r="D81" i="7"/>
  <c r="B82" i="7"/>
  <c r="C82" i="7"/>
  <c r="D82" i="7"/>
  <c r="B83" i="7"/>
  <c r="C83" i="7"/>
  <c r="D83" i="7"/>
  <c r="B84" i="7"/>
  <c r="C84" i="7"/>
  <c r="D84" i="7"/>
  <c r="E84" i="7" s="1"/>
  <c r="B85" i="7"/>
  <c r="C85" i="7"/>
  <c r="D85" i="7"/>
  <c r="B86" i="7"/>
  <c r="C86" i="7"/>
  <c r="D86" i="7"/>
  <c r="B87" i="7"/>
  <c r="C87" i="7"/>
  <c r="D87" i="7"/>
  <c r="E87" i="7" s="1"/>
  <c r="B88" i="7"/>
  <c r="C88" i="7"/>
  <c r="D88" i="7"/>
  <c r="B89" i="7"/>
  <c r="C89" i="7"/>
  <c r="D89" i="7"/>
  <c r="D90" i="7"/>
  <c r="B91" i="7"/>
  <c r="C91" i="7"/>
  <c r="E91" i="7" s="1"/>
  <c r="D91" i="7"/>
  <c r="B92" i="7"/>
  <c r="C92" i="7"/>
  <c r="D92" i="7"/>
  <c r="E92" i="7" s="1"/>
  <c r="B93" i="7"/>
  <c r="C93" i="7"/>
  <c r="D93" i="7"/>
  <c r="B94" i="7"/>
  <c r="C94" i="7"/>
  <c r="D94" i="7"/>
  <c r="E94" i="7" s="1"/>
  <c r="B95" i="7"/>
  <c r="C95" i="7"/>
  <c r="D95" i="7"/>
  <c r="E95" i="7" s="1"/>
  <c r="G78" i="7"/>
  <c r="C78" i="7"/>
  <c r="D78" i="7"/>
  <c r="E78" i="7" s="1"/>
  <c r="B78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B63" i="7"/>
  <c r="C63" i="7"/>
  <c r="D63" i="7"/>
  <c r="B64" i="7"/>
  <c r="C64" i="7"/>
  <c r="D64" i="7"/>
  <c r="E64" i="7" s="1"/>
  <c r="B65" i="7"/>
  <c r="C65" i="7"/>
  <c r="D65" i="7"/>
  <c r="E65" i="7" s="1"/>
  <c r="B66" i="7"/>
  <c r="C66" i="7"/>
  <c r="D66" i="7"/>
  <c r="B67" i="7"/>
  <c r="C67" i="7"/>
  <c r="E67" i="7" s="1"/>
  <c r="D67" i="7"/>
  <c r="B68" i="7"/>
  <c r="C68" i="7"/>
  <c r="E68" i="7" s="1"/>
  <c r="D68" i="7"/>
  <c r="B69" i="7"/>
  <c r="C69" i="7"/>
  <c r="D69" i="7"/>
  <c r="B70" i="7"/>
  <c r="C70" i="7"/>
  <c r="D70" i="7"/>
  <c r="E70" i="7" s="1"/>
  <c r="B71" i="7"/>
  <c r="C71" i="7"/>
  <c r="D71" i="7"/>
  <c r="B72" i="7"/>
  <c r="C72" i="7"/>
  <c r="D72" i="7"/>
  <c r="E72" i="7" s="1"/>
  <c r="B73" i="7"/>
  <c r="C73" i="7"/>
  <c r="D73" i="7"/>
  <c r="E73" i="7" s="1"/>
  <c r="B74" i="7"/>
  <c r="C74" i="7"/>
  <c r="D74" i="7"/>
  <c r="C75" i="7"/>
  <c r="E75" i="7" s="1"/>
  <c r="D75" i="7"/>
  <c r="G62" i="7"/>
  <c r="C62" i="7"/>
  <c r="D62" i="7"/>
  <c r="E62" i="7" s="1"/>
  <c r="B62" i="7"/>
  <c r="E81" i="7"/>
  <c r="E82" i="7"/>
  <c r="E83" i="7"/>
  <c r="E85" i="7"/>
  <c r="E86" i="7"/>
  <c r="E88" i="7"/>
  <c r="E93" i="7"/>
  <c r="E80" i="7"/>
  <c r="E79" i="7"/>
  <c r="E66" i="7"/>
  <c r="E69" i="7"/>
  <c r="E71" i="7"/>
  <c r="E74" i="7"/>
  <c r="E63" i="7"/>
  <c r="E56" i="7"/>
  <c r="E54" i="7"/>
  <c r="E50" i="7"/>
  <c r="E48" i="7"/>
  <c r="E46" i="7"/>
  <c r="E41" i="7"/>
  <c r="E42" i="7"/>
  <c r="E43" i="7"/>
  <c r="E44" i="7"/>
  <c r="E40" i="7"/>
  <c r="E39" i="7"/>
  <c r="E35" i="7"/>
  <c r="E33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9" i="7"/>
  <c r="E8" i="7"/>
  <c r="G56" i="7"/>
  <c r="C56" i="7"/>
  <c r="D56" i="7"/>
  <c r="B56" i="7"/>
  <c r="G54" i="7"/>
  <c r="C54" i="7"/>
  <c r="D54" i="7"/>
  <c r="B54" i="7"/>
  <c r="G52" i="7"/>
  <c r="G52" i="55" s="1"/>
  <c r="C52" i="7"/>
  <c r="D52" i="7"/>
  <c r="B52" i="7"/>
  <c r="G50" i="7"/>
  <c r="C50" i="7"/>
  <c r="D50" i="7"/>
  <c r="B50" i="7"/>
  <c r="G48" i="7"/>
  <c r="C48" i="7"/>
  <c r="D48" i="7"/>
  <c r="B48" i="7"/>
  <c r="G46" i="7"/>
  <c r="C46" i="7"/>
  <c r="D46" i="7"/>
  <c r="B46" i="7"/>
  <c r="G40" i="7"/>
  <c r="G41" i="7"/>
  <c r="G42" i="7"/>
  <c r="G43" i="7"/>
  <c r="G44" i="7"/>
  <c r="C40" i="7"/>
  <c r="D40" i="7"/>
  <c r="C41" i="7"/>
  <c r="D41" i="7"/>
  <c r="C42" i="7"/>
  <c r="D42" i="7"/>
  <c r="C43" i="7"/>
  <c r="D43" i="7"/>
  <c r="C44" i="7"/>
  <c r="D44" i="7"/>
  <c r="B41" i="7"/>
  <c r="B42" i="7"/>
  <c r="B43" i="7"/>
  <c r="B40" i="7"/>
  <c r="G39" i="7"/>
  <c r="C39" i="7"/>
  <c r="D39" i="7"/>
  <c r="B39" i="7"/>
  <c r="G37" i="7"/>
  <c r="G35" i="7"/>
  <c r="C35" i="7"/>
  <c r="D35" i="7"/>
  <c r="B35" i="7"/>
  <c r="G33" i="7"/>
  <c r="C33" i="7"/>
  <c r="D33" i="7"/>
  <c r="B33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E30" i="7" s="1"/>
  <c r="B31" i="7"/>
  <c r="C31" i="7"/>
  <c r="D31" i="7"/>
  <c r="E31" i="7" s="1"/>
  <c r="G9" i="7"/>
  <c r="C9" i="7"/>
  <c r="D9" i="7"/>
  <c r="B9" i="7"/>
  <c r="C8" i="7"/>
  <c r="B8" i="7"/>
  <c r="E58" i="11" l="1"/>
  <c r="D58" i="52"/>
  <c r="G58" i="7"/>
  <c r="G58" i="55" s="1"/>
  <c r="E52" i="7"/>
  <c r="D52" i="55"/>
  <c r="E52" i="55" s="1"/>
  <c r="E89" i="7"/>
  <c r="G96" i="39"/>
  <c r="G96" i="64"/>
  <c r="G96" i="65"/>
  <c r="G96" i="40"/>
  <c r="G96" i="41"/>
  <c r="G96" i="43"/>
  <c r="G96" i="42"/>
  <c r="G96" i="44"/>
  <c r="G96" i="45"/>
  <c r="G96" i="47"/>
  <c r="G96" i="48"/>
  <c r="G96" i="49"/>
  <c r="G96" i="50"/>
  <c r="G96" i="51"/>
  <c r="G96" i="46"/>
  <c r="G96" i="38"/>
  <c r="C96" i="39"/>
  <c r="D96" i="39"/>
  <c r="C96" i="64"/>
  <c r="D96" i="64"/>
  <c r="C96" i="65"/>
  <c r="D96" i="65"/>
  <c r="C96" i="40"/>
  <c r="D96" i="40"/>
  <c r="C96" i="41"/>
  <c r="D96" i="41"/>
  <c r="C96" i="43"/>
  <c r="D96" i="43"/>
  <c r="C96" i="42"/>
  <c r="D96" i="42"/>
  <c r="C96" i="44"/>
  <c r="D96" i="44"/>
  <c r="C96" i="45"/>
  <c r="C96" i="47"/>
  <c r="D96" i="47"/>
  <c r="C96" i="48"/>
  <c r="D96" i="48"/>
  <c r="D96" i="49"/>
  <c r="C96" i="50"/>
  <c r="D96" i="50"/>
  <c r="C96" i="51"/>
  <c r="D96" i="51"/>
  <c r="C96" i="46"/>
  <c r="D96" i="46"/>
  <c r="C96" i="38"/>
  <c r="D96" i="38"/>
  <c r="B96" i="39"/>
  <c r="B96" i="64"/>
  <c r="B96" i="65"/>
  <c r="B96" i="40"/>
  <c r="B96" i="41"/>
  <c r="B96" i="43"/>
  <c r="B96" i="42"/>
  <c r="B96" i="44"/>
  <c r="B96" i="45"/>
  <c r="B96" i="47"/>
  <c r="B96" i="48"/>
  <c r="B96" i="49"/>
  <c r="B96" i="51"/>
  <c r="B96" i="46"/>
  <c r="B96" i="38"/>
  <c r="G75" i="39"/>
  <c r="G75" i="64"/>
  <c r="G75" i="65"/>
  <c r="G75" i="40"/>
  <c r="G75" i="41"/>
  <c r="G75" i="43"/>
  <c r="G75" i="42"/>
  <c r="G75" i="44"/>
  <c r="G75" i="45"/>
  <c r="G75" i="47"/>
  <c r="G75" i="48"/>
  <c r="G75" i="49"/>
  <c r="G75" i="50"/>
  <c r="G75" i="51"/>
  <c r="G75" i="46"/>
  <c r="G75" i="38"/>
  <c r="C75" i="39"/>
  <c r="D75" i="39"/>
  <c r="C75" i="64"/>
  <c r="D75" i="64"/>
  <c r="C75" i="65"/>
  <c r="D75" i="65"/>
  <c r="C75" i="40"/>
  <c r="D75" i="40"/>
  <c r="C75" i="41"/>
  <c r="D75" i="41"/>
  <c r="C75" i="43"/>
  <c r="D75" i="43"/>
  <c r="C75" i="42"/>
  <c r="D75" i="42"/>
  <c r="C75" i="44"/>
  <c r="D75" i="44"/>
  <c r="C75" i="45"/>
  <c r="C75" i="47"/>
  <c r="D75" i="47"/>
  <c r="C75" i="48"/>
  <c r="D75" i="48"/>
  <c r="C75" i="49"/>
  <c r="D75" i="49"/>
  <c r="C75" i="50"/>
  <c r="D75" i="50"/>
  <c r="C75" i="51"/>
  <c r="D75" i="51"/>
  <c r="C75" i="46"/>
  <c r="D75" i="46"/>
  <c r="C75" i="38"/>
  <c r="D75" i="38"/>
  <c r="B75" i="39"/>
  <c r="B75" i="64"/>
  <c r="B75" i="65"/>
  <c r="B75" i="40"/>
  <c r="B75" i="41"/>
  <c r="B75" i="43"/>
  <c r="B75" i="42"/>
  <c r="B75" i="44"/>
  <c r="B75" i="45"/>
  <c r="B75" i="47"/>
  <c r="B75" i="48"/>
  <c r="B75" i="49"/>
  <c r="B75" i="51"/>
  <c r="B75" i="46"/>
  <c r="B75" i="38"/>
  <c r="G94" i="39"/>
  <c r="G94" i="64"/>
  <c r="G94" i="65"/>
  <c r="G94" i="40"/>
  <c r="G94" i="41"/>
  <c r="G94" i="43"/>
  <c r="G94" i="42"/>
  <c r="G94" i="44"/>
  <c r="G94" i="45"/>
  <c r="G94" i="47"/>
  <c r="G94" i="48"/>
  <c r="G94" i="49"/>
  <c r="G94" i="50"/>
  <c r="G94" i="51"/>
  <c r="G94" i="46"/>
  <c r="G94" i="38"/>
  <c r="C94" i="39"/>
  <c r="D94" i="39"/>
  <c r="C94" i="64"/>
  <c r="D94" i="64"/>
  <c r="C94" i="65"/>
  <c r="D94" i="65"/>
  <c r="C94" i="40"/>
  <c r="D94" i="40"/>
  <c r="C94" i="41"/>
  <c r="D94" i="41"/>
  <c r="C94" i="43"/>
  <c r="D94" i="43"/>
  <c r="C94" i="42"/>
  <c r="D94" i="42"/>
  <c r="C94" i="44"/>
  <c r="D94" i="44"/>
  <c r="C94" i="45"/>
  <c r="D94" i="45"/>
  <c r="C94" i="47"/>
  <c r="D94" i="47"/>
  <c r="C94" i="48"/>
  <c r="D94" i="48"/>
  <c r="C94" i="49"/>
  <c r="D94" i="49"/>
  <c r="C94" i="50"/>
  <c r="D94" i="50"/>
  <c r="C94" i="51"/>
  <c r="D94" i="51"/>
  <c r="C94" i="46"/>
  <c r="D94" i="46"/>
  <c r="C94" i="38"/>
  <c r="D94" i="38"/>
  <c r="B94" i="39"/>
  <c r="B94" i="64"/>
  <c r="B94" i="65"/>
  <c r="B94" i="40"/>
  <c r="B94" i="41"/>
  <c r="B94" i="43"/>
  <c r="B94" i="42"/>
  <c r="B94" i="44"/>
  <c r="B94" i="45"/>
  <c r="B94" i="47"/>
  <c r="B94" i="48"/>
  <c r="B94" i="49"/>
  <c r="B94" i="50"/>
  <c r="B94" i="51"/>
  <c r="B94" i="46"/>
  <c r="B94" i="38"/>
  <c r="G90" i="39"/>
  <c r="G90" i="64"/>
  <c r="G90" i="65"/>
  <c r="G90" i="40"/>
  <c r="G90" i="41"/>
  <c r="G90" i="43"/>
  <c r="G90" i="42"/>
  <c r="G90" i="44"/>
  <c r="G90" i="45"/>
  <c r="G90" i="47"/>
  <c r="G90" i="48"/>
  <c r="G90" i="49"/>
  <c r="G90" i="50"/>
  <c r="G90" i="51"/>
  <c r="G90" i="46"/>
  <c r="G90" i="38"/>
  <c r="C90" i="39"/>
  <c r="D90" i="39"/>
  <c r="C90" i="64"/>
  <c r="D90" i="64"/>
  <c r="C90" i="65"/>
  <c r="D90" i="65"/>
  <c r="C90" i="40"/>
  <c r="D90" i="40"/>
  <c r="C90" i="41"/>
  <c r="D90" i="41"/>
  <c r="C90" i="43"/>
  <c r="D90" i="43"/>
  <c r="C90" i="42"/>
  <c r="D90" i="42"/>
  <c r="C90" i="44"/>
  <c r="D90" i="44"/>
  <c r="C90" i="45"/>
  <c r="D90" i="45"/>
  <c r="C90" i="47"/>
  <c r="D90" i="47"/>
  <c r="C90" i="48"/>
  <c r="D90" i="48"/>
  <c r="C90" i="49"/>
  <c r="C96" i="49" s="1"/>
  <c r="D90" i="49"/>
  <c r="C90" i="50"/>
  <c r="D90" i="50"/>
  <c r="C90" i="51"/>
  <c r="D90" i="51"/>
  <c r="C90" i="46"/>
  <c r="D90" i="46"/>
  <c r="C90" i="38"/>
  <c r="D90" i="38"/>
  <c r="B90" i="39"/>
  <c r="B90" i="64"/>
  <c r="B90" i="65"/>
  <c r="B90" i="40"/>
  <c r="B90" i="41"/>
  <c r="B90" i="43"/>
  <c r="B90" i="42"/>
  <c r="B90" i="44"/>
  <c r="B90" i="45"/>
  <c r="B90" i="47"/>
  <c r="B90" i="48"/>
  <c r="B90" i="49"/>
  <c r="B90" i="7" s="1"/>
  <c r="B90" i="50"/>
  <c r="B90" i="51"/>
  <c r="B90" i="46"/>
  <c r="B90" i="38"/>
  <c r="G85" i="39"/>
  <c r="G85" i="64"/>
  <c r="G85" i="65"/>
  <c r="G85" i="40"/>
  <c r="G85" i="41"/>
  <c r="G85" i="43"/>
  <c r="G85" i="42"/>
  <c r="G85" i="44"/>
  <c r="G85" i="45"/>
  <c r="G85" i="47"/>
  <c r="G85" i="48"/>
  <c r="G85" i="49"/>
  <c r="G85" i="50"/>
  <c r="G85" i="51"/>
  <c r="G85" i="46"/>
  <c r="G85" i="38"/>
  <c r="C85" i="39"/>
  <c r="D85" i="39"/>
  <c r="C85" i="64"/>
  <c r="D85" i="64"/>
  <c r="C85" i="65"/>
  <c r="D85" i="65"/>
  <c r="C85" i="40"/>
  <c r="D85" i="40"/>
  <c r="C85" i="41"/>
  <c r="D85" i="41"/>
  <c r="C85" i="43"/>
  <c r="D85" i="43"/>
  <c r="C85" i="42"/>
  <c r="D85" i="42"/>
  <c r="C85" i="44"/>
  <c r="D85" i="44"/>
  <c r="C85" i="45"/>
  <c r="D85" i="45"/>
  <c r="C85" i="47"/>
  <c r="D85" i="47"/>
  <c r="C85" i="48"/>
  <c r="D85" i="48"/>
  <c r="C85" i="49"/>
  <c r="D85" i="49"/>
  <c r="C85" i="50"/>
  <c r="D85" i="50"/>
  <c r="C85" i="51"/>
  <c r="D85" i="51"/>
  <c r="C85" i="46"/>
  <c r="D85" i="46"/>
  <c r="C85" i="38"/>
  <c r="D85" i="38"/>
  <c r="B85" i="39"/>
  <c r="B85" i="64"/>
  <c r="B85" i="65"/>
  <c r="B85" i="40"/>
  <c r="B85" i="41"/>
  <c r="B85" i="43"/>
  <c r="B85" i="42"/>
  <c r="B85" i="44"/>
  <c r="B85" i="45"/>
  <c r="B85" i="47"/>
  <c r="B85" i="48"/>
  <c r="B85" i="49"/>
  <c r="B85" i="50"/>
  <c r="B85" i="51"/>
  <c r="B85" i="46"/>
  <c r="B85" i="38"/>
  <c r="G81" i="39"/>
  <c r="G81" i="64"/>
  <c r="G81" i="65"/>
  <c r="G81" i="40"/>
  <c r="G81" i="41"/>
  <c r="G81" i="43"/>
  <c r="G81" i="42"/>
  <c r="G81" i="44"/>
  <c r="G81" i="45"/>
  <c r="G81" i="47"/>
  <c r="G81" i="48"/>
  <c r="G81" i="49"/>
  <c r="G81" i="50"/>
  <c r="G81" i="51"/>
  <c r="G81" i="46"/>
  <c r="G81" i="38"/>
  <c r="C81" i="39"/>
  <c r="D81" i="39"/>
  <c r="C81" i="64"/>
  <c r="D81" i="64"/>
  <c r="C81" i="65"/>
  <c r="D81" i="65"/>
  <c r="C81" i="40"/>
  <c r="D81" i="40"/>
  <c r="C81" i="41"/>
  <c r="D81" i="41"/>
  <c r="C81" i="43"/>
  <c r="D81" i="43"/>
  <c r="C81" i="42"/>
  <c r="D81" i="42"/>
  <c r="C81" i="44"/>
  <c r="D81" i="44"/>
  <c r="C81" i="45"/>
  <c r="D81" i="45"/>
  <c r="D96" i="45" s="1"/>
  <c r="C81" i="47"/>
  <c r="D81" i="47"/>
  <c r="C81" i="48"/>
  <c r="D81" i="48"/>
  <c r="C81" i="49"/>
  <c r="D81" i="49"/>
  <c r="C81" i="50"/>
  <c r="D81" i="50"/>
  <c r="C81" i="51"/>
  <c r="D81" i="51"/>
  <c r="C81" i="46"/>
  <c r="D81" i="46"/>
  <c r="C81" i="38"/>
  <c r="D81" i="38"/>
  <c r="B81" i="39"/>
  <c r="B81" i="64"/>
  <c r="B81" i="65"/>
  <c r="B81" i="40"/>
  <c r="B81" i="41"/>
  <c r="B81" i="43"/>
  <c r="B81" i="42"/>
  <c r="B81" i="44"/>
  <c r="B81" i="45"/>
  <c r="B81" i="47"/>
  <c r="B81" i="48"/>
  <c r="B81" i="49"/>
  <c r="B81" i="50"/>
  <c r="B81" i="51"/>
  <c r="B81" i="46"/>
  <c r="B81" i="38"/>
  <c r="G70" i="39"/>
  <c r="G70" i="64"/>
  <c r="G70" i="65"/>
  <c r="G70" i="40"/>
  <c r="G70" i="41"/>
  <c r="G70" i="43"/>
  <c r="G70" i="42"/>
  <c r="G70" i="44"/>
  <c r="G70" i="45"/>
  <c r="G70" i="47"/>
  <c r="G70" i="48"/>
  <c r="G70" i="49"/>
  <c r="G70" i="50"/>
  <c r="G70" i="51"/>
  <c r="G70" i="46"/>
  <c r="G70" i="38"/>
  <c r="C70" i="39"/>
  <c r="D70" i="39"/>
  <c r="C70" i="64"/>
  <c r="D70" i="64"/>
  <c r="C70" i="65"/>
  <c r="D70" i="65"/>
  <c r="C70" i="40"/>
  <c r="D70" i="40"/>
  <c r="C70" i="41"/>
  <c r="D70" i="41"/>
  <c r="C70" i="43"/>
  <c r="D70" i="43"/>
  <c r="C70" i="42"/>
  <c r="D70" i="42"/>
  <c r="C70" i="44"/>
  <c r="D70" i="44"/>
  <c r="C70" i="45"/>
  <c r="D70" i="45"/>
  <c r="D75" i="45" s="1"/>
  <c r="C70" i="47"/>
  <c r="D70" i="47"/>
  <c r="C70" i="48"/>
  <c r="D70" i="48"/>
  <c r="C70" i="49"/>
  <c r="D70" i="49"/>
  <c r="C70" i="50"/>
  <c r="D70" i="50"/>
  <c r="C70" i="51"/>
  <c r="D70" i="51"/>
  <c r="C70" i="46"/>
  <c r="D70" i="46"/>
  <c r="C70" i="38"/>
  <c r="D70" i="38"/>
  <c r="B70" i="39"/>
  <c r="B70" i="64"/>
  <c r="B70" i="65"/>
  <c r="B70" i="40"/>
  <c r="B70" i="41"/>
  <c r="B70" i="43"/>
  <c r="B70" i="42"/>
  <c r="B70" i="44"/>
  <c r="B70" i="45"/>
  <c r="B70" i="47"/>
  <c r="B70" i="48"/>
  <c r="B70" i="49"/>
  <c r="B70" i="50"/>
  <c r="B70" i="51"/>
  <c r="B70" i="46"/>
  <c r="B70" i="38"/>
  <c r="G58" i="39"/>
  <c r="G58" i="64"/>
  <c r="G58" i="65"/>
  <c r="G58" i="40"/>
  <c r="G58" i="41"/>
  <c r="G58" i="43"/>
  <c r="G58" i="42"/>
  <c r="G58" i="44"/>
  <c r="G58" i="45"/>
  <c r="G58" i="47"/>
  <c r="G58" i="48"/>
  <c r="G58" i="49"/>
  <c r="G58" i="50"/>
  <c r="G58" i="51"/>
  <c r="G58" i="46"/>
  <c r="G58" i="38"/>
  <c r="C58" i="39"/>
  <c r="D58" i="39"/>
  <c r="C58" i="64"/>
  <c r="D58" i="64"/>
  <c r="C58" i="65"/>
  <c r="D58" i="65"/>
  <c r="C58" i="40"/>
  <c r="D58" i="40"/>
  <c r="C58" i="41"/>
  <c r="D58" i="41"/>
  <c r="C58" i="43"/>
  <c r="D58" i="43"/>
  <c r="C58" i="42"/>
  <c r="D58" i="42"/>
  <c r="C58" i="45"/>
  <c r="D58" i="45"/>
  <c r="E58" i="45" s="1"/>
  <c r="C58" i="47"/>
  <c r="D58" i="47"/>
  <c r="C58" i="48"/>
  <c r="D58" i="48"/>
  <c r="C58" i="49"/>
  <c r="D58" i="49"/>
  <c r="C58" i="50"/>
  <c r="D58" i="50"/>
  <c r="C58" i="51"/>
  <c r="D58" i="51"/>
  <c r="C58" i="46"/>
  <c r="D58" i="46"/>
  <c r="C58" i="38"/>
  <c r="D58" i="38"/>
  <c r="B58" i="39"/>
  <c r="B58" i="64"/>
  <c r="B58" i="65"/>
  <c r="B58" i="40"/>
  <c r="B58" i="41"/>
  <c r="B58" i="43"/>
  <c r="B58" i="42"/>
  <c r="B58" i="45"/>
  <c r="B58" i="47"/>
  <c r="B58" i="48"/>
  <c r="B58" i="50"/>
  <c r="B58" i="51"/>
  <c r="B58" i="46"/>
  <c r="B58" i="38"/>
  <c r="G44" i="39"/>
  <c r="G44" i="64"/>
  <c r="G44" i="65"/>
  <c r="G44" i="40"/>
  <c r="G44" i="41"/>
  <c r="G44" i="43"/>
  <c r="G44" i="42"/>
  <c r="G44" i="44"/>
  <c r="G44" i="45"/>
  <c r="G44" i="47"/>
  <c r="G44" i="48"/>
  <c r="G44" i="49"/>
  <c r="G44" i="50"/>
  <c r="G44" i="51"/>
  <c r="G44" i="46"/>
  <c r="G44" i="38"/>
  <c r="C44" i="39"/>
  <c r="D44" i="39"/>
  <c r="C44" i="64"/>
  <c r="D44" i="64"/>
  <c r="C44" i="65"/>
  <c r="D44" i="65"/>
  <c r="C44" i="40"/>
  <c r="D44" i="40"/>
  <c r="C44" i="41"/>
  <c r="D44" i="41"/>
  <c r="C44" i="43"/>
  <c r="D44" i="43"/>
  <c r="C44" i="42"/>
  <c r="D44" i="42"/>
  <c r="C44" i="44"/>
  <c r="D44" i="44"/>
  <c r="C44" i="45"/>
  <c r="D44" i="45"/>
  <c r="C44" i="47"/>
  <c r="D44" i="47"/>
  <c r="C44" i="48"/>
  <c r="D44" i="48"/>
  <c r="C44" i="49"/>
  <c r="D44" i="49"/>
  <c r="C44" i="50"/>
  <c r="D44" i="50"/>
  <c r="C44" i="51"/>
  <c r="D44" i="51"/>
  <c r="C44" i="46"/>
  <c r="D44" i="46"/>
  <c r="C44" i="38"/>
  <c r="D44" i="38"/>
  <c r="B44" i="39"/>
  <c r="B44" i="64"/>
  <c r="B44" i="65"/>
  <c r="B44" i="40"/>
  <c r="B44" i="41"/>
  <c r="B44" i="43"/>
  <c r="B44" i="42"/>
  <c r="B44" i="44"/>
  <c r="B44" i="45"/>
  <c r="B44" i="47"/>
  <c r="B44" i="48"/>
  <c r="B44" i="49"/>
  <c r="B44" i="7" s="1"/>
  <c r="B44" i="50"/>
  <c r="B44" i="51"/>
  <c r="B44" i="46"/>
  <c r="B44" i="38"/>
  <c r="G37" i="39"/>
  <c r="G37" i="64"/>
  <c r="G37" i="65"/>
  <c r="G37" i="40"/>
  <c r="G37" i="41"/>
  <c r="G37" i="43"/>
  <c r="G37" i="42"/>
  <c r="G37" i="44"/>
  <c r="G37" i="45"/>
  <c r="G37" i="47"/>
  <c r="G37" i="48"/>
  <c r="G37" i="49"/>
  <c r="G37" i="50"/>
  <c r="G37" i="51"/>
  <c r="G37" i="46"/>
  <c r="G37" i="38"/>
  <c r="C37" i="39"/>
  <c r="D37" i="39"/>
  <c r="C37" i="64"/>
  <c r="D37" i="64"/>
  <c r="C37" i="65"/>
  <c r="D37" i="65"/>
  <c r="C37" i="40"/>
  <c r="D37" i="40"/>
  <c r="C37" i="41"/>
  <c r="D37" i="41"/>
  <c r="C37" i="43"/>
  <c r="D37" i="43"/>
  <c r="C37" i="42"/>
  <c r="D37" i="42"/>
  <c r="C37" i="45"/>
  <c r="D37" i="45"/>
  <c r="C37" i="47"/>
  <c r="D37" i="47"/>
  <c r="C37" i="48"/>
  <c r="D37" i="48"/>
  <c r="C37" i="49"/>
  <c r="D37" i="49"/>
  <c r="C37" i="50"/>
  <c r="D37" i="50"/>
  <c r="C37" i="51"/>
  <c r="D37" i="51"/>
  <c r="C37" i="46"/>
  <c r="D37" i="46"/>
  <c r="C37" i="38"/>
  <c r="D37" i="38"/>
  <c r="B37" i="39"/>
  <c r="B37" i="64"/>
  <c r="B37" i="65"/>
  <c r="B37" i="40"/>
  <c r="B37" i="41"/>
  <c r="B37" i="43"/>
  <c r="B37" i="42"/>
  <c r="B37" i="45"/>
  <c r="B37" i="47"/>
  <c r="B37" i="48"/>
  <c r="B37" i="49"/>
  <c r="B37" i="50"/>
  <c r="B37" i="51"/>
  <c r="B37" i="46"/>
  <c r="B37" i="38"/>
  <c r="G10" i="39"/>
  <c r="G10" i="64"/>
  <c r="G10" i="65"/>
  <c r="G10" i="40"/>
  <c r="G10" i="41"/>
  <c r="G10" i="43"/>
  <c r="G10" i="42"/>
  <c r="G10" i="44"/>
  <c r="G10" i="45"/>
  <c r="G10" i="47"/>
  <c r="G10" i="48"/>
  <c r="G10" i="49"/>
  <c r="G10" i="50"/>
  <c r="G10" i="51"/>
  <c r="G10" i="46"/>
  <c r="G10" i="38"/>
  <c r="C10" i="39"/>
  <c r="D10" i="39"/>
  <c r="C10" i="64"/>
  <c r="D10" i="64"/>
  <c r="C10" i="65"/>
  <c r="D10" i="65"/>
  <c r="C10" i="40"/>
  <c r="D10" i="40"/>
  <c r="C10" i="41"/>
  <c r="D10" i="41"/>
  <c r="C10" i="43"/>
  <c r="D10" i="43"/>
  <c r="C10" i="42"/>
  <c r="D10" i="42"/>
  <c r="C10" i="44"/>
  <c r="C10" i="7" s="1"/>
  <c r="D10" i="44"/>
  <c r="C10" i="45"/>
  <c r="D10" i="45"/>
  <c r="C10" i="47"/>
  <c r="D10" i="47"/>
  <c r="C10" i="48"/>
  <c r="D10" i="48"/>
  <c r="C10" i="49"/>
  <c r="D10" i="49"/>
  <c r="C10" i="50"/>
  <c r="D10" i="50"/>
  <c r="C10" i="51"/>
  <c r="D10" i="51"/>
  <c r="C10" i="46"/>
  <c r="D10" i="46"/>
  <c r="C10" i="38"/>
  <c r="D10" i="38"/>
  <c r="B10" i="39"/>
  <c r="B10" i="64"/>
  <c r="B10" i="65"/>
  <c r="B10" i="40"/>
  <c r="B10" i="41"/>
  <c r="B10" i="43"/>
  <c r="B10" i="42"/>
  <c r="B10" i="44"/>
  <c r="B10" i="7" s="1"/>
  <c r="B10" i="45"/>
  <c r="B10" i="47"/>
  <c r="B10" i="48"/>
  <c r="B10" i="49"/>
  <c r="B10" i="50"/>
  <c r="B10" i="51"/>
  <c r="B10" i="46"/>
  <c r="B10" i="38"/>
  <c r="B58" i="49" l="1"/>
  <c r="E96" i="49"/>
  <c r="C96" i="7"/>
  <c r="E96" i="7" s="1"/>
  <c r="E90" i="49"/>
  <c r="C90" i="7"/>
  <c r="E90" i="7" s="1"/>
  <c r="E10" i="44"/>
  <c r="D10" i="7"/>
  <c r="E10" i="7" s="1"/>
  <c r="B37" i="44"/>
  <c r="D37" i="44"/>
  <c r="C37" i="44"/>
  <c r="G84" i="14"/>
  <c r="G80" i="14"/>
  <c r="G78" i="14"/>
  <c r="G69" i="14"/>
  <c r="G65" i="14"/>
  <c r="G63" i="14"/>
  <c r="G80" i="15"/>
  <c r="G78" i="15"/>
  <c r="G69" i="15"/>
  <c r="G67" i="15"/>
  <c r="G65" i="15"/>
  <c r="G64" i="15"/>
  <c r="G63" i="15"/>
  <c r="G62" i="16"/>
  <c r="G80" i="16"/>
  <c r="G78" i="16"/>
  <c r="G67" i="16"/>
  <c r="G80" i="17"/>
  <c r="G78" i="17"/>
  <c r="G62" i="17"/>
  <c r="G91" i="19"/>
  <c r="G84" i="19"/>
  <c r="G83" i="19"/>
  <c r="G80" i="19"/>
  <c r="G78" i="19"/>
  <c r="G69" i="19"/>
  <c r="G67" i="19"/>
  <c r="G66" i="19"/>
  <c r="G65" i="19"/>
  <c r="G62" i="19"/>
  <c r="G78" i="20"/>
  <c r="G80" i="20"/>
  <c r="G67" i="20"/>
  <c r="G65" i="20"/>
  <c r="G62" i="20"/>
  <c r="E37" i="44" l="1"/>
  <c r="D37" i="7"/>
  <c r="D58" i="44"/>
  <c r="B37" i="7"/>
  <c r="B58" i="7" s="1"/>
  <c r="B58" i="44"/>
  <c r="C37" i="7"/>
  <c r="C58" i="7" s="1"/>
  <c r="C58" i="44"/>
  <c r="G69" i="21"/>
  <c r="G67" i="21"/>
  <c r="G66" i="21"/>
  <c r="G65" i="21"/>
  <c r="G62" i="21"/>
  <c r="G80" i="22"/>
  <c r="G81" i="22" s="1"/>
  <c r="G96" i="22" s="1"/>
  <c r="G78" i="22"/>
  <c r="G62" i="22"/>
  <c r="G70" i="22" s="1"/>
  <c r="G75" i="22" s="1"/>
  <c r="G10" i="20"/>
  <c r="G37" i="20" s="1"/>
  <c r="G58" i="20" s="1"/>
  <c r="G10" i="19"/>
  <c r="G10" i="17"/>
  <c r="G37" i="17" s="1"/>
  <c r="G58" i="17" s="1"/>
  <c r="G10" i="16"/>
  <c r="G10" i="15"/>
  <c r="G10" i="14"/>
  <c r="G10" i="21"/>
  <c r="G10" i="22"/>
  <c r="G37" i="22" s="1"/>
  <c r="G58" i="22" s="1"/>
  <c r="G37" i="21"/>
  <c r="G58" i="21" s="1"/>
  <c r="G37" i="19"/>
  <c r="G58" i="19" s="1"/>
  <c r="G37" i="16"/>
  <c r="G58" i="16" s="1"/>
  <c r="G37" i="15"/>
  <c r="G37" i="14"/>
  <c r="G58" i="14" s="1"/>
  <c r="C37" i="21"/>
  <c r="D37" i="21"/>
  <c r="D58" i="21" s="1"/>
  <c r="C37" i="22"/>
  <c r="D37" i="22"/>
  <c r="B37" i="21"/>
  <c r="B58" i="21" s="1"/>
  <c r="B58" i="11" s="1"/>
  <c r="B37" i="22"/>
  <c r="D10" i="20"/>
  <c r="D37" i="20" s="1"/>
  <c r="D10" i="17"/>
  <c r="D37" i="17" s="1"/>
  <c r="D58" i="17" s="1"/>
  <c r="D10" i="15"/>
  <c r="D37" i="15" s="1"/>
  <c r="D58" i="15" s="1"/>
  <c r="D10" i="14"/>
  <c r="D37" i="14" s="1"/>
  <c r="D10" i="22"/>
  <c r="C10" i="20"/>
  <c r="C37" i="20" s="1"/>
  <c r="C58" i="20" s="1"/>
  <c r="C10" i="17"/>
  <c r="C37" i="17" s="1"/>
  <c r="C58" i="17" s="1"/>
  <c r="C10" i="15"/>
  <c r="C37" i="15" s="1"/>
  <c r="C10" i="14"/>
  <c r="E10" i="14" s="1"/>
  <c r="C10" i="22"/>
  <c r="B10" i="20"/>
  <c r="B37" i="20" s="1"/>
  <c r="B58" i="20" s="1"/>
  <c r="B10" i="17"/>
  <c r="B37" i="17" s="1"/>
  <c r="B58" i="17" s="1"/>
  <c r="B10" i="15"/>
  <c r="B37" i="15" s="1"/>
  <c r="B58" i="15" s="1"/>
  <c r="B10" i="14"/>
  <c r="B37" i="14" s="1"/>
  <c r="B58" i="14" s="1"/>
  <c r="B10" i="22"/>
  <c r="B58" i="22" s="1"/>
  <c r="G94" i="21"/>
  <c r="G94" i="20"/>
  <c r="G94" i="19"/>
  <c r="G94" i="17"/>
  <c r="G94" i="16"/>
  <c r="G94" i="15"/>
  <c r="G94" i="14"/>
  <c r="G94" i="22"/>
  <c r="G90" i="21"/>
  <c r="G90" i="20"/>
  <c r="G90" i="19"/>
  <c r="G90" i="17"/>
  <c r="G90" i="16"/>
  <c r="G90" i="15"/>
  <c r="G90" i="14"/>
  <c r="G90" i="22"/>
  <c r="G85" i="21"/>
  <c r="G85" i="20"/>
  <c r="G85" i="19"/>
  <c r="G85" i="17"/>
  <c r="G85" i="16"/>
  <c r="G85" i="15"/>
  <c r="G85" i="14"/>
  <c r="G85" i="22"/>
  <c r="G81" i="21"/>
  <c r="G96" i="21" s="1"/>
  <c r="G81" i="20"/>
  <c r="G96" i="20" s="1"/>
  <c r="G81" i="19"/>
  <c r="G96" i="19" s="1"/>
  <c r="G81" i="17"/>
  <c r="G96" i="17" s="1"/>
  <c r="G81" i="16"/>
  <c r="G96" i="16" s="1"/>
  <c r="G81" i="15"/>
  <c r="G96" i="15" s="1"/>
  <c r="G81" i="14"/>
  <c r="G96" i="14" s="1"/>
  <c r="G75" i="20"/>
  <c r="G75" i="19"/>
  <c r="G75" i="17"/>
  <c r="G70" i="20"/>
  <c r="G70" i="19"/>
  <c r="G70" i="17"/>
  <c r="G70" i="16"/>
  <c r="G75" i="16" s="1"/>
  <c r="G70" i="15"/>
  <c r="G75" i="15" s="1"/>
  <c r="G70" i="14"/>
  <c r="G75" i="14" s="1"/>
  <c r="D96" i="21"/>
  <c r="E96" i="20"/>
  <c r="D96" i="17"/>
  <c r="D96" i="15"/>
  <c r="E96" i="15" s="1"/>
  <c r="D96" i="14"/>
  <c r="D96" i="22"/>
  <c r="C96" i="21"/>
  <c r="C96" i="20"/>
  <c r="C96" i="17"/>
  <c r="C96" i="15"/>
  <c r="C96" i="14"/>
  <c r="C96" i="22"/>
  <c r="B96" i="20"/>
  <c r="B96" i="17"/>
  <c r="B96" i="15"/>
  <c r="B96" i="14"/>
  <c r="B96" i="22"/>
  <c r="C94" i="21"/>
  <c r="D94" i="21"/>
  <c r="C94" i="20"/>
  <c r="D94" i="20"/>
  <c r="E94" i="19"/>
  <c r="C94" i="17"/>
  <c r="D94" i="17"/>
  <c r="E94" i="17" s="1"/>
  <c r="C94" i="15"/>
  <c r="D94" i="15"/>
  <c r="C94" i="14"/>
  <c r="D94" i="14"/>
  <c r="E94" i="14" s="1"/>
  <c r="C94" i="22"/>
  <c r="D94" i="22"/>
  <c r="E94" i="22" s="1"/>
  <c r="B94" i="21"/>
  <c r="B94" i="20"/>
  <c r="B94" i="17"/>
  <c r="B94" i="15"/>
  <c r="B94" i="14"/>
  <c r="B94" i="22"/>
  <c r="C90" i="21"/>
  <c r="E90" i="21" s="1"/>
  <c r="D90" i="21"/>
  <c r="C90" i="20"/>
  <c r="D90" i="20"/>
  <c r="C90" i="17"/>
  <c r="D90" i="17"/>
  <c r="E90" i="17" s="1"/>
  <c r="E90" i="16"/>
  <c r="C90" i="15"/>
  <c r="E90" i="15" s="1"/>
  <c r="D90" i="15"/>
  <c r="C90" i="14"/>
  <c r="D90" i="14"/>
  <c r="C90" i="22"/>
  <c r="D90" i="22"/>
  <c r="E90" i="22" s="1"/>
  <c r="B90" i="21"/>
  <c r="B90" i="20"/>
  <c r="B90" i="17"/>
  <c r="B90" i="15"/>
  <c r="B90" i="14"/>
  <c r="B90" i="22"/>
  <c r="C85" i="21"/>
  <c r="D85" i="21"/>
  <c r="C85" i="20"/>
  <c r="E85" i="20" s="1"/>
  <c r="D85" i="20"/>
  <c r="E85" i="19"/>
  <c r="C85" i="17"/>
  <c r="D85" i="17"/>
  <c r="E85" i="17" s="1"/>
  <c r="E85" i="16"/>
  <c r="C85" i="15"/>
  <c r="E85" i="15" s="1"/>
  <c r="D85" i="15"/>
  <c r="C85" i="14"/>
  <c r="D85" i="14"/>
  <c r="E85" i="14" s="1"/>
  <c r="C85" i="22"/>
  <c r="D85" i="22"/>
  <c r="E85" i="22" s="1"/>
  <c r="B85" i="21"/>
  <c r="B85" i="20"/>
  <c r="B85" i="17"/>
  <c r="B85" i="15"/>
  <c r="B85" i="14"/>
  <c r="B85" i="22"/>
  <c r="C81" i="21"/>
  <c r="D81" i="21"/>
  <c r="C81" i="20"/>
  <c r="E81" i="20" s="1"/>
  <c r="D81" i="20"/>
  <c r="C81" i="17"/>
  <c r="D81" i="17"/>
  <c r="C81" i="15"/>
  <c r="E81" i="15" s="1"/>
  <c r="D81" i="15"/>
  <c r="C81" i="14"/>
  <c r="D81" i="14"/>
  <c r="C81" i="22"/>
  <c r="D81" i="22"/>
  <c r="B81" i="21"/>
  <c r="B81" i="20"/>
  <c r="B81" i="17"/>
  <c r="B81" i="15"/>
  <c r="B81" i="14"/>
  <c r="B81" i="22"/>
  <c r="D75" i="21"/>
  <c r="D75" i="20"/>
  <c r="E75" i="19"/>
  <c r="D75" i="17"/>
  <c r="D75" i="15"/>
  <c r="D75" i="14"/>
  <c r="D75" i="22"/>
  <c r="C75" i="21"/>
  <c r="C75" i="20"/>
  <c r="E75" i="20" s="1"/>
  <c r="C75" i="17"/>
  <c r="C75" i="15"/>
  <c r="C75" i="14"/>
  <c r="E75" i="14" s="1"/>
  <c r="C75" i="22"/>
  <c r="E75" i="22" s="1"/>
  <c r="B75" i="17"/>
  <c r="B75" i="15"/>
  <c r="B75" i="14"/>
  <c r="B75" i="22"/>
  <c r="D70" i="21"/>
  <c r="D70" i="20"/>
  <c r="E70" i="19"/>
  <c r="D70" i="17"/>
  <c r="E70" i="16"/>
  <c r="D70" i="15"/>
  <c r="D70" i="14"/>
  <c r="D70" i="22"/>
  <c r="C70" i="21"/>
  <c r="C70" i="20"/>
  <c r="C70" i="17"/>
  <c r="E70" i="17" s="1"/>
  <c r="C70" i="15"/>
  <c r="E70" i="15" s="1"/>
  <c r="C70" i="14"/>
  <c r="C70" i="22"/>
  <c r="E70" i="22" s="1"/>
  <c r="B70" i="21"/>
  <c r="B70" i="11" s="1"/>
  <c r="B70" i="20"/>
  <c r="B70" i="17"/>
  <c r="B70" i="15"/>
  <c r="B70" i="14"/>
  <c r="B70" i="22"/>
  <c r="G58" i="15"/>
  <c r="D58" i="22"/>
  <c r="C58" i="21"/>
  <c r="E96" i="21"/>
  <c r="E96" i="19"/>
  <c r="E96" i="17"/>
  <c r="E96" i="16"/>
  <c r="E96" i="14"/>
  <c r="E96" i="22"/>
  <c r="E80" i="21"/>
  <c r="E81" i="21"/>
  <c r="E82" i="21"/>
  <c r="E83" i="21"/>
  <c r="E84" i="21"/>
  <c r="E85" i="21"/>
  <c r="E86" i="21"/>
  <c r="E87" i="21"/>
  <c r="E88" i="21"/>
  <c r="E89" i="21"/>
  <c r="E91" i="21"/>
  <c r="E92" i="21"/>
  <c r="E93" i="21"/>
  <c r="E94" i="21"/>
  <c r="E95" i="21"/>
  <c r="E80" i="20"/>
  <c r="E82" i="20"/>
  <c r="E83" i="20"/>
  <c r="E84" i="20"/>
  <c r="E86" i="20"/>
  <c r="E87" i="20"/>
  <c r="E88" i="20"/>
  <c r="E89" i="20"/>
  <c r="E90" i="20"/>
  <c r="E91" i="20"/>
  <c r="E92" i="20"/>
  <c r="E93" i="20"/>
  <c r="E94" i="20"/>
  <c r="E95" i="20"/>
  <c r="E80" i="19"/>
  <c r="E81" i="19"/>
  <c r="E82" i="19"/>
  <c r="E83" i="19"/>
  <c r="E84" i="19"/>
  <c r="E86" i="19"/>
  <c r="E87" i="19"/>
  <c r="E88" i="19"/>
  <c r="E89" i="19"/>
  <c r="E90" i="19"/>
  <c r="E91" i="19"/>
  <c r="E92" i="19"/>
  <c r="E93" i="19"/>
  <c r="E95" i="19"/>
  <c r="E80" i="17"/>
  <c r="E81" i="17"/>
  <c r="E82" i="17"/>
  <c r="E83" i="17"/>
  <c r="E84" i="17"/>
  <c r="E86" i="17"/>
  <c r="E87" i="17"/>
  <c r="E88" i="17"/>
  <c r="E89" i="17"/>
  <c r="E91" i="17"/>
  <c r="E92" i="17"/>
  <c r="E93" i="17"/>
  <c r="E95" i="17"/>
  <c r="E80" i="16"/>
  <c r="E81" i="16"/>
  <c r="E82" i="16"/>
  <c r="E83" i="16"/>
  <c r="E84" i="16"/>
  <c r="E86" i="16"/>
  <c r="E87" i="16"/>
  <c r="E88" i="16"/>
  <c r="E89" i="16"/>
  <c r="E91" i="16"/>
  <c r="E92" i="16"/>
  <c r="E93" i="16"/>
  <c r="E94" i="16"/>
  <c r="E95" i="16"/>
  <c r="E80" i="15"/>
  <c r="E82" i="15"/>
  <c r="E83" i="15"/>
  <c r="E84" i="15"/>
  <c r="E86" i="15"/>
  <c r="E87" i="15"/>
  <c r="E88" i="15"/>
  <c r="E89" i="15"/>
  <c r="E91" i="15"/>
  <c r="E92" i="15"/>
  <c r="E93" i="15"/>
  <c r="E94" i="15"/>
  <c r="E95" i="15"/>
  <c r="E80" i="14"/>
  <c r="E81" i="14"/>
  <c r="E82" i="14"/>
  <c r="E83" i="14"/>
  <c r="E84" i="14"/>
  <c r="E86" i="14"/>
  <c r="E87" i="14"/>
  <c r="E88" i="14"/>
  <c r="E89" i="14"/>
  <c r="E90" i="14"/>
  <c r="E91" i="14"/>
  <c r="E92" i="14"/>
  <c r="E93" i="14"/>
  <c r="E95" i="14"/>
  <c r="E80" i="22"/>
  <c r="E81" i="22"/>
  <c r="E82" i="22"/>
  <c r="E83" i="22"/>
  <c r="E84" i="22"/>
  <c r="E86" i="22"/>
  <c r="E87" i="22"/>
  <c r="E88" i="22"/>
  <c r="E89" i="22"/>
  <c r="E91" i="22"/>
  <c r="E92" i="22"/>
  <c r="E93" i="22"/>
  <c r="E95" i="22"/>
  <c r="E79" i="21"/>
  <c r="E79" i="20"/>
  <c r="E79" i="19"/>
  <c r="E79" i="17"/>
  <c r="E79" i="16"/>
  <c r="E79" i="15"/>
  <c r="E79" i="14"/>
  <c r="E79" i="22"/>
  <c r="E78" i="21"/>
  <c r="E78" i="20"/>
  <c r="E78" i="19"/>
  <c r="E78" i="17"/>
  <c r="E78" i="16"/>
  <c r="E78" i="15"/>
  <c r="E78" i="14"/>
  <c r="E78" i="22"/>
  <c r="E64" i="21"/>
  <c r="E65" i="21"/>
  <c r="E66" i="21"/>
  <c r="E67" i="21"/>
  <c r="E68" i="21"/>
  <c r="E69" i="21"/>
  <c r="E71" i="21"/>
  <c r="E72" i="21"/>
  <c r="E73" i="21"/>
  <c r="E74" i="21"/>
  <c r="E64" i="20"/>
  <c r="E65" i="20"/>
  <c r="E66" i="20"/>
  <c r="E67" i="20"/>
  <c r="E68" i="20"/>
  <c r="E69" i="20"/>
  <c r="E71" i="20"/>
  <c r="E72" i="20"/>
  <c r="E73" i="20"/>
  <c r="E74" i="20"/>
  <c r="E64" i="19"/>
  <c r="E65" i="19"/>
  <c r="E66" i="19"/>
  <c r="E67" i="19"/>
  <c r="E68" i="19"/>
  <c r="E69" i="19"/>
  <c r="E71" i="19"/>
  <c r="E72" i="19"/>
  <c r="E73" i="19"/>
  <c r="E74" i="19"/>
  <c r="E64" i="17"/>
  <c r="E65" i="17"/>
  <c r="E66" i="17"/>
  <c r="E67" i="17"/>
  <c r="E68" i="17"/>
  <c r="E69" i="17"/>
  <c r="E71" i="17"/>
  <c r="E72" i="17"/>
  <c r="E73" i="17"/>
  <c r="E74" i="17"/>
  <c r="E75" i="17"/>
  <c r="E64" i="16"/>
  <c r="E65" i="16"/>
  <c r="E66" i="16"/>
  <c r="E67" i="16"/>
  <c r="E68" i="16"/>
  <c r="E69" i="16"/>
  <c r="E71" i="16"/>
  <c r="E72" i="16"/>
  <c r="E73" i="16"/>
  <c r="E74" i="16"/>
  <c r="E75" i="16"/>
  <c r="E64" i="15"/>
  <c r="E65" i="15"/>
  <c r="E66" i="15"/>
  <c r="E67" i="15"/>
  <c r="E68" i="15"/>
  <c r="E69" i="15"/>
  <c r="E71" i="15"/>
  <c r="E72" i="15"/>
  <c r="E73" i="15"/>
  <c r="E74" i="15"/>
  <c r="E75" i="15"/>
  <c r="E64" i="14"/>
  <c r="E65" i="14"/>
  <c r="E66" i="14"/>
  <c r="E67" i="14"/>
  <c r="E68" i="14"/>
  <c r="E69" i="14"/>
  <c r="E70" i="14"/>
  <c r="E71" i="14"/>
  <c r="E72" i="14"/>
  <c r="E73" i="14"/>
  <c r="E74" i="14"/>
  <c r="E64" i="22"/>
  <c r="E65" i="22"/>
  <c r="E66" i="22"/>
  <c r="E67" i="22"/>
  <c r="E68" i="22"/>
  <c r="E69" i="22"/>
  <c r="E71" i="22"/>
  <c r="E72" i="22"/>
  <c r="E73" i="22"/>
  <c r="E74" i="22"/>
  <c r="E63" i="21"/>
  <c r="E63" i="20"/>
  <c r="E63" i="19"/>
  <c r="E63" i="17"/>
  <c r="E63" i="16"/>
  <c r="E63" i="15"/>
  <c r="E63" i="14"/>
  <c r="E63" i="22"/>
  <c r="E62" i="21"/>
  <c r="E62" i="20"/>
  <c r="E62" i="19"/>
  <c r="E62" i="17"/>
  <c r="E62" i="16"/>
  <c r="E62" i="15"/>
  <c r="E62" i="14"/>
  <c r="E62" i="22"/>
  <c r="E56" i="21"/>
  <c r="E56" i="20"/>
  <c r="E56" i="19"/>
  <c r="E56" i="17"/>
  <c r="E56" i="16"/>
  <c r="E56" i="15"/>
  <c r="E56" i="14"/>
  <c r="E56" i="22"/>
  <c r="E54" i="21"/>
  <c r="E54" i="20"/>
  <c r="E54" i="19"/>
  <c r="E54" i="17"/>
  <c r="E54" i="16"/>
  <c r="E54" i="15"/>
  <c r="E54" i="14"/>
  <c r="E54" i="22"/>
  <c r="E52" i="21"/>
  <c r="E52" i="20"/>
  <c r="E52" i="19"/>
  <c r="E52" i="17"/>
  <c r="E52" i="16"/>
  <c r="E52" i="15"/>
  <c r="E52" i="14"/>
  <c r="E52" i="22"/>
  <c r="E50" i="21"/>
  <c r="E50" i="20"/>
  <c r="E50" i="19"/>
  <c r="E50" i="17"/>
  <c r="E50" i="16"/>
  <c r="E50" i="15"/>
  <c r="E50" i="14"/>
  <c r="E50" i="22"/>
  <c r="E48" i="21"/>
  <c r="E48" i="20"/>
  <c r="E48" i="19"/>
  <c r="E48" i="17"/>
  <c r="E48" i="16"/>
  <c r="E48" i="15"/>
  <c r="E48" i="14"/>
  <c r="E48" i="22"/>
  <c r="E46" i="21"/>
  <c r="E46" i="20"/>
  <c r="E46" i="19"/>
  <c r="E46" i="17"/>
  <c r="E46" i="16"/>
  <c r="E46" i="15"/>
  <c r="E46" i="14"/>
  <c r="E46" i="22"/>
  <c r="E41" i="21"/>
  <c r="E42" i="21"/>
  <c r="E43" i="21"/>
  <c r="E44" i="21"/>
  <c r="E41" i="20"/>
  <c r="E42" i="20"/>
  <c r="E43" i="20"/>
  <c r="E44" i="20"/>
  <c r="E41" i="19"/>
  <c r="E42" i="19"/>
  <c r="E43" i="19"/>
  <c r="E44" i="19"/>
  <c r="E41" i="17"/>
  <c r="E42" i="17"/>
  <c r="E43" i="17"/>
  <c r="E44" i="17"/>
  <c r="E41" i="16"/>
  <c r="E42" i="16"/>
  <c r="E43" i="16"/>
  <c r="E44" i="16"/>
  <c r="E41" i="15"/>
  <c r="E42" i="15"/>
  <c r="E43" i="15"/>
  <c r="E44" i="15"/>
  <c r="E41" i="14"/>
  <c r="E42" i="14"/>
  <c r="E43" i="14"/>
  <c r="E44" i="14"/>
  <c r="E41" i="22"/>
  <c r="E42" i="22"/>
  <c r="E43" i="22"/>
  <c r="E44" i="22"/>
  <c r="E40" i="21"/>
  <c r="E40" i="20"/>
  <c r="E40" i="19"/>
  <c r="E40" i="17"/>
  <c r="E40" i="16"/>
  <c r="E40" i="15"/>
  <c r="E40" i="14"/>
  <c r="E40" i="22"/>
  <c r="E39" i="21"/>
  <c r="E39" i="20"/>
  <c r="E39" i="19"/>
  <c r="E39" i="17"/>
  <c r="E39" i="16"/>
  <c r="E39" i="15"/>
  <c r="E39" i="14"/>
  <c r="E39" i="22"/>
  <c r="E35" i="21"/>
  <c r="E35" i="20"/>
  <c r="E35" i="19"/>
  <c r="E35" i="17"/>
  <c r="E35" i="16"/>
  <c r="E35" i="15"/>
  <c r="E35" i="14"/>
  <c r="E35" i="22"/>
  <c r="E33" i="21"/>
  <c r="E33" i="20"/>
  <c r="E33" i="19"/>
  <c r="E33" i="17"/>
  <c r="E33" i="16"/>
  <c r="E33" i="15"/>
  <c r="E33" i="14"/>
  <c r="E33" i="22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9" i="21"/>
  <c r="E9" i="20"/>
  <c r="E9" i="19"/>
  <c r="E9" i="17"/>
  <c r="E9" i="16"/>
  <c r="E9" i="15"/>
  <c r="E9" i="14"/>
  <c r="E9" i="22"/>
  <c r="E8" i="21"/>
  <c r="E8" i="20"/>
  <c r="E8" i="19"/>
  <c r="E8" i="17"/>
  <c r="E8" i="16"/>
  <c r="E8" i="15"/>
  <c r="E8" i="14"/>
  <c r="E8" i="22"/>
  <c r="B96" i="21" l="1"/>
  <c r="B75" i="21"/>
  <c r="E58" i="44"/>
  <c r="E37" i="7"/>
  <c r="D58" i="7"/>
  <c r="D58" i="14"/>
  <c r="C37" i="14"/>
  <c r="E37" i="14" s="1"/>
  <c r="E37" i="15"/>
  <c r="C58" i="15"/>
  <c r="E58" i="15" s="1"/>
  <c r="E10" i="15"/>
  <c r="E37" i="16"/>
  <c r="E58" i="16"/>
  <c r="E58" i="17"/>
  <c r="G70" i="21"/>
  <c r="G75" i="21" s="1"/>
  <c r="E37" i="17"/>
  <c r="E37" i="21"/>
  <c r="E58" i="19"/>
  <c r="E37" i="19"/>
  <c r="D58" i="20"/>
  <c r="E58" i="20" s="1"/>
  <c r="E37" i="20"/>
  <c r="E10" i="20"/>
  <c r="E10" i="22"/>
  <c r="E10" i="19"/>
  <c r="E37" i="22"/>
  <c r="C58" i="14"/>
  <c r="E58" i="14" s="1"/>
  <c r="C58" i="22"/>
  <c r="E58" i="22" s="1"/>
  <c r="E58" i="21"/>
  <c r="E75" i="21"/>
  <c r="E70" i="20"/>
  <c r="E70" i="21"/>
  <c r="E58" i="7" l="1"/>
  <c r="D58" i="55"/>
  <c r="E58" i="55" s="1"/>
  <c r="E96" i="30"/>
  <c r="E96" i="29"/>
  <c r="E96" i="28"/>
  <c r="E96" i="27"/>
  <c r="E96" i="26"/>
  <c r="E96" i="25"/>
  <c r="E96" i="24"/>
  <c r="E96" i="34"/>
  <c r="E96" i="32"/>
  <c r="E80" i="30"/>
  <c r="E81" i="30"/>
  <c r="E82" i="30"/>
  <c r="E83" i="30"/>
  <c r="E84" i="30"/>
  <c r="E85" i="30"/>
  <c r="E86" i="30"/>
  <c r="E87" i="30"/>
  <c r="E88" i="30"/>
  <c r="E89" i="30"/>
  <c r="E90" i="30"/>
  <c r="E91" i="30"/>
  <c r="E92" i="30"/>
  <c r="E93" i="30"/>
  <c r="E94" i="30"/>
  <c r="E95" i="30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80" i="34"/>
  <c r="E81" i="34"/>
  <c r="E82" i="34"/>
  <c r="E83" i="34"/>
  <c r="E84" i="34"/>
  <c r="E85" i="34"/>
  <c r="E86" i="34"/>
  <c r="E87" i="34"/>
  <c r="E88" i="34"/>
  <c r="E89" i="34"/>
  <c r="E90" i="34"/>
  <c r="E91" i="34"/>
  <c r="E92" i="34"/>
  <c r="E93" i="34"/>
  <c r="E94" i="34"/>
  <c r="E95" i="34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95" i="32"/>
  <c r="E79" i="30"/>
  <c r="E79" i="29"/>
  <c r="E79" i="28"/>
  <c r="E79" i="27"/>
  <c r="E79" i="26"/>
  <c r="E79" i="25"/>
  <c r="E79" i="24"/>
  <c r="E79" i="34"/>
  <c r="E79" i="32"/>
  <c r="E78" i="30"/>
  <c r="E78" i="29"/>
  <c r="E78" i="28"/>
  <c r="E78" i="27"/>
  <c r="E78" i="26"/>
  <c r="E78" i="25"/>
  <c r="E78" i="24"/>
  <c r="E78" i="34"/>
  <c r="E78" i="32"/>
  <c r="E64" i="30"/>
  <c r="E65" i="30"/>
  <c r="E66" i="30"/>
  <c r="E67" i="30"/>
  <c r="E68" i="30"/>
  <c r="E69" i="30"/>
  <c r="E70" i="30"/>
  <c r="E71" i="30"/>
  <c r="E72" i="30"/>
  <c r="E73" i="30"/>
  <c r="E74" i="30"/>
  <c r="E75" i="30"/>
  <c r="E64" i="29"/>
  <c r="E65" i="29"/>
  <c r="E66" i="29"/>
  <c r="E67" i="29"/>
  <c r="E68" i="29"/>
  <c r="E69" i="29"/>
  <c r="E70" i="29"/>
  <c r="E71" i="29"/>
  <c r="E72" i="29"/>
  <c r="E73" i="29"/>
  <c r="E74" i="29"/>
  <c r="E75" i="29"/>
  <c r="E64" i="28"/>
  <c r="E65" i="28"/>
  <c r="E66" i="28"/>
  <c r="E67" i="28"/>
  <c r="E68" i="28"/>
  <c r="E69" i="28"/>
  <c r="E70" i="28"/>
  <c r="E71" i="28"/>
  <c r="E72" i="28"/>
  <c r="E73" i="28"/>
  <c r="E74" i="28"/>
  <c r="E75" i="28"/>
  <c r="E64" i="27"/>
  <c r="E65" i="27"/>
  <c r="E66" i="27"/>
  <c r="E67" i="27"/>
  <c r="E68" i="27"/>
  <c r="E69" i="27"/>
  <c r="E70" i="27"/>
  <c r="E71" i="27"/>
  <c r="E72" i="27"/>
  <c r="E73" i="27"/>
  <c r="E74" i="27"/>
  <c r="E75" i="27"/>
  <c r="E64" i="26"/>
  <c r="E65" i="26"/>
  <c r="E66" i="26"/>
  <c r="E67" i="26"/>
  <c r="E68" i="26"/>
  <c r="E69" i="26"/>
  <c r="E70" i="26"/>
  <c r="E71" i="26"/>
  <c r="E72" i="26"/>
  <c r="E73" i="26"/>
  <c r="E74" i="26"/>
  <c r="E75" i="26"/>
  <c r="E64" i="25"/>
  <c r="E65" i="25"/>
  <c r="E66" i="25"/>
  <c r="E67" i="25"/>
  <c r="E68" i="25"/>
  <c r="E69" i="25"/>
  <c r="E70" i="25"/>
  <c r="E71" i="25"/>
  <c r="E72" i="25"/>
  <c r="E73" i="25"/>
  <c r="E74" i="25"/>
  <c r="E75" i="25"/>
  <c r="E64" i="24"/>
  <c r="E65" i="24"/>
  <c r="E66" i="24"/>
  <c r="E67" i="24"/>
  <c r="E68" i="24"/>
  <c r="E69" i="24"/>
  <c r="E70" i="24"/>
  <c r="E71" i="24"/>
  <c r="E72" i="24"/>
  <c r="E73" i="24"/>
  <c r="E74" i="24"/>
  <c r="E75" i="24"/>
  <c r="E64" i="34"/>
  <c r="E65" i="34"/>
  <c r="E66" i="34"/>
  <c r="E67" i="34"/>
  <c r="E68" i="34"/>
  <c r="E69" i="34"/>
  <c r="E70" i="34"/>
  <c r="E71" i="34"/>
  <c r="E72" i="34"/>
  <c r="E73" i="34"/>
  <c r="E74" i="34"/>
  <c r="E75" i="34"/>
  <c r="E64" i="32"/>
  <c r="E65" i="32"/>
  <c r="E66" i="32"/>
  <c r="E67" i="32"/>
  <c r="E68" i="32"/>
  <c r="E69" i="32"/>
  <c r="E70" i="32"/>
  <c r="E71" i="32"/>
  <c r="E72" i="32"/>
  <c r="E73" i="32"/>
  <c r="E74" i="32"/>
  <c r="E75" i="32"/>
  <c r="E63" i="30"/>
  <c r="E63" i="29"/>
  <c r="E63" i="28"/>
  <c r="E63" i="27"/>
  <c r="E63" i="26"/>
  <c r="E63" i="25"/>
  <c r="E63" i="24"/>
  <c r="E63" i="34"/>
  <c r="E63" i="32"/>
  <c r="E62" i="30"/>
  <c r="E62" i="29"/>
  <c r="E62" i="28"/>
  <c r="E62" i="27"/>
  <c r="E62" i="26"/>
  <c r="E62" i="25"/>
  <c r="E62" i="24"/>
  <c r="E62" i="34"/>
  <c r="E62" i="32"/>
  <c r="E58" i="30"/>
  <c r="E58" i="29"/>
  <c r="E58" i="28"/>
  <c r="E58" i="27"/>
  <c r="E58" i="26"/>
  <c r="E58" i="25"/>
  <c r="E58" i="24"/>
  <c r="E58" i="34"/>
  <c r="E58" i="32"/>
  <c r="E56" i="30"/>
  <c r="E56" i="29"/>
  <c r="E56" i="28"/>
  <c r="E56" i="27"/>
  <c r="E56" i="26"/>
  <c r="E56" i="25"/>
  <c r="E56" i="24"/>
  <c r="E56" i="34"/>
  <c r="E56" i="32"/>
  <c r="E54" i="30"/>
  <c r="E54" i="29"/>
  <c r="E54" i="28"/>
  <c r="E54" i="27"/>
  <c r="E54" i="26"/>
  <c r="E54" i="25"/>
  <c r="E54" i="24"/>
  <c r="E54" i="34"/>
  <c r="E54" i="32"/>
  <c r="E52" i="30"/>
  <c r="E52" i="29"/>
  <c r="E52" i="28"/>
  <c r="E52" i="27"/>
  <c r="E52" i="26"/>
  <c r="E52" i="25"/>
  <c r="E52" i="24"/>
  <c r="E52" i="34"/>
  <c r="E52" i="32"/>
  <c r="E50" i="30"/>
  <c r="E50" i="29"/>
  <c r="E50" i="28"/>
  <c r="E50" i="27"/>
  <c r="E50" i="26"/>
  <c r="E50" i="25"/>
  <c r="E50" i="24"/>
  <c r="E50" i="34"/>
  <c r="E50" i="32"/>
  <c r="E48" i="30"/>
  <c r="E48" i="29"/>
  <c r="E48" i="28"/>
  <c r="E48" i="27"/>
  <c r="E48" i="26"/>
  <c r="E48" i="25"/>
  <c r="E48" i="24"/>
  <c r="E48" i="34"/>
  <c r="E48" i="32"/>
  <c r="E46" i="30"/>
  <c r="E46" i="29"/>
  <c r="E46" i="28"/>
  <c r="E46" i="27"/>
  <c r="E46" i="26"/>
  <c r="E46" i="25"/>
  <c r="E46" i="24"/>
  <c r="E46" i="34"/>
  <c r="E46" i="32"/>
  <c r="E40" i="30"/>
  <c r="E41" i="30"/>
  <c r="E42" i="30"/>
  <c r="E43" i="30"/>
  <c r="E44" i="30"/>
  <c r="E40" i="29"/>
  <c r="E41" i="29"/>
  <c r="E42" i="29"/>
  <c r="E43" i="29"/>
  <c r="E44" i="29"/>
  <c r="E40" i="28"/>
  <c r="E41" i="28"/>
  <c r="E42" i="28"/>
  <c r="E43" i="28"/>
  <c r="E44" i="28"/>
  <c r="E40" i="27"/>
  <c r="E41" i="27"/>
  <c r="E42" i="27"/>
  <c r="E43" i="27"/>
  <c r="E44" i="27"/>
  <c r="E40" i="26"/>
  <c r="E41" i="26"/>
  <c r="E42" i="26"/>
  <c r="E43" i="26"/>
  <c r="E44" i="26"/>
  <c r="E40" i="25"/>
  <c r="E41" i="25"/>
  <c r="E42" i="25"/>
  <c r="E43" i="25"/>
  <c r="E44" i="25"/>
  <c r="E40" i="24"/>
  <c r="E41" i="24"/>
  <c r="E42" i="24"/>
  <c r="E43" i="24"/>
  <c r="E44" i="24"/>
  <c r="E40" i="34"/>
  <c r="E41" i="34"/>
  <c r="E42" i="34"/>
  <c r="E43" i="34"/>
  <c r="E44" i="34"/>
  <c r="E40" i="32"/>
  <c r="E41" i="32"/>
  <c r="E42" i="32"/>
  <c r="E43" i="32"/>
  <c r="E44" i="32"/>
  <c r="E39" i="30"/>
  <c r="E39" i="29"/>
  <c r="E39" i="28"/>
  <c r="E39" i="27"/>
  <c r="E39" i="26"/>
  <c r="E39" i="25"/>
  <c r="E39" i="24"/>
  <c r="E39" i="34"/>
  <c r="E39" i="32"/>
  <c r="E37" i="30"/>
  <c r="E37" i="29"/>
  <c r="E37" i="28"/>
  <c r="E37" i="27"/>
  <c r="E37" i="26"/>
  <c r="E37" i="25"/>
  <c r="E37" i="24"/>
  <c r="E37" i="34"/>
  <c r="E37" i="32"/>
  <c r="E35" i="30"/>
  <c r="E35" i="29"/>
  <c r="E35" i="28"/>
  <c r="E35" i="27"/>
  <c r="E35" i="26"/>
  <c r="E35" i="25"/>
  <c r="E35" i="24"/>
  <c r="E35" i="34"/>
  <c r="E35" i="32"/>
  <c r="E33" i="30"/>
  <c r="E33" i="29"/>
  <c r="E33" i="28"/>
  <c r="E33" i="27"/>
  <c r="E33" i="26"/>
  <c r="E33" i="25"/>
  <c r="E33" i="24"/>
  <c r="E33" i="34"/>
  <c r="E33" i="32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8" i="30"/>
  <c r="E8" i="29"/>
  <c r="E8" i="28"/>
  <c r="E8" i="27"/>
  <c r="E8" i="26"/>
  <c r="E8" i="25"/>
  <c r="E8" i="24"/>
  <c r="E8" i="34"/>
  <c r="E8" i="32"/>
  <c r="G37" i="30"/>
  <c r="G58" i="30" s="1"/>
  <c r="G37" i="29"/>
  <c r="G37" i="28"/>
  <c r="G37" i="27"/>
  <c r="G37" i="26"/>
  <c r="G37" i="25"/>
  <c r="G37" i="24"/>
  <c r="G58" i="24" s="1"/>
  <c r="G37" i="34"/>
  <c r="G58" i="34" s="1"/>
  <c r="G37" i="32"/>
  <c r="C37" i="30"/>
  <c r="D37" i="30"/>
  <c r="C37" i="29"/>
  <c r="D37" i="29"/>
  <c r="C37" i="28"/>
  <c r="D37" i="28"/>
  <c r="C37" i="27"/>
  <c r="D37" i="27"/>
  <c r="C37" i="26"/>
  <c r="D37" i="26"/>
  <c r="C37" i="25"/>
  <c r="D37" i="25"/>
  <c r="C37" i="24"/>
  <c r="D37" i="24"/>
  <c r="C37" i="34"/>
  <c r="D37" i="34"/>
  <c r="C37" i="32"/>
  <c r="D37" i="32"/>
  <c r="B37" i="30"/>
  <c r="B37" i="29"/>
  <c r="B37" i="28"/>
  <c r="B37" i="27"/>
  <c r="B37" i="26"/>
  <c r="B37" i="25"/>
  <c r="B37" i="24"/>
  <c r="B37" i="34"/>
  <c r="B37" i="32"/>
  <c r="D9" i="61" l="1"/>
  <c r="D10" i="61"/>
  <c r="D11" i="61"/>
  <c r="D12" i="61"/>
  <c r="D13" i="61"/>
  <c r="D14" i="61"/>
  <c r="D15" i="61"/>
  <c r="D16" i="61"/>
  <c r="D17" i="61"/>
  <c r="D18" i="61"/>
  <c r="D19" i="61"/>
  <c r="D20" i="61"/>
  <c r="D21" i="61"/>
  <c r="D22" i="61"/>
  <c r="D23" i="61"/>
  <c r="D24" i="61"/>
  <c r="D25" i="61"/>
  <c r="D26" i="61"/>
  <c r="D27" i="61"/>
  <c r="D28" i="61"/>
  <c r="D29" i="61"/>
  <c r="D30" i="61"/>
  <c r="D31" i="61"/>
  <c r="D33" i="61"/>
  <c r="D35" i="61"/>
  <c r="D8" i="61"/>
  <c r="E8" i="61" s="1"/>
  <c r="G8" i="59"/>
  <c r="D48" i="59"/>
  <c r="D50" i="59"/>
  <c r="D8" i="60"/>
  <c r="D9" i="60"/>
  <c r="D10" i="60"/>
  <c r="D11" i="60"/>
  <c r="D12" i="60"/>
  <c r="D13" i="60"/>
  <c r="D14" i="60"/>
  <c r="D15" i="60"/>
  <c r="D16" i="60"/>
  <c r="D17" i="60"/>
  <c r="D18" i="60"/>
  <c r="D19" i="60"/>
  <c r="D20" i="60"/>
  <c r="D21" i="60"/>
  <c r="D22" i="60"/>
  <c r="D23" i="60"/>
  <c r="D24" i="60"/>
  <c r="D25" i="60"/>
  <c r="D26" i="60"/>
  <c r="D27" i="60"/>
  <c r="D28" i="60"/>
  <c r="D29" i="60"/>
  <c r="D30" i="60"/>
  <c r="D31" i="60"/>
  <c r="D33" i="60"/>
  <c r="D35" i="60"/>
  <c r="D39" i="60"/>
  <c r="D40" i="60"/>
  <c r="D41" i="60"/>
  <c r="D42" i="60"/>
  <c r="D43" i="60"/>
  <c r="D44" i="60"/>
  <c r="D46" i="60"/>
  <c r="D48" i="60"/>
  <c r="D50" i="60"/>
  <c r="D52" i="60"/>
  <c r="D54" i="60"/>
  <c r="D56" i="60"/>
  <c r="D62" i="60"/>
  <c r="D63" i="60"/>
  <c r="D64" i="60"/>
  <c r="D65" i="60"/>
  <c r="D66" i="60"/>
  <c r="D67" i="60"/>
  <c r="D68" i="60"/>
  <c r="D69" i="60"/>
  <c r="D71" i="60"/>
  <c r="D72" i="60"/>
  <c r="D73" i="60"/>
  <c r="D74" i="60"/>
  <c r="D78" i="60"/>
  <c r="D79" i="60"/>
  <c r="D80" i="60"/>
  <c r="D82" i="60"/>
  <c r="D83" i="60"/>
  <c r="D84" i="60"/>
  <c r="D86" i="60"/>
  <c r="D87" i="60"/>
  <c r="D88" i="60"/>
  <c r="D89" i="60"/>
  <c r="D91" i="60"/>
  <c r="D92" i="60"/>
  <c r="D93" i="60"/>
  <c r="D95" i="60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3" i="8"/>
  <c r="D35" i="8"/>
  <c r="D39" i="8"/>
  <c r="D40" i="8"/>
  <c r="D41" i="8"/>
  <c r="D42" i="8"/>
  <c r="D43" i="8"/>
  <c r="D44" i="8"/>
  <c r="D46" i="8"/>
  <c r="D48" i="8"/>
  <c r="D50" i="8"/>
  <c r="D52" i="8"/>
  <c r="D54" i="8"/>
  <c r="D56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3" i="33"/>
  <c r="D35" i="33"/>
  <c r="D39" i="33"/>
  <c r="D40" i="33"/>
  <c r="D41" i="33"/>
  <c r="D42" i="33"/>
  <c r="D43" i="33"/>
  <c r="D46" i="33"/>
  <c r="D48" i="33"/>
  <c r="D50" i="33"/>
  <c r="D52" i="33"/>
  <c r="D54" i="33"/>
  <c r="D56" i="33"/>
  <c r="D62" i="33"/>
  <c r="D63" i="33"/>
  <c r="D64" i="33"/>
  <c r="D65" i="33"/>
  <c r="D66" i="33"/>
  <c r="D67" i="33"/>
  <c r="D68" i="33"/>
  <c r="D69" i="33"/>
  <c r="D71" i="33"/>
  <c r="D72" i="33"/>
  <c r="D73" i="33"/>
  <c r="D74" i="33"/>
  <c r="D78" i="33"/>
  <c r="D79" i="33"/>
  <c r="D80" i="33"/>
  <c r="D82" i="33"/>
  <c r="D83" i="33"/>
  <c r="D84" i="33"/>
  <c r="D86" i="33"/>
  <c r="D87" i="33"/>
  <c r="D88" i="33"/>
  <c r="D89" i="33"/>
  <c r="D91" i="33"/>
  <c r="D92" i="33"/>
  <c r="D93" i="33"/>
  <c r="D95" i="33"/>
  <c r="D39" i="61"/>
  <c r="D40" i="61"/>
  <c r="D41" i="61"/>
  <c r="D42" i="61"/>
  <c r="D43" i="61"/>
  <c r="D44" i="61"/>
  <c r="D46" i="61"/>
  <c r="D48" i="61"/>
  <c r="D50" i="61"/>
  <c r="D52" i="61"/>
  <c r="D54" i="61"/>
  <c r="D56" i="61"/>
  <c r="D62" i="61"/>
  <c r="D63" i="61"/>
  <c r="E63" i="61" s="1"/>
  <c r="D64" i="61"/>
  <c r="D65" i="61"/>
  <c r="D66" i="61"/>
  <c r="D67" i="61"/>
  <c r="D68" i="61"/>
  <c r="D69" i="61"/>
  <c r="D71" i="61"/>
  <c r="E71" i="61" s="1"/>
  <c r="D72" i="61"/>
  <c r="E72" i="61" s="1"/>
  <c r="D73" i="61"/>
  <c r="E73" i="61" s="1"/>
  <c r="D74" i="61"/>
  <c r="E74" i="61" s="1"/>
  <c r="D78" i="61"/>
  <c r="D79" i="61"/>
  <c r="D80" i="61"/>
  <c r="D82" i="61"/>
  <c r="D83" i="61"/>
  <c r="D84" i="61"/>
  <c r="D86" i="61"/>
  <c r="D87" i="61"/>
  <c r="E87" i="61" s="1"/>
  <c r="D88" i="61"/>
  <c r="D89" i="61"/>
  <c r="D91" i="61"/>
  <c r="E91" i="61" s="1"/>
  <c r="D92" i="61"/>
  <c r="E92" i="61" s="1"/>
  <c r="D93" i="61"/>
  <c r="E93" i="61" s="1"/>
  <c r="D95" i="61"/>
  <c r="E95" i="61" s="1"/>
  <c r="D56" i="54" l="1"/>
  <c r="D41" i="54"/>
  <c r="D28" i="54"/>
  <c r="D20" i="54"/>
  <c r="D12" i="54"/>
  <c r="D68" i="54"/>
  <c r="D54" i="54"/>
  <c r="D67" i="54"/>
  <c r="D93" i="54"/>
  <c r="D23" i="52"/>
  <c r="D15" i="52"/>
  <c r="D85" i="60"/>
  <c r="D31" i="52"/>
  <c r="D24" i="52"/>
  <c r="D16" i="52"/>
  <c r="D33" i="52"/>
  <c r="D8" i="52"/>
  <c r="D18" i="52"/>
  <c r="D26" i="52"/>
  <c r="D22" i="52"/>
  <c r="D14" i="52"/>
  <c r="D94" i="60"/>
  <c r="D29" i="52"/>
  <c r="D21" i="52"/>
  <c r="D13" i="52"/>
  <c r="D81" i="60"/>
  <c r="D27" i="52"/>
  <c r="D11" i="52"/>
  <c r="D70" i="60"/>
  <c r="D75" i="60" s="1"/>
  <c r="D37" i="60"/>
  <c r="D58" i="60" s="1"/>
  <c r="D90" i="60"/>
  <c r="D10" i="52"/>
  <c r="D87" i="52"/>
  <c r="D43" i="52"/>
  <c r="D80" i="52"/>
  <c r="D30" i="52"/>
  <c r="D86" i="52"/>
  <c r="D79" i="52"/>
  <c r="D48" i="52"/>
  <c r="D73" i="52"/>
  <c r="D74" i="52"/>
  <c r="D83" i="52"/>
  <c r="D42" i="52"/>
  <c r="D64" i="52"/>
  <c r="D72" i="52"/>
  <c r="D69" i="52"/>
  <c r="D50" i="52"/>
  <c r="D19" i="52"/>
  <c r="D39" i="52"/>
  <c r="D88" i="52"/>
  <c r="D66" i="52"/>
  <c r="D25" i="52"/>
  <c r="D17" i="52"/>
  <c r="D9" i="52"/>
  <c r="D84" i="52"/>
  <c r="D63" i="52"/>
  <c r="D93" i="53"/>
  <c r="D71" i="52"/>
  <c r="D62" i="52"/>
  <c r="D92" i="52"/>
  <c r="D56" i="53"/>
  <c r="D41" i="53"/>
  <c r="D28" i="53"/>
  <c r="D20" i="53"/>
  <c r="D12" i="53"/>
  <c r="D46" i="52"/>
  <c r="D68" i="53"/>
  <c r="D54" i="53"/>
  <c r="D89" i="52"/>
  <c r="D67" i="53"/>
  <c r="D52" i="52"/>
  <c r="D94" i="61"/>
  <c r="E94" i="61" s="1"/>
  <c r="D81" i="61"/>
  <c r="D90" i="61"/>
  <c r="E90" i="61" s="1"/>
  <c r="D70" i="61"/>
  <c r="D85" i="61"/>
  <c r="D37" i="33"/>
  <c r="D85" i="33"/>
  <c r="D44" i="33"/>
  <c r="D81" i="33"/>
  <c r="D70" i="33"/>
  <c r="D75" i="33" s="1"/>
  <c r="D94" i="33"/>
  <c r="D78" i="52"/>
  <c r="D68" i="52"/>
  <c r="D56" i="52"/>
  <c r="D41" i="52"/>
  <c r="D28" i="52"/>
  <c r="D20" i="52"/>
  <c r="D12" i="52"/>
  <c r="D92" i="54"/>
  <c r="D84" i="54"/>
  <c r="D74" i="54"/>
  <c r="D66" i="54"/>
  <c r="D52" i="54"/>
  <c r="D40" i="54"/>
  <c r="D27" i="54"/>
  <c r="D19" i="54"/>
  <c r="D11" i="54"/>
  <c r="D93" i="52"/>
  <c r="D67" i="52"/>
  <c r="D54" i="52"/>
  <c r="D40" i="52"/>
  <c r="D91" i="54"/>
  <c r="D83" i="54"/>
  <c r="D73" i="54"/>
  <c r="D65" i="54"/>
  <c r="D50" i="54"/>
  <c r="D39" i="54"/>
  <c r="D26" i="54"/>
  <c r="D18" i="54"/>
  <c r="D10" i="54"/>
  <c r="D82" i="54"/>
  <c r="D72" i="54"/>
  <c r="D64" i="54"/>
  <c r="D48" i="54"/>
  <c r="D35" i="54"/>
  <c r="D25" i="54"/>
  <c r="D17" i="54"/>
  <c r="D9" i="54"/>
  <c r="D91" i="52"/>
  <c r="D65" i="52"/>
  <c r="D35" i="52"/>
  <c r="D89" i="54"/>
  <c r="D71" i="54"/>
  <c r="D63" i="54"/>
  <c r="D46" i="54"/>
  <c r="D33" i="54"/>
  <c r="D24" i="54"/>
  <c r="D16" i="54"/>
  <c r="D8" i="54"/>
  <c r="D82" i="52"/>
  <c r="D88" i="54"/>
  <c r="D80" i="54"/>
  <c r="D62" i="54"/>
  <c r="D44" i="54"/>
  <c r="D31" i="54"/>
  <c r="D23" i="54"/>
  <c r="D15" i="54"/>
  <c r="D90" i="33"/>
  <c r="D95" i="54"/>
  <c r="D87" i="54"/>
  <c r="D79" i="54"/>
  <c r="D69" i="54"/>
  <c r="D43" i="54"/>
  <c r="D30" i="54"/>
  <c r="D22" i="54"/>
  <c r="D14" i="54"/>
  <c r="D86" i="54"/>
  <c r="D78" i="54"/>
  <c r="D42" i="54"/>
  <c r="D29" i="54"/>
  <c r="D21" i="54"/>
  <c r="D13" i="54"/>
  <c r="D95" i="52"/>
  <c r="D37" i="61"/>
  <c r="D75" i="52" l="1"/>
  <c r="D85" i="54"/>
  <c r="D96" i="33"/>
  <c r="D75" i="61"/>
  <c r="E75" i="61" s="1"/>
  <c r="E70" i="61"/>
  <c r="D58" i="61"/>
  <c r="E58" i="61" s="1"/>
  <c r="E37" i="61"/>
  <c r="D43" i="53"/>
  <c r="D69" i="53"/>
  <c r="D91" i="53"/>
  <c r="D72" i="53"/>
  <c r="D73" i="53"/>
  <c r="D82" i="53"/>
  <c r="D83" i="53"/>
  <c r="D42" i="53"/>
  <c r="D79" i="53"/>
  <c r="D62" i="53"/>
  <c r="D46" i="53"/>
  <c r="D52" i="53"/>
  <c r="D85" i="53"/>
  <c r="D40" i="53"/>
  <c r="D78" i="53"/>
  <c r="D63" i="53"/>
  <c r="D86" i="53"/>
  <c r="D95" i="53"/>
  <c r="D88" i="53"/>
  <c r="D71" i="53"/>
  <c r="D39" i="53"/>
  <c r="D74" i="53"/>
  <c r="D44" i="53"/>
  <c r="D87" i="53"/>
  <c r="D66" i="53"/>
  <c r="D89" i="53"/>
  <c r="D48" i="53"/>
  <c r="D50" i="53"/>
  <c r="D84" i="53"/>
  <c r="D80" i="53"/>
  <c r="D64" i="53"/>
  <c r="D65" i="53"/>
  <c r="D92" i="53"/>
  <c r="D16" i="53"/>
  <c r="D25" i="53"/>
  <c r="D26" i="53"/>
  <c r="D19" i="53"/>
  <c r="D15" i="53"/>
  <c r="D18" i="53"/>
  <c r="D13" i="53"/>
  <c r="D30" i="53"/>
  <c r="D21" i="53"/>
  <c r="D31" i="53"/>
  <c r="D24" i="53"/>
  <c r="D27" i="53"/>
  <c r="D22" i="53"/>
  <c r="D8" i="53"/>
  <c r="D17" i="53"/>
  <c r="D11" i="53"/>
  <c r="D23" i="53"/>
  <c r="D29" i="53"/>
  <c r="D14" i="53"/>
  <c r="D33" i="53"/>
  <c r="D9" i="53"/>
  <c r="D10" i="53"/>
  <c r="D94" i="52"/>
  <c r="D81" i="52"/>
  <c r="D96" i="61"/>
  <c r="E96" i="61" s="1"/>
  <c r="D96" i="60"/>
  <c r="D37" i="52"/>
  <c r="D70" i="52"/>
  <c r="D58" i="33"/>
  <c r="D85" i="52"/>
  <c r="D81" i="54"/>
  <c r="D94" i="54"/>
  <c r="D44" i="52"/>
  <c r="D70" i="54"/>
  <c r="D75" i="54"/>
  <c r="D37" i="54"/>
  <c r="D35" i="53"/>
  <c r="D90" i="52"/>
  <c r="D90" i="54"/>
  <c r="D96" i="52" l="1"/>
  <c r="D58" i="54"/>
  <c r="D58" i="53" s="1"/>
  <c r="D75" i="53"/>
  <c r="D70" i="53"/>
  <c r="D94" i="53"/>
  <c r="D90" i="53"/>
  <c r="D81" i="53"/>
  <c r="D37" i="53"/>
  <c r="D96" i="54"/>
  <c r="F96" i="65"/>
  <c r="F95" i="65"/>
  <c r="F94" i="65"/>
  <c r="F93" i="65"/>
  <c r="F92" i="65"/>
  <c r="F91" i="65"/>
  <c r="F90" i="65"/>
  <c r="F89" i="65"/>
  <c r="F88" i="65"/>
  <c r="F87" i="65"/>
  <c r="F86" i="65"/>
  <c r="F85" i="65"/>
  <c r="F84" i="65"/>
  <c r="F83" i="65"/>
  <c r="F82" i="65"/>
  <c r="F81" i="65"/>
  <c r="F80" i="65"/>
  <c r="F79" i="65"/>
  <c r="F78" i="65"/>
  <c r="F75" i="65"/>
  <c r="F74" i="65"/>
  <c r="F73" i="65"/>
  <c r="F72" i="65"/>
  <c r="F71" i="65"/>
  <c r="F70" i="65"/>
  <c r="F69" i="65"/>
  <c r="F68" i="65"/>
  <c r="F67" i="65"/>
  <c r="F66" i="65"/>
  <c r="F65" i="65"/>
  <c r="F64" i="65"/>
  <c r="F63" i="65"/>
  <c r="F62" i="65"/>
  <c r="F58" i="65"/>
  <c r="F56" i="65"/>
  <c r="F54" i="65"/>
  <c r="F52" i="65"/>
  <c r="F50" i="65"/>
  <c r="F48" i="65"/>
  <c r="F46" i="65"/>
  <c r="F44" i="65"/>
  <c r="F43" i="65"/>
  <c r="F42" i="65"/>
  <c r="F41" i="65"/>
  <c r="F40" i="65"/>
  <c r="F39" i="65"/>
  <c r="F37" i="65"/>
  <c r="F36" i="65"/>
  <c r="F35" i="65"/>
  <c r="F33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F8" i="65"/>
  <c r="F96" i="64"/>
  <c r="F95" i="64"/>
  <c r="F94" i="64"/>
  <c r="F93" i="64"/>
  <c r="F92" i="64"/>
  <c r="F91" i="64"/>
  <c r="F90" i="64"/>
  <c r="F89" i="64"/>
  <c r="F88" i="64"/>
  <c r="F87" i="64"/>
  <c r="F86" i="64"/>
  <c r="F85" i="64"/>
  <c r="F84" i="64"/>
  <c r="F83" i="64"/>
  <c r="F82" i="64"/>
  <c r="F81" i="64"/>
  <c r="F80" i="64"/>
  <c r="F79" i="64"/>
  <c r="F78" i="64"/>
  <c r="F75" i="64"/>
  <c r="F74" i="64"/>
  <c r="F73" i="64"/>
  <c r="F72" i="64"/>
  <c r="F71" i="64"/>
  <c r="F70" i="64"/>
  <c r="F69" i="64"/>
  <c r="F68" i="64"/>
  <c r="F67" i="64"/>
  <c r="F66" i="64"/>
  <c r="F65" i="64"/>
  <c r="F64" i="64"/>
  <c r="F63" i="64"/>
  <c r="F62" i="64"/>
  <c r="F58" i="64"/>
  <c r="F56" i="64"/>
  <c r="F54" i="64"/>
  <c r="F52" i="64"/>
  <c r="F50" i="64"/>
  <c r="F48" i="64"/>
  <c r="F46" i="64"/>
  <c r="F44" i="64"/>
  <c r="F43" i="64"/>
  <c r="F42" i="64"/>
  <c r="F41" i="64"/>
  <c r="F40" i="64"/>
  <c r="F39" i="64"/>
  <c r="F37" i="64"/>
  <c r="F36" i="64"/>
  <c r="F35" i="64"/>
  <c r="F33" i="64"/>
  <c r="F31" i="64"/>
  <c r="F30" i="64"/>
  <c r="F29" i="64"/>
  <c r="F28" i="64"/>
  <c r="F27" i="64"/>
  <c r="F26" i="64"/>
  <c r="F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F10" i="64"/>
  <c r="F9" i="64"/>
  <c r="F8" i="64"/>
  <c r="D96" i="53" l="1"/>
  <c r="F31" i="37"/>
  <c r="F31" i="36"/>
  <c r="F31" i="35"/>
  <c r="F31" i="32"/>
  <c r="F31" i="30"/>
  <c r="F31" i="29"/>
  <c r="F31" i="28"/>
  <c r="F31" i="27"/>
  <c r="F31" i="26"/>
  <c r="F31" i="25"/>
  <c r="F31" i="24"/>
  <c r="F31" i="34"/>
  <c r="F31" i="22"/>
  <c r="F31" i="21"/>
  <c r="F31" i="20"/>
  <c r="F31" i="19"/>
  <c r="F31" i="17"/>
  <c r="F31" i="16"/>
  <c r="F31" i="15"/>
  <c r="F31" i="14"/>
  <c r="F31" i="1"/>
  <c r="F31" i="2"/>
  <c r="F31" i="3"/>
  <c r="F31" i="4"/>
  <c r="F31" i="5"/>
  <c r="F31" i="6"/>
  <c r="F31" i="7"/>
  <c r="F31" i="38"/>
  <c r="F31" i="39"/>
  <c r="F31" i="40"/>
  <c r="F31" i="41"/>
  <c r="F31" i="43"/>
  <c r="F31" i="42"/>
  <c r="F31" i="44"/>
  <c r="F31" i="45"/>
  <c r="F31" i="47"/>
  <c r="F31" i="48"/>
  <c r="F31" i="49"/>
  <c r="F31" i="50"/>
  <c r="F31" i="51"/>
  <c r="F31" i="46"/>
  <c r="B31" i="60"/>
  <c r="C31" i="60"/>
  <c r="G31" i="60"/>
  <c r="B31" i="61"/>
  <c r="C31" i="61"/>
  <c r="G31" i="61"/>
  <c r="B31" i="33"/>
  <c r="B31" i="54" s="1"/>
  <c r="C31" i="33"/>
  <c r="G31" i="33"/>
  <c r="G31" i="54" s="1"/>
  <c r="B31" i="8"/>
  <c r="C31" i="8"/>
  <c r="E31" i="8" s="1"/>
  <c r="G31" i="8"/>
  <c r="C31" i="54" l="1"/>
  <c r="E31" i="54" s="1"/>
  <c r="E31" i="33"/>
  <c r="F31" i="61"/>
  <c r="F31" i="8"/>
  <c r="F31" i="60"/>
  <c r="G31" i="52"/>
  <c r="C31" i="52"/>
  <c r="E31" i="52" s="1"/>
  <c r="F31" i="33"/>
  <c r="F31" i="55"/>
  <c r="F31" i="54"/>
  <c r="B31" i="53"/>
  <c r="F31" i="59"/>
  <c r="G31" i="53"/>
  <c r="F31" i="11"/>
  <c r="C31" i="53"/>
  <c r="E31" i="53" s="1"/>
  <c r="B31" i="52"/>
  <c r="F31" i="52" l="1"/>
  <c r="F31" i="53"/>
  <c r="F30" i="17" l="1"/>
  <c r="F30" i="37"/>
  <c r="F30" i="36"/>
  <c r="F30" i="35"/>
  <c r="F30" i="32"/>
  <c r="F30" i="30"/>
  <c r="F30" i="29"/>
  <c r="F30" i="28"/>
  <c r="F30" i="27"/>
  <c r="F30" i="26"/>
  <c r="F30" i="25"/>
  <c r="F30" i="24"/>
  <c r="F30" i="34"/>
  <c r="F30" i="22"/>
  <c r="F30" i="21"/>
  <c r="F30" i="20"/>
  <c r="F30" i="19"/>
  <c r="F30" i="16"/>
  <c r="F30" i="15"/>
  <c r="F30" i="14"/>
  <c r="F30" i="1"/>
  <c r="F30" i="2"/>
  <c r="F30" i="3"/>
  <c r="F30" i="4"/>
  <c r="F30" i="5"/>
  <c r="F30" i="6"/>
  <c r="F30" i="38"/>
  <c r="F30" i="39"/>
  <c r="F30" i="40"/>
  <c r="F30" i="41"/>
  <c r="F30" i="43"/>
  <c r="F30" i="42"/>
  <c r="F30" i="44"/>
  <c r="F30" i="45"/>
  <c r="F30" i="47"/>
  <c r="F30" i="48"/>
  <c r="F30" i="49"/>
  <c r="F30" i="50"/>
  <c r="F30" i="51"/>
  <c r="F30" i="46"/>
  <c r="B30" i="60"/>
  <c r="C30" i="60"/>
  <c r="G30" i="60"/>
  <c r="B30" i="61"/>
  <c r="C30" i="61"/>
  <c r="G30" i="61"/>
  <c r="B30" i="33"/>
  <c r="B30" i="54" s="1"/>
  <c r="C30" i="33"/>
  <c r="G30" i="33"/>
  <c r="G30" i="54" s="1"/>
  <c r="B30" i="8"/>
  <c r="C30" i="8"/>
  <c r="E30" i="8" s="1"/>
  <c r="G30" i="8"/>
  <c r="B48" i="59"/>
  <c r="C48" i="59"/>
  <c r="B48" i="60"/>
  <c r="C48" i="60"/>
  <c r="G48" i="60"/>
  <c r="B48" i="61"/>
  <c r="C48" i="61"/>
  <c r="G48" i="61"/>
  <c r="B48" i="33"/>
  <c r="B48" i="54" s="1"/>
  <c r="C48" i="33"/>
  <c r="C58" i="33" s="1"/>
  <c r="G48" i="33"/>
  <c r="G48" i="54" s="1"/>
  <c r="B48" i="8"/>
  <c r="C48" i="8"/>
  <c r="E48" i="8" s="1"/>
  <c r="G48" i="8"/>
  <c r="F48" i="37"/>
  <c r="F48" i="36"/>
  <c r="F48" i="35"/>
  <c r="F48" i="32"/>
  <c r="F48" i="30"/>
  <c r="F48" i="29"/>
  <c r="F48" i="28"/>
  <c r="F48" i="27"/>
  <c r="F48" i="26"/>
  <c r="F48" i="25"/>
  <c r="F48" i="24"/>
  <c r="F48" i="34"/>
  <c r="F48" i="22"/>
  <c r="F48" i="21"/>
  <c r="F48" i="20"/>
  <c r="F48" i="19"/>
  <c r="F48" i="17"/>
  <c r="F48" i="16"/>
  <c r="F48" i="15"/>
  <c r="F48" i="14"/>
  <c r="F48" i="1"/>
  <c r="F48" i="2"/>
  <c r="F48" i="3"/>
  <c r="F48" i="4"/>
  <c r="F48" i="5"/>
  <c r="F48" i="6"/>
  <c r="F48" i="38"/>
  <c r="F48" i="39"/>
  <c r="F48" i="40"/>
  <c r="F48" i="41"/>
  <c r="F48" i="43"/>
  <c r="F48" i="42"/>
  <c r="F48" i="44"/>
  <c r="F48" i="45"/>
  <c r="F48" i="47"/>
  <c r="F48" i="48"/>
  <c r="F48" i="49"/>
  <c r="F48" i="50"/>
  <c r="F48" i="51"/>
  <c r="F48" i="46"/>
  <c r="C30" i="54" l="1"/>
  <c r="E30" i="54" s="1"/>
  <c r="E30" i="33"/>
  <c r="C48" i="54"/>
  <c r="E48" i="54" s="1"/>
  <c r="F48" i="54" s="1"/>
  <c r="E48" i="33"/>
  <c r="F48" i="33" s="1"/>
  <c r="F48" i="61"/>
  <c r="F30" i="61"/>
  <c r="F48" i="8"/>
  <c r="F30" i="59"/>
  <c r="G48" i="52"/>
  <c r="F48" i="59"/>
  <c r="C30" i="52"/>
  <c r="E30" i="52" s="1"/>
  <c r="F30" i="55"/>
  <c r="F30" i="8"/>
  <c r="F30" i="7"/>
  <c r="G30" i="52"/>
  <c r="F30" i="33"/>
  <c r="C48" i="52"/>
  <c r="F30" i="60"/>
  <c r="F30" i="54"/>
  <c r="B30" i="53"/>
  <c r="G30" i="53"/>
  <c r="F48" i="60"/>
  <c r="F30" i="11"/>
  <c r="C30" i="53"/>
  <c r="E30" i="53" s="1"/>
  <c r="B30" i="52"/>
  <c r="B48" i="52"/>
  <c r="B48" i="53"/>
  <c r="G48" i="53"/>
  <c r="F48" i="55"/>
  <c r="F48" i="7"/>
  <c r="F48" i="11"/>
  <c r="E48" i="52" l="1"/>
  <c r="F48" i="52" s="1"/>
  <c r="C48" i="53"/>
  <c r="E48" i="53" s="1"/>
  <c r="F48" i="53" s="1"/>
  <c r="F30" i="52"/>
  <c r="F30" i="53"/>
  <c r="F96" i="27" l="1"/>
  <c r="F95" i="27"/>
  <c r="F94" i="27"/>
  <c r="F93" i="27"/>
  <c r="F92" i="27"/>
  <c r="F91" i="27"/>
  <c r="F90" i="27"/>
  <c r="F89" i="27"/>
  <c r="F88" i="27"/>
  <c r="F87" i="27"/>
  <c r="F86" i="27"/>
  <c r="F85" i="27"/>
  <c r="F84" i="27"/>
  <c r="F83" i="27"/>
  <c r="F82" i="27"/>
  <c r="F81" i="27"/>
  <c r="F80" i="27"/>
  <c r="F79" i="27"/>
  <c r="F78" i="27"/>
  <c r="F75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58" i="27"/>
  <c r="F56" i="27"/>
  <c r="F54" i="27"/>
  <c r="F52" i="27"/>
  <c r="F50" i="27"/>
  <c r="F46" i="27"/>
  <c r="F44" i="27"/>
  <c r="F43" i="27"/>
  <c r="F42" i="27"/>
  <c r="F41" i="27"/>
  <c r="F40" i="27"/>
  <c r="F39" i="27"/>
  <c r="F37" i="27"/>
  <c r="F36" i="27"/>
  <c r="F35" i="27"/>
  <c r="F33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5" i="28"/>
  <c r="F74" i="28"/>
  <c r="F73" i="28"/>
  <c r="F72" i="28"/>
  <c r="F71" i="28"/>
  <c r="F70" i="28"/>
  <c r="F69" i="28"/>
  <c r="F68" i="28"/>
  <c r="F67" i="28"/>
  <c r="F66" i="28"/>
  <c r="F65" i="28"/>
  <c r="F64" i="28"/>
  <c r="F63" i="28"/>
  <c r="F62" i="28"/>
  <c r="F58" i="28"/>
  <c r="F56" i="28"/>
  <c r="F54" i="28"/>
  <c r="F52" i="28"/>
  <c r="F50" i="28"/>
  <c r="F46" i="28"/>
  <c r="F44" i="28"/>
  <c r="F43" i="28"/>
  <c r="F42" i="28"/>
  <c r="F41" i="28"/>
  <c r="F40" i="28"/>
  <c r="F39" i="28"/>
  <c r="F37" i="28"/>
  <c r="F36" i="28"/>
  <c r="F35" i="28"/>
  <c r="F33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96" i="14" l="1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58" i="14"/>
  <c r="F56" i="14"/>
  <c r="F54" i="14"/>
  <c r="F52" i="14"/>
  <c r="F50" i="14"/>
  <c r="F46" i="14"/>
  <c r="F44" i="14"/>
  <c r="F43" i="14"/>
  <c r="F42" i="14"/>
  <c r="F41" i="14"/>
  <c r="F40" i="14"/>
  <c r="F39" i="14"/>
  <c r="F37" i="14"/>
  <c r="F36" i="14"/>
  <c r="F35" i="14"/>
  <c r="F33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58" i="15"/>
  <c r="F56" i="15"/>
  <c r="F54" i="15"/>
  <c r="F52" i="15"/>
  <c r="F50" i="15"/>
  <c r="F46" i="15"/>
  <c r="F44" i="15"/>
  <c r="F43" i="15"/>
  <c r="F42" i="15"/>
  <c r="F41" i="15"/>
  <c r="F40" i="15"/>
  <c r="F39" i="15"/>
  <c r="F37" i="15"/>
  <c r="F36" i="15"/>
  <c r="F35" i="15"/>
  <c r="F33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58" i="16"/>
  <c r="F56" i="16"/>
  <c r="F54" i="16"/>
  <c r="F52" i="16"/>
  <c r="F50" i="16"/>
  <c r="F46" i="16"/>
  <c r="F44" i="16"/>
  <c r="F43" i="16"/>
  <c r="F42" i="16"/>
  <c r="F41" i="16"/>
  <c r="F40" i="16"/>
  <c r="F39" i="16"/>
  <c r="F37" i="16"/>
  <c r="F36" i="16"/>
  <c r="F35" i="16"/>
  <c r="F33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58" i="17"/>
  <c r="F56" i="17"/>
  <c r="F54" i="17"/>
  <c r="F52" i="17"/>
  <c r="F50" i="17"/>
  <c r="F46" i="17"/>
  <c r="F44" i="17"/>
  <c r="F43" i="17"/>
  <c r="F42" i="17"/>
  <c r="F41" i="17"/>
  <c r="F40" i="17"/>
  <c r="F39" i="17"/>
  <c r="F37" i="17"/>
  <c r="F36" i="17"/>
  <c r="F35" i="17"/>
  <c r="F33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58" i="19"/>
  <c r="F56" i="19"/>
  <c r="F54" i="19"/>
  <c r="F52" i="19"/>
  <c r="F50" i="19"/>
  <c r="F46" i="19"/>
  <c r="F44" i="19"/>
  <c r="F43" i="19"/>
  <c r="F42" i="19"/>
  <c r="F41" i="19"/>
  <c r="F40" i="19"/>
  <c r="F39" i="19"/>
  <c r="F37" i="19"/>
  <c r="F36" i="19"/>
  <c r="F35" i="19"/>
  <c r="F33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58" i="20"/>
  <c r="F56" i="20"/>
  <c r="F54" i="20"/>
  <c r="F52" i="20"/>
  <c r="F50" i="20"/>
  <c r="F46" i="20"/>
  <c r="F44" i="20"/>
  <c r="F43" i="20"/>
  <c r="F42" i="20"/>
  <c r="F41" i="20"/>
  <c r="F40" i="20"/>
  <c r="F39" i="20"/>
  <c r="F37" i="20"/>
  <c r="F36" i="20"/>
  <c r="F35" i="20"/>
  <c r="F33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58" i="21"/>
  <c r="F56" i="21"/>
  <c r="F54" i="21"/>
  <c r="F52" i="21"/>
  <c r="F50" i="21"/>
  <c r="F46" i="21"/>
  <c r="F44" i="21"/>
  <c r="F43" i="21"/>
  <c r="F42" i="21"/>
  <c r="F41" i="21"/>
  <c r="F40" i="21"/>
  <c r="F39" i="21"/>
  <c r="F37" i="21"/>
  <c r="F36" i="21"/>
  <c r="F35" i="21"/>
  <c r="F33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58" i="22"/>
  <c r="F56" i="22"/>
  <c r="F54" i="22"/>
  <c r="F52" i="22"/>
  <c r="F50" i="22"/>
  <c r="F46" i="22"/>
  <c r="F44" i="22"/>
  <c r="F43" i="22"/>
  <c r="F42" i="22"/>
  <c r="F41" i="22"/>
  <c r="F40" i="22"/>
  <c r="F39" i="22"/>
  <c r="F37" i="22"/>
  <c r="F36" i="22"/>
  <c r="F35" i="22"/>
  <c r="F33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96" i="3" l="1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58" i="3"/>
  <c r="F56" i="3"/>
  <c r="F54" i="3"/>
  <c r="F52" i="3"/>
  <c r="F50" i="3"/>
  <c r="F46" i="3"/>
  <c r="F44" i="3"/>
  <c r="F43" i="3"/>
  <c r="F42" i="3"/>
  <c r="F41" i="3"/>
  <c r="F40" i="3"/>
  <c r="F39" i="3"/>
  <c r="F37" i="3"/>
  <c r="F36" i="3"/>
  <c r="F35" i="3"/>
  <c r="F3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95" i="6" l="1"/>
  <c r="F93" i="6"/>
  <c r="F92" i="6"/>
  <c r="F87" i="6"/>
  <c r="F86" i="6"/>
  <c r="F84" i="6"/>
  <c r="F82" i="6"/>
  <c r="F78" i="6"/>
  <c r="F73" i="6"/>
  <c r="F72" i="6"/>
  <c r="F69" i="6"/>
  <c r="F68" i="6"/>
  <c r="F65" i="6"/>
  <c r="F64" i="6"/>
  <c r="F63" i="6"/>
  <c r="F56" i="6"/>
  <c r="F50" i="6"/>
  <c r="F46" i="6"/>
  <c r="F43" i="6"/>
  <c r="F42" i="6"/>
  <c r="F41" i="6"/>
  <c r="F36" i="6"/>
  <c r="F35" i="6"/>
  <c r="F28" i="6"/>
  <c r="F26" i="6"/>
  <c r="F25" i="6"/>
  <c r="F24" i="6"/>
  <c r="F23" i="6"/>
  <c r="F20" i="6"/>
  <c r="F18" i="6"/>
  <c r="F17" i="6"/>
  <c r="F16" i="6"/>
  <c r="F15" i="6"/>
  <c r="F12" i="6"/>
  <c r="F8" i="6"/>
  <c r="F22" i="6" l="1"/>
  <c r="F33" i="6"/>
  <c r="F54" i="6"/>
  <c r="F62" i="6"/>
  <c r="F66" i="6"/>
  <c r="F89" i="6"/>
  <c r="F9" i="6"/>
  <c r="F14" i="6"/>
  <c r="F11" i="6"/>
  <c r="F13" i="6"/>
  <c r="F19" i="6"/>
  <c r="F21" i="6"/>
  <c r="F27" i="6"/>
  <c r="F29" i="6"/>
  <c r="F88" i="6"/>
  <c r="F10" i="6"/>
  <c r="F85" i="6"/>
  <c r="F40" i="6"/>
  <c r="F52" i="6"/>
  <c r="F71" i="6"/>
  <c r="F81" i="6"/>
  <c r="F80" i="6"/>
  <c r="F83" i="6"/>
  <c r="F44" i="6"/>
  <c r="F39" i="6"/>
  <c r="F67" i="6"/>
  <c r="F70" i="6"/>
  <c r="F74" i="6"/>
  <c r="F79" i="6"/>
  <c r="F91" i="6"/>
  <c r="F90" i="6" l="1"/>
  <c r="F58" i="6"/>
  <c r="F37" i="6"/>
  <c r="F96" i="6"/>
  <c r="F94" i="6"/>
  <c r="F75" i="6"/>
  <c r="F95" i="5" l="1"/>
  <c r="F89" i="5"/>
  <c r="F88" i="5"/>
  <c r="F86" i="5"/>
  <c r="F84" i="5"/>
  <c r="F83" i="5"/>
  <c r="F82" i="5"/>
  <c r="F79" i="5"/>
  <c r="F81" i="5"/>
  <c r="F74" i="5"/>
  <c r="F72" i="5"/>
  <c r="F71" i="5"/>
  <c r="F69" i="5"/>
  <c r="F68" i="5"/>
  <c r="F67" i="5"/>
  <c r="F64" i="5"/>
  <c r="F63" i="5"/>
  <c r="F62" i="5"/>
  <c r="F56" i="5"/>
  <c r="F54" i="5"/>
  <c r="F50" i="5"/>
  <c r="F46" i="5"/>
  <c r="F42" i="5"/>
  <c r="F41" i="5"/>
  <c r="F40" i="5"/>
  <c r="F36" i="5"/>
  <c r="F35" i="5"/>
  <c r="F29" i="5"/>
  <c r="F28" i="5"/>
  <c r="F27" i="5"/>
  <c r="F24" i="5"/>
  <c r="F23" i="5"/>
  <c r="F22" i="5"/>
  <c r="F21" i="5"/>
  <c r="F20" i="5"/>
  <c r="F19" i="5"/>
  <c r="F16" i="5"/>
  <c r="F15" i="5"/>
  <c r="F14" i="5"/>
  <c r="F13" i="5"/>
  <c r="F12" i="5"/>
  <c r="F11" i="5"/>
  <c r="F8" i="5"/>
  <c r="F18" i="5" l="1"/>
  <c r="F25" i="5"/>
  <c r="F65" i="5"/>
  <c r="F78" i="5"/>
  <c r="F93" i="5"/>
  <c r="F43" i="5"/>
  <c r="F80" i="5"/>
  <c r="F90" i="5"/>
  <c r="F87" i="5"/>
  <c r="F9" i="5"/>
  <c r="F17" i="5"/>
  <c r="F26" i="5"/>
  <c r="F39" i="5"/>
  <c r="F66" i="5"/>
  <c r="F10" i="5"/>
  <c r="F37" i="5"/>
  <c r="F85" i="5"/>
  <c r="F94" i="5"/>
  <c r="F73" i="5"/>
  <c r="F91" i="5"/>
  <c r="F33" i="5"/>
  <c r="F52" i="5"/>
  <c r="F92" i="5"/>
  <c r="F96" i="5" l="1"/>
  <c r="F70" i="5"/>
  <c r="F75" i="5"/>
  <c r="F58" i="5"/>
  <c r="F44" i="5"/>
  <c r="F95" i="4" l="1"/>
  <c r="F93" i="4"/>
  <c r="F84" i="4"/>
  <c r="F80" i="4"/>
  <c r="F78" i="4"/>
  <c r="F72" i="4"/>
  <c r="F69" i="4"/>
  <c r="F68" i="4"/>
  <c r="F67" i="4"/>
  <c r="F66" i="4"/>
  <c r="F64" i="4"/>
  <c r="F63" i="4"/>
  <c r="F56" i="4"/>
  <c r="F46" i="4"/>
  <c r="F41" i="4"/>
  <c r="F36" i="4"/>
  <c r="F35" i="4"/>
  <c r="F28" i="4"/>
  <c r="F25" i="4"/>
  <c r="F24" i="4"/>
  <c r="F22" i="4"/>
  <c r="F21" i="4"/>
  <c r="F20" i="4"/>
  <c r="F19" i="4"/>
  <c r="F18" i="4"/>
  <c r="F16" i="4"/>
  <c r="F15" i="4"/>
  <c r="F12" i="4"/>
  <c r="F8" i="4"/>
  <c r="F13" i="4" l="1"/>
  <c r="F23" i="4"/>
  <c r="F29" i="4"/>
  <c r="F42" i="4"/>
  <c r="F54" i="4"/>
  <c r="F87" i="4"/>
  <c r="F9" i="4"/>
  <c r="F11" i="4"/>
  <c r="F17" i="4"/>
  <c r="F26" i="4"/>
  <c r="F27" i="4"/>
  <c r="F39" i="4"/>
  <c r="F40" i="4"/>
  <c r="F65" i="4"/>
  <c r="F71" i="4"/>
  <c r="F86" i="4"/>
  <c r="F14" i="4"/>
  <c r="F43" i="4"/>
  <c r="F62" i="4"/>
  <c r="F74" i="4"/>
  <c r="F82" i="4"/>
  <c r="F88" i="4"/>
  <c r="F89" i="4"/>
  <c r="F90" i="4"/>
  <c r="F85" i="4"/>
  <c r="F94" i="4"/>
  <c r="F50" i="4"/>
  <c r="F73" i="4"/>
  <c r="F79" i="4"/>
  <c r="F83" i="4"/>
  <c r="F91" i="4"/>
  <c r="F33" i="4"/>
  <c r="F44" i="4"/>
  <c r="F52" i="4"/>
  <c r="F92" i="4"/>
  <c r="F96" i="4" l="1"/>
  <c r="F81" i="4"/>
  <c r="F75" i="4"/>
  <c r="F70" i="4"/>
  <c r="F10" i="4"/>
  <c r="F37" i="4" l="1"/>
  <c r="F58" i="4"/>
  <c r="F95" i="2" l="1"/>
  <c r="F93" i="2"/>
  <c r="F92" i="2"/>
  <c r="F89" i="2"/>
  <c r="F86" i="2"/>
  <c r="F84" i="2"/>
  <c r="F80" i="2"/>
  <c r="F78" i="2"/>
  <c r="F72" i="2"/>
  <c r="F71" i="2"/>
  <c r="F68" i="2"/>
  <c r="F67" i="2"/>
  <c r="F66" i="2"/>
  <c r="F64" i="2"/>
  <c r="F63" i="2"/>
  <c r="F62" i="2"/>
  <c r="F56" i="2"/>
  <c r="F54" i="2"/>
  <c r="F46" i="2"/>
  <c r="F41" i="2"/>
  <c r="F39" i="2"/>
  <c r="F36" i="2"/>
  <c r="F35" i="2"/>
  <c r="F33" i="2"/>
  <c r="F28" i="2"/>
  <c r="F27" i="2"/>
  <c r="F24" i="2"/>
  <c r="F23" i="2"/>
  <c r="F21" i="2"/>
  <c r="F20" i="2"/>
  <c r="F16" i="2"/>
  <c r="F15" i="2"/>
  <c r="F13" i="2"/>
  <c r="F12" i="2"/>
  <c r="F11" i="2"/>
  <c r="F8" i="2"/>
  <c r="F18" i="2" l="1"/>
  <c r="F26" i="2"/>
  <c r="F42" i="2"/>
  <c r="F69" i="2"/>
  <c r="F87" i="2"/>
  <c r="F9" i="2"/>
  <c r="F14" i="2"/>
  <c r="F17" i="2"/>
  <c r="F22" i="2"/>
  <c r="F25" i="2"/>
  <c r="F65" i="2"/>
  <c r="F83" i="2"/>
  <c r="F29" i="2"/>
  <c r="F40" i="2"/>
  <c r="F90" i="2"/>
  <c r="F19" i="2"/>
  <c r="F43" i="2"/>
  <c r="F74" i="2"/>
  <c r="F79" i="2"/>
  <c r="F82" i="2"/>
  <c r="F88" i="2"/>
  <c r="F70" i="2"/>
  <c r="F85" i="2"/>
  <c r="F94" i="2"/>
  <c r="F44" i="2"/>
  <c r="F50" i="2"/>
  <c r="F73" i="2"/>
  <c r="F91" i="2"/>
  <c r="F52" i="2"/>
  <c r="F75" i="2" l="1"/>
  <c r="F81" i="2"/>
  <c r="F10" i="2"/>
  <c r="F96" i="2"/>
  <c r="F37" i="2" l="1"/>
  <c r="F58" i="2"/>
  <c r="F95" i="1" l="1"/>
  <c r="F93" i="1"/>
  <c r="F89" i="1"/>
  <c r="F86" i="1"/>
  <c r="F84" i="1"/>
  <c r="F83" i="1"/>
  <c r="F85" i="1"/>
  <c r="F80" i="1"/>
  <c r="F74" i="1"/>
  <c r="F73" i="1"/>
  <c r="F72" i="1"/>
  <c r="F71" i="1"/>
  <c r="F69" i="1"/>
  <c r="F68" i="1"/>
  <c r="F67" i="1"/>
  <c r="F66" i="1"/>
  <c r="F65" i="1"/>
  <c r="F64" i="1"/>
  <c r="F62" i="1"/>
  <c r="F54" i="1"/>
  <c r="F52" i="1"/>
  <c r="F43" i="1"/>
  <c r="F42" i="1"/>
  <c r="F41" i="1"/>
  <c r="F39" i="1"/>
  <c r="F36" i="1"/>
  <c r="F29" i="1"/>
  <c r="F27" i="1"/>
  <c r="F25" i="1"/>
  <c r="F24" i="1"/>
  <c r="F23" i="1"/>
  <c r="F22" i="1"/>
  <c r="F20" i="1"/>
  <c r="F19" i="1"/>
  <c r="F17" i="1"/>
  <c r="F16" i="1"/>
  <c r="F14" i="1"/>
  <c r="F12" i="1"/>
  <c r="F11" i="1"/>
  <c r="F8" i="1"/>
  <c r="F10" i="1" l="1"/>
  <c r="F15" i="1"/>
  <c r="F21" i="1"/>
  <c r="F26" i="1"/>
  <c r="F35" i="1"/>
  <c r="F40" i="1"/>
  <c r="F50" i="1"/>
  <c r="F79" i="1"/>
  <c r="F82" i="1"/>
  <c r="F92" i="1"/>
  <c r="F28" i="1"/>
  <c r="F33" i="1"/>
  <c r="F46" i="1"/>
  <c r="F56" i="1"/>
  <c r="F63" i="1"/>
  <c r="F78" i="1"/>
  <c r="F88" i="1"/>
  <c r="F9" i="1"/>
  <c r="F13" i="1"/>
  <c r="F18" i="1"/>
  <c r="F90" i="1"/>
  <c r="F87" i="1"/>
  <c r="F81" i="1"/>
  <c r="F70" i="1"/>
  <c r="F94" i="1"/>
  <c r="F37" i="1"/>
  <c r="F58" i="1"/>
  <c r="F91" i="1"/>
  <c r="F44" i="1"/>
  <c r="F75" i="1" l="1"/>
  <c r="F96" i="1"/>
  <c r="F95" i="51" l="1"/>
  <c r="F93" i="51"/>
  <c r="F92" i="51"/>
  <c r="F89" i="51"/>
  <c r="F88" i="51"/>
  <c r="F87" i="51"/>
  <c r="F86" i="51"/>
  <c r="F90" i="51"/>
  <c r="F84" i="51"/>
  <c r="F83" i="51"/>
  <c r="F82" i="51"/>
  <c r="F85" i="51"/>
  <c r="F80" i="51"/>
  <c r="F79" i="51"/>
  <c r="F78" i="51"/>
  <c r="F73" i="51"/>
  <c r="F72" i="51"/>
  <c r="F71" i="51"/>
  <c r="F69" i="51"/>
  <c r="F68" i="51"/>
  <c r="F67" i="51"/>
  <c r="F66" i="51"/>
  <c r="F65" i="51"/>
  <c r="F64" i="51"/>
  <c r="F63" i="51"/>
  <c r="F62" i="51"/>
  <c r="F56" i="51"/>
  <c r="F54" i="51"/>
  <c r="F52" i="51"/>
  <c r="F50" i="51"/>
  <c r="F46" i="51"/>
  <c r="F43" i="51"/>
  <c r="F42" i="51"/>
  <c r="F41" i="51"/>
  <c r="F40" i="51"/>
  <c r="F44" i="51"/>
  <c r="F36" i="51"/>
  <c r="F35" i="51"/>
  <c r="F33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9" i="51"/>
  <c r="F8" i="51"/>
  <c r="F95" i="50"/>
  <c r="F93" i="50"/>
  <c r="F92" i="50"/>
  <c r="F89" i="50"/>
  <c r="F88" i="50"/>
  <c r="F87" i="50"/>
  <c r="F86" i="50"/>
  <c r="F84" i="50"/>
  <c r="F83" i="50"/>
  <c r="F82" i="50"/>
  <c r="F80" i="50"/>
  <c r="F79" i="50"/>
  <c r="F78" i="50"/>
  <c r="F81" i="50"/>
  <c r="F74" i="50"/>
  <c r="F72" i="50"/>
  <c r="F71" i="50"/>
  <c r="F69" i="50"/>
  <c r="F68" i="50"/>
  <c r="F67" i="50"/>
  <c r="F66" i="50"/>
  <c r="F65" i="50"/>
  <c r="F64" i="50"/>
  <c r="F63" i="50"/>
  <c r="F62" i="50"/>
  <c r="F56" i="50"/>
  <c r="F54" i="50"/>
  <c r="F46" i="50"/>
  <c r="F43" i="50"/>
  <c r="F42" i="50"/>
  <c r="F41" i="50"/>
  <c r="F40" i="50"/>
  <c r="F39" i="50"/>
  <c r="F36" i="50"/>
  <c r="F35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9" i="50"/>
  <c r="F8" i="50"/>
  <c r="F95" i="49"/>
  <c r="F93" i="49"/>
  <c r="F92" i="49"/>
  <c r="F89" i="49"/>
  <c r="F88" i="49"/>
  <c r="F87" i="49"/>
  <c r="F86" i="49"/>
  <c r="F84" i="49"/>
  <c r="F83" i="49"/>
  <c r="F82" i="49"/>
  <c r="F80" i="49"/>
  <c r="F79" i="49"/>
  <c r="F78" i="49"/>
  <c r="F81" i="49"/>
  <c r="F74" i="49"/>
  <c r="F72" i="49"/>
  <c r="F71" i="49"/>
  <c r="F69" i="49"/>
  <c r="F68" i="49"/>
  <c r="F67" i="49"/>
  <c r="F66" i="49"/>
  <c r="F65" i="49"/>
  <c r="F64" i="49"/>
  <c r="F63" i="49"/>
  <c r="F62" i="49"/>
  <c r="F56" i="49"/>
  <c r="F54" i="49"/>
  <c r="F52" i="49"/>
  <c r="F46" i="49"/>
  <c r="F43" i="49"/>
  <c r="F42" i="49"/>
  <c r="F41" i="49"/>
  <c r="F40" i="49"/>
  <c r="F44" i="49"/>
  <c r="F36" i="49"/>
  <c r="F35" i="49"/>
  <c r="F33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9" i="49"/>
  <c r="F8" i="49"/>
  <c r="F95" i="46"/>
  <c r="F93" i="46"/>
  <c r="F92" i="46"/>
  <c r="F89" i="46"/>
  <c r="F88" i="46"/>
  <c r="F87" i="46"/>
  <c r="F86" i="46"/>
  <c r="F84" i="46"/>
  <c r="F83" i="46"/>
  <c r="F82" i="46"/>
  <c r="F80" i="46"/>
  <c r="F79" i="46"/>
  <c r="F78" i="46"/>
  <c r="F74" i="46"/>
  <c r="F72" i="46"/>
  <c r="F71" i="46"/>
  <c r="F69" i="46"/>
  <c r="F68" i="46"/>
  <c r="F67" i="46"/>
  <c r="F66" i="46"/>
  <c r="F65" i="46"/>
  <c r="F64" i="46"/>
  <c r="F63" i="46"/>
  <c r="F62" i="46"/>
  <c r="F56" i="46"/>
  <c r="F54" i="46"/>
  <c r="F46" i="46"/>
  <c r="F43" i="46"/>
  <c r="F42" i="46"/>
  <c r="F41" i="46"/>
  <c r="F40" i="46"/>
  <c r="F36" i="46"/>
  <c r="F33" i="46"/>
  <c r="F29" i="46"/>
  <c r="F28" i="46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9" i="46"/>
  <c r="F8" i="46"/>
  <c r="F95" i="47"/>
  <c r="F93" i="47"/>
  <c r="F92" i="47"/>
  <c r="F89" i="47"/>
  <c r="F88" i="47"/>
  <c r="F87" i="47"/>
  <c r="F86" i="47"/>
  <c r="F84" i="47"/>
  <c r="F83" i="47"/>
  <c r="F82" i="47"/>
  <c r="F80" i="47"/>
  <c r="F79" i="47"/>
  <c r="F78" i="47"/>
  <c r="F81" i="47"/>
  <c r="F74" i="47"/>
  <c r="F72" i="47"/>
  <c r="F71" i="47"/>
  <c r="F69" i="47"/>
  <c r="F68" i="47"/>
  <c r="F67" i="47"/>
  <c r="F66" i="47"/>
  <c r="F65" i="47"/>
  <c r="F64" i="47"/>
  <c r="F63" i="47"/>
  <c r="F62" i="47"/>
  <c r="F56" i="47"/>
  <c r="F54" i="47"/>
  <c r="F52" i="47"/>
  <c r="F50" i="47"/>
  <c r="F46" i="47"/>
  <c r="F43" i="47"/>
  <c r="F42" i="47"/>
  <c r="F41" i="47"/>
  <c r="F40" i="47"/>
  <c r="F44" i="47"/>
  <c r="F36" i="47"/>
  <c r="F35" i="47"/>
  <c r="F33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9" i="47"/>
  <c r="F8" i="47"/>
  <c r="F95" i="48"/>
  <c r="F93" i="48"/>
  <c r="F92" i="48"/>
  <c r="F89" i="48"/>
  <c r="F88" i="48"/>
  <c r="F87" i="48"/>
  <c r="F86" i="48"/>
  <c r="F84" i="48"/>
  <c r="F83" i="48"/>
  <c r="F82" i="48"/>
  <c r="F85" i="48"/>
  <c r="F80" i="48"/>
  <c r="F79" i="48"/>
  <c r="F78" i="48"/>
  <c r="F73" i="48"/>
  <c r="F72" i="48"/>
  <c r="F71" i="48"/>
  <c r="F69" i="48"/>
  <c r="F68" i="48"/>
  <c r="F67" i="48"/>
  <c r="F66" i="48"/>
  <c r="F65" i="48"/>
  <c r="F64" i="48"/>
  <c r="F63" i="48"/>
  <c r="F62" i="48"/>
  <c r="F56" i="48"/>
  <c r="F54" i="48"/>
  <c r="F52" i="48"/>
  <c r="F50" i="48"/>
  <c r="F46" i="48"/>
  <c r="F43" i="48"/>
  <c r="F42" i="48"/>
  <c r="F41" i="48"/>
  <c r="F40" i="48"/>
  <c r="F36" i="48"/>
  <c r="F33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9" i="48"/>
  <c r="F8" i="48"/>
  <c r="F95" i="45"/>
  <c r="F93" i="45"/>
  <c r="F92" i="45"/>
  <c r="F89" i="45"/>
  <c r="F88" i="45"/>
  <c r="F87" i="45"/>
  <c r="F86" i="45"/>
  <c r="F84" i="45"/>
  <c r="F83" i="45"/>
  <c r="F82" i="45"/>
  <c r="F80" i="45"/>
  <c r="F79" i="45"/>
  <c r="F78" i="45"/>
  <c r="F73" i="45"/>
  <c r="F72" i="45"/>
  <c r="F71" i="45"/>
  <c r="F69" i="45"/>
  <c r="F68" i="45"/>
  <c r="F67" i="45"/>
  <c r="F66" i="45"/>
  <c r="F65" i="45"/>
  <c r="F64" i="45"/>
  <c r="F63" i="45"/>
  <c r="F70" i="45"/>
  <c r="F56" i="45"/>
  <c r="F54" i="45"/>
  <c r="F52" i="45"/>
  <c r="F50" i="45"/>
  <c r="F46" i="45"/>
  <c r="F43" i="45"/>
  <c r="F42" i="45"/>
  <c r="F41" i="45"/>
  <c r="F40" i="45"/>
  <c r="F36" i="45"/>
  <c r="F35" i="45"/>
  <c r="F33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9" i="45"/>
  <c r="F8" i="45"/>
  <c r="F81" i="51" l="1"/>
  <c r="F94" i="51"/>
  <c r="F10" i="51"/>
  <c r="F37" i="51"/>
  <c r="F58" i="51"/>
  <c r="F70" i="51"/>
  <c r="F91" i="51"/>
  <c r="F39" i="51"/>
  <c r="F74" i="51"/>
  <c r="F90" i="50"/>
  <c r="F10" i="50"/>
  <c r="F37" i="50"/>
  <c r="F94" i="50"/>
  <c r="F70" i="50"/>
  <c r="F85" i="50"/>
  <c r="F44" i="50"/>
  <c r="F50" i="50"/>
  <c r="F73" i="50"/>
  <c r="F91" i="50"/>
  <c r="F75" i="50"/>
  <c r="F33" i="50"/>
  <c r="F52" i="50"/>
  <c r="F90" i="49"/>
  <c r="F85" i="49"/>
  <c r="F94" i="49"/>
  <c r="F50" i="49"/>
  <c r="F73" i="49"/>
  <c r="F91" i="49"/>
  <c r="F39" i="49"/>
  <c r="F90" i="46"/>
  <c r="F85" i="46"/>
  <c r="F94" i="46"/>
  <c r="F70" i="46"/>
  <c r="F44" i="46"/>
  <c r="F81" i="46"/>
  <c r="F50" i="46"/>
  <c r="F73" i="46"/>
  <c r="F91" i="46"/>
  <c r="F39" i="46"/>
  <c r="F52" i="46"/>
  <c r="F35" i="46"/>
  <c r="F90" i="47"/>
  <c r="F85" i="47"/>
  <c r="F94" i="47"/>
  <c r="F70" i="47"/>
  <c r="F73" i="47"/>
  <c r="F91" i="47"/>
  <c r="F39" i="47"/>
  <c r="F81" i="48"/>
  <c r="F75" i="48"/>
  <c r="F94" i="48"/>
  <c r="F44" i="48"/>
  <c r="F90" i="48"/>
  <c r="F70" i="48"/>
  <c r="F91" i="48"/>
  <c r="F39" i="48"/>
  <c r="F74" i="48"/>
  <c r="F35" i="48"/>
  <c r="F90" i="45"/>
  <c r="F75" i="45"/>
  <c r="F85" i="45"/>
  <c r="F94" i="45"/>
  <c r="F96" i="45"/>
  <c r="F44" i="45"/>
  <c r="F81" i="45"/>
  <c r="F91" i="45"/>
  <c r="F39" i="45"/>
  <c r="F62" i="45"/>
  <c r="F74" i="45"/>
  <c r="F95" i="39"/>
  <c r="F93" i="39"/>
  <c r="F92" i="39"/>
  <c r="F89" i="39"/>
  <c r="F88" i="39"/>
  <c r="F87" i="39"/>
  <c r="F86" i="39"/>
  <c r="F84" i="39"/>
  <c r="F83" i="39"/>
  <c r="F82" i="39"/>
  <c r="F85" i="39"/>
  <c r="F80" i="39"/>
  <c r="F79" i="39"/>
  <c r="F78" i="39"/>
  <c r="F73" i="39"/>
  <c r="F72" i="39"/>
  <c r="F71" i="39"/>
  <c r="F69" i="39"/>
  <c r="F68" i="39"/>
  <c r="F67" i="39"/>
  <c r="F66" i="39"/>
  <c r="F65" i="39"/>
  <c r="F64" i="39"/>
  <c r="F63" i="39"/>
  <c r="F62" i="39"/>
  <c r="F56" i="39"/>
  <c r="F54" i="39"/>
  <c r="F52" i="39"/>
  <c r="F50" i="39"/>
  <c r="F46" i="39"/>
  <c r="F43" i="39"/>
  <c r="F42" i="39"/>
  <c r="F41" i="39"/>
  <c r="F40" i="39"/>
  <c r="F36" i="39"/>
  <c r="F35" i="39"/>
  <c r="F33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9" i="39"/>
  <c r="F8" i="39"/>
  <c r="F95" i="44"/>
  <c r="F93" i="44"/>
  <c r="F92" i="44"/>
  <c r="F89" i="44"/>
  <c r="F88" i="44"/>
  <c r="F87" i="44"/>
  <c r="F86" i="44"/>
  <c r="F84" i="44"/>
  <c r="F83" i="44"/>
  <c r="F82" i="44"/>
  <c r="F80" i="44"/>
  <c r="F79" i="44"/>
  <c r="F78" i="44"/>
  <c r="F74" i="44"/>
  <c r="F72" i="44"/>
  <c r="F71" i="44"/>
  <c r="F69" i="44"/>
  <c r="F68" i="44"/>
  <c r="F67" i="44"/>
  <c r="F66" i="44"/>
  <c r="F65" i="44"/>
  <c r="F64" i="44"/>
  <c r="F63" i="44"/>
  <c r="F62" i="44"/>
  <c r="F56" i="44"/>
  <c r="F54" i="44"/>
  <c r="F52" i="44"/>
  <c r="F46" i="44"/>
  <c r="F43" i="44"/>
  <c r="F42" i="44"/>
  <c r="F41" i="44"/>
  <c r="F40" i="44"/>
  <c r="F36" i="44"/>
  <c r="F35" i="44"/>
  <c r="F33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9" i="44"/>
  <c r="F8" i="44"/>
  <c r="F95" i="43"/>
  <c r="F93" i="43"/>
  <c r="F92" i="43"/>
  <c r="F89" i="43"/>
  <c r="F88" i="43"/>
  <c r="F87" i="43"/>
  <c r="F86" i="43"/>
  <c r="F84" i="43"/>
  <c r="F83" i="43"/>
  <c r="F82" i="43"/>
  <c r="F80" i="43"/>
  <c r="F79" i="43"/>
  <c r="F78" i="43"/>
  <c r="F73" i="43"/>
  <c r="F72" i="43"/>
  <c r="F71" i="43"/>
  <c r="F69" i="43"/>
  <c r="F68" i="43"/>
  <c r="F67" i="43"/>
  <c r="F66" i="43"/>
  <c r="F65" i="43"/>
  <c r="F64" i="43"/>
  <c r="F63" i="43"/>
  <c r="F62" i="43"/>
  <c r="F56" i="43"/>
  <c r="F54" i="43"/>
  <c r="F52" i="43"/>
  <c r="F50" i="43"/>
  <c r="F46" i="43"/>
  <c r="F43" i="43"/>
  <c r="F42" i="43"/>
  <c r="F41" i="43"/>
  <c r="F40" i="43"/>
  <c r="F36" i="43"/>
  <c r="F35" i="43"/>
  <c r="F33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9" i="43"/>
  <c r="F8" i="43"/>
  <c r="F95" i="42"/>
  <c r="F93" i="42"/>
  <c r="F92" i="42"/>
  <c r="F89" i="42"/>
  <c r="F88" i="42"/>
  <c r="F87" i="42"/>
  <c r="F86" i="42"/>
  <c r="F84" i="42"/>
  <c r="F83" i="42"/>
  <c r="F82" i="42"/>
  <c r="F80" i="42"/>
  <c r="F79" i="42"/>
  <c r="F78" i="42"/>
  <c r="F81" i="42"/>
  <c r="F73" i="42"/>
  <c r="F72" i="42"/>
  <c r="F71" i="42"/>
  <c r="F69" i="42"/>
  <c r="F68" i="42"/>
  <c r="F67" i="42"/>
  <c r="F66" i="42"/>
  <c r="F65" i="42"/>
  <c r="F64" i="42"/>
  <c r="F63" i="42"/>
  <c r="F62" i="42"/>
  <c r="F56" i="42"/>
  <c r="F54" i="42"/>
  <c r="F52" i="42"/>
  <c r="F46" i="42"/>
  <c r="F43" i="42"/>
  <c r="F42" i="42"/>
  <c r="F41" i="42"/>
  <c r="F40" i="42"/>
  <c r="F36" i="42"/>
  <c r="F35" i="42"/>
  <c r="F33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9" i="42"/>
  <c r="F8" i="42"/>
  <c r="F95" i="38"/>
  <c r="F93" i="38"/>
  <c r="F92" i="38"/>
  <c r="F89" i="38"/>
  <c r="F88" i="38"/>
  <c r="F87" i="38"/>
  <c r="F86" i="38"/>
  <c r="F90" i="38"/>
  <c r="F84" i="38"/>
  <c r="F83" i="38"/>
  <c r="F82" i="38"/>
  <c r="F85" i="38"/>
  <c r="F80" i="38"/>
  <c r="F79" i="38"/>
  <c r="F78" i="38"/>
  <c r="F73" i="38"/>
  <c r="F72" i="38"/>
  <c r="F71" i="38"/>
  <c r="F69" i="38"/>
  <c r="F68" i="38"/>
  <c r="F67" i="38"/>
  <c r="F66" i="38"/>
  <c r="F65" i="38"/>
  <c r="F64" i="38"/>
  <c r="F63" i="38"/>
  <c r="F62" i="38"/>
  <c r="F56" i="38"/>
  <c r="F54" i="38"/>
  <c r="F52" i="38"/>
  <c r="F46" i="38"/>
  <c r="F43" i="38"/>
  <c r="F42" i="38"/>
  <c r="F41" i="38"/>
  <c r="F40" i="38"/>
  <c r="F44" i="38"/>
  <c r="F36" i="38"/>
  <c r="F33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9" i="38"/>
  <c r="F8" i="38"/>
  <c r="F95" i="40"/>
  <c r="F93" i="40"/>
  <c r="F92" i="40"/>
  <c r="F89" i="40"/>
  <c r="F88" i="40"/>
  <c r="F87" i="40"/>
  <c r="F86" i="40"/>
  <c r="F84" i="40"/>
  <c r="F83" i="40"/>
  <c r="F82" i="40"/>
  <c r="F80" i="40"/>
  <c r="F79" i="40"/>
  <c r="F78" i="40"/>
  <c r="F81" i="40"/>
  <c r="F73" i="40"/>
  <c r="F72" i="40"/>
  <c r="F71" i="40"/>
  <c r="F69" i="40"/>
  <c r="F68" i="40"/>
  <c r="F67" i="40"/>
  <c r="F66" i="40"/>
  <c r="F65" i="40"/>
  <c r="F64" i="40"/>
  <c r="F63" i="40"/>
  <c r="F62" i="40"/>
  <c r="F56" i="40"/>
  <c r="F54" i="40"/>
  <c r="F52" i="40"/>
  <c r="F50" i="40"/>
  <c r="F46" i="40"/>
  <c r="F43" i="40"/>
  <c r="F42" i="40"/>
  <c r="F41" i="40"/>
  <c r="F40" i="40"/>
  <c r="F36" i="40"/>
  <c r="F33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9" i="40"/>
  <c r="F8" i="40"/>
  <c r="F95" i="41"/>
  <c r="F93" i="41"/>
  <c r="F92" i="41"/>
  <c r="F89" i="41"/>
  <c r="F88" i="41"/>
  <c r="F87" i="41"/>
  <c r="F86" i="41"/>
  <c r="F90" i="41"/>
  <c r="F84" i="41"/>
  <c r="F83" i="41"/>
  <c r="F82" i="41"/>
  <c r="F85" i="41"/>
  <c r="F80" i="41"/>
  <c r="F79" i="41"/>
  <c r="F78" i="41"/>
  <c r="F73" i="41"/>
  <c r="F72" i="41"/>
  <c r="F71" i="41"/>
  <c r="F69" i="41"/>
  <c r="F68" i="41"/>
  <c r="F67" i="41"/>
  <c r="F66" i="41"/>
  <c r="F65" i="41"/>
  <c r="F64" i="41"/>
  <c r="F63" i="41"/>
  <c r="F62" i="41"/>
  <c r="F56" i="41"/>
  <c r="F54" i="41"/>
  <c r="F52" i="41"/>
  <c r="F46" i="41"/>
  <c r="F43" i="41"/>
  <c r="F42" i="41"/>
  <c r="F41" i="41"/>
  <c r="F40" i="41"/>
  <c r="F44" i="41"/>
  <c r="F36" i="41"/>
  <c r="F35" i="41"/>
  <c r="F33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9" i="41"/>
  <c r="F8" i="41"/>
  <c r="F96" i="51" l="1"/>
  <c r="F75" i="51"/>
  <c r="F96" i="50"/>
  <c r="F58" i="50"/>
  <c r="F70" i="49"/>
  <c r="F10" i="49"/>
  <c r="F96" i="49"/>
  <c r="F75" i="49"/>
  <c r="F10" i="46"/>
  <c r="F75" i="46"/>
  <c r="F96" i="46"/>
  <c r="F10" i="47"/>
  <c r="F75" i="47"/>
  <c r="F96" i="47"/>
  <c r="F10" i="48"/>
  <c r="F96" i="48"/>
  <c r="F10" i="45"/>
  <c r="F94" i="39"/>
  <c r="F10" i="39"/>
  <c r="F37" i="39"/>
  <c r="F44" i="39"/>
  <c r="F90" i="39"/>
  <c r="F81" i="39"/>
  <c r="F58" i="39"/>
  <c r="F70" i="39"/>
  <c r="F91" i="39"/>
  <c r="F39" i="39"/>
  <c r="F74" i="39"/>
  <c r="F75" i="44"/>
  <c r="F90" i="44"/>
  <c r="F85" i="44"/>
  <c r="F94" i="44"/>
  <c r="F96" i="44"/>
  <c r="F44" i="44"/>
  <c r="F81" i="44"/>
  <c r="F70" i="44"/>
  <c r="F50" i="44"/>
  <c r="F73" i="44"/>
  <c r="F91" i="44"/>
  <c r="F39" i="44"/>
  <c r="F90" i="43"/>
  <c r="F75" i="43"/>
  <c r="F85" i="43"/>
  <c r="F94" i="43"/>
  <c r="F96" i="43"/>
  <c r="F44" i="43"/>
  <c r="F81" i="43"/>
  <c r="F70" i="43"/>
  <c r="F91" i="43"/>
  <c r="F39" i="43"/>
  <c r="F74" i="43"/>
  <c r="F85" i="42"/>
  <c r="F94" i="42"/>
  <c r="F96" i="42"/>
  <c r="F90" i="42"/>
  <c r="F44" i="42"/>
  <c r="F50" i="42"/>
  <c r="F91" i="42"/>
  <c r="F39" i="42"/>
  <c r="F74" i="42"/>
  <c r="F94" i="38"/>
  <c r="F81" i="38"/>
  <c r="F50" i="38"/>
  <c r="F70" i="38"/>
  <c r="F91" i="38"/>
  <c r="F39" i="38"/>
  <c r="F74" i="38"/>
  <c r="F35" i="38"/>
  <c r="F44" i="40"/>
  <c r="F90" i="40"/>
  <c r="F85" i="40"/>
  <c r="F94" i="40"/>
  <c r="F70" i="40"/>
  <c r="F91" i="40"/>
  <c r="F39" i="40"/>
  <c r="F74" i="40"/>
  <c r="F35" i="40"/>
  <c r="F81" i="41"/>
  <c r="F94" i="41"/>
  <c r="F50" i="41"/>
  <c r="F70" i="41"/>
  <c r="F91" i="41"/>
  <c r="F39" i="41"/>
  <c r="F74" i="41"/>
  <c r="F96" i="35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58" i="35"/>
  <c r="F56" i="35"/>
  <c r="F54" i="35"/>
  <c r="F52" i="35"/>
  <c r="F50" i="35"/>
  <c r="F46" i="35"/>
  <c r="F44" i="35"/>
  <c r="F43" i="35"/>
  <c r="F42" i="35"/>
  <c r="F41" i="35"/>
  <c r="F40" i="35"/>
  <c r="F39" i="35"/>
  <c r="F37" i="35"/>
  <c r="F36" i="35"/>
  <c r="F35" i="35"/>
  <c r="F33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E1" i="2"/>
  <c r="B8" i="8"/>
  <c r="C8" i="8"/>
  <c r="E8" i="8" s="1"/>
  <c r="B9" i="8"/>
  <c r="C9" i="8"/>
  <c r="E9" i="8" s="1"/>
  <c r="G9" i="8"/>
  <c r="B10" i="8"/>
  <c r="C10" i="8"/>
  <c r="E10" i="8" s="1"/>
  <c r="G10" i="8"/>
  <c r="B11" i="8"/>
  <c r="C11" i="8"/>
  <c r="E11" i="8" s="1"/>
  <c r="G11" i="8"/>
  <c r="B12" i="8"/>
  <c r="C12" i="8"/>
  <c r="E12" i="8" s="1"/>
  <c r="G12" i="8"/>
  <c r="B13" i="8"/>
  <c r="C13" i="8"/>
  <c r="E13" i="8" s="1"/>
  <c r="G13" i="8"/>
  <c r="B14" i="8"/>
  <c r="C14" i="8"/>
  <c r="E14" i="8" s="1"/>
  <c r="G14" i="8"/>
  <c r="B15" i="8"/>
  <c r="C15" i="8"/>
  <c r="E15" i="8" s="1"/>
  <c r="G15" i="8"/>
  <c r="B16" i="8"/>
  <c r="C16" i="8"/>
  <c r="E16" i="8" s="1"/>
  <c r="G16" i="8"/>
  <c r="B17" i="8"/>
  <c r="C17" i="8"/>
  <c r="E17" i="8" s="1"/>
  <c r="G17" i="8"/>
  <c r="B18" i="8"/>
  <c r="C18" i="8"/>
  <c r="E18" i="8" s="1"/>
  <c r="G18" i="8"/>
  <c r="B19" i="8"/>
  <c r="C19" i="8"/>
  <c r="E19" i="8" s="1"/>
  <c r="G19" i="8"/>
  <c r="B20" i="8"/>
  <c r="C20" i="8"/>
  <c r="E20" i="8" s="1"/>
  <c r="G20" i="8"/>
  <c r="B21" i="8"/>
  <c r="C21" i="8"/>
  <c r="E21" i="8" s="1"/>
  <c r="G21" i="8"/>
  <c r="B22" i="8"/>
  <c r="C22" i="8"/>
  <c r="E22" i="8" s="1"/>
  <c r="G22" i="8"/>
  <c r="B23" i="8"/>
  <c r="C23" i="8"/>
  <c r="E23" i="8" s="1"/>
  <c r="G23" i="8"/>
  <c r="B24" i="8"/>
  <c r="C24" i="8"/>
  <c r="E24" i="8" s="1"/>
  <c r="G24" i="8"/>
  <c r="B25" i="8"/>
  <c r="C25" i="8"/>
  <c r="E25" i="8" s="1"/>
  <c r="G25" i="8"/>
  <c r="B26" i="8"/>
  <c r="C26" i="8"/>
  <c r="E26" i="8" s="1"/>
  <c r="G26" i="8"/>
  <c r="B27" i="8"/>
  <c r="C27" i="8"/>
  <c r="E27" i="8" s="1"/>
  <c r="G27" i="8"/>
  <c r="B28" i="8"/>
  <c r="C28" i="8"/>
  <c r="E28" i="8" s="1"/>
  <c r="G28" i="8"/>
  <c r="B29" i="8"/>
  <c r="C29" i="8"/>
  <c r="E29" i="8" s="1"/>
  <c r="G29" i="8"/>
  <c r="B33" i="8"/>
  <c r="C33" i="8"/>
  <c r="E33" i="8" s="1"/>
  <c r="G33" i="8"/>
  <c r="B35" i="8"/>
  <c r="C35" i="8"/>
  <c r="E35" i="8" s="1"/>
  <c r="G35" i="8"/>
  <c r="B37" i="8"/>
  <c r="C37" i="8"/>
  <c r="E37" i="8" s="1"/>
  <c r="B39" i="8"/>
  <c r="C39" i="8"/>
  <c r="E39" i="8" s="1"/>
  <c r="G39" i="8"/>
  <c r="B40" i="8"/>
  <c r="C40" i="8"/>
  <c r="E40" i="8" s="1"/>
  <c r="G40" i="8"/>
  <c r="B41" i="8"/>
  <c r="C41" i="8"/>
  <c r="E41" i="8" s="1"/>
  <c r="G41" i="8"/>
  <c r="B42" i="8"/>
  <c r="C42" i="8"/>
  <c r="E42" i="8" s="1"/>
  <c r="G42" i="8"/>
  <c r="B43" i="8"/>
  <c r="C43" i="8"/>
  <c r="E43" i="8" s="1"/>
  <c r="G43" i="8"/>
  <c r="B44" i="8"/>
  <c r="C44" i="8"/>
  <c r="E44" i="8" s="1"/>
  <c r="G44" i="8"/>
  <c r="B46" i="8"/>
  <c r="C46" i="8"/>
  <c r="E46" i="8" s="1"/>
  <c r="G46" i="8"/>
  <c r="B50" i="8"/>
  <c r="C50" i="8"/>
  <c r="E50" i="8" s="1"/>
  <c r="G50" i="8"/>
  <c r="B52" i="8"/>
  <c r="C52" i="8"/>
  <c r="E52" i="8" s="1"/>
  <c r="G52" i="8"/>
  <c r="B54" i="8"/>
  <c r="C54" i="8"/>
  <c r="E54" i="8" s="1"/>
  <c r="G54" i="8"/>
  <c r="B56" i="8"/>
  <c r="C56" i="8"/>
  <c r="E56" i="8" s="1"/>
  <c r="G56" i="8"/>
  <c r="B62" i="8"/>
  <c r="C62" i="8"/>
  <c r="E62" i="8" s="1"/>
  <c r="G62" i="8"/>
  <c r="B63" i="8"/>
  <c r="C63" i="8"/>
  <c r="E63" i="8" s="1"/>
  <c r="G63" i="8"/>
  <c r="B64" i="8"/>
  <c r="C64" i="8"/>
  <c r="E64" i="8" s="1"/>
  <c r="G64" i="8"/>
  <c r="B65" i="8"/>
  <c r="C65" i="8"/>
  <c r="E65" i="8" s="1"/>
  <c r="G65" i="8"/>
  <c r="B66" i="8"/>
  <c r="C66" i="8"/>
  <c r="E66" i="8" s="1"/>
  <c r="G66" i="8"/>
  <c r="B67" i="8"/>
  <c r="C67" i="8"/>
  <c r="E67" i="8" s="1"/>
  <c r="G67" i="8"/>
  <c r="B68" i="8"/>
  <c r="C68" i="8"/>
  <c r="E68" i="8" s="1"/>
  <c r="G68" i="8"/>
  <c r="B69" i="8"/>
  <c r="C69" i="8"/>
  <c r="E69" i="8" s="1"/>
  <c r="G69" i="8"/>
  <c r="B70" i="8"/>
  <c r="C70" i="8"/>
  <c r="E70" i="8" s="1"/>
  <c r="G70" i="8"/>
  <c r="B71" i="8"/>
  <c r="C71" i="8"/>
  <c r="E71" i="8" s="1"/>
  <c r="G71" i="8"/>
  <c r="B72" i="8"/>
  <c r="C72" i="8"/>
  <c r="E72" i="8" s="1"/>
  <c r="G72" i="8"/>
  <c r="B73" i="8"/>
  <c r="C73" i="8"/>
  <c r="E73" i="8" s="1"/>
  <c r="G73" i="8"/>
  <c r="B74" i="8"/>
  <c r="C74" i="8"/>
  <c r="E74" i="8" s="1"/>
  <c r="G74" i="8"/>
  <c r="C75" i="8"/>
  <c r="E75" i="8" s="1"/>
  <c r="G75" i="8"/>
  <c r="B78" i="8"/>
  <c r="C78" i="8"/>
  <c r="E78" i="8" s="1"/>
  <c r="G78" i="8"/>
  <c r="B79" i="8"/>
  <c r="C79" i="8"/>
  <c r="E79" i="8" s="1"/>
  <c r="G79" i="8"/>
  <c r="B80" i="8"/>
  <c r="C80" i="8"/>
  <c r="E80" i="8" s="1"/>
  <c r="G80" i="8"/>
  <c r="B81" i="8"/>
  <c r="C81" i="8"/>
  <c r="E81" i="8" s="1"/>
  <c r="G81" i="8"/>
  <c r="B82" i="8"/>
  <c r="C82" i="8"/>
  <c r="E82" i="8" s="1"/>
  <c r="G82" i="8"/>
  <c r="B83" i="8"/>
  <c r="C83" i="8"/>
  <c r="E83" i="8" s="1"/>
  <c r="G83" i="8"/>
  <c r="B84" i="8"/>
  <c r="C84" i="8"/>
  <c r="E84" i="8" s="1"/>
  <c r="G84" i="8"/>
  <c r="B85" i="8"/>
  <c r="C85" i="8"/>
  <c r="E85" i="8" s="1"/>
  <c r="G85" i="8"/>
  <c r="B86" i="8"/>
  <c r="C86" i="8"/>
  <c r="E86" i="8" s="1"/>
  <c r="G86" i="8"/>
  <c r="B87" i="8"/>
  <c r="C87" i="8"/>
  <c r="E87" i="8" s="1"/>
  <c r="G87" i="8"/>
  <c r="B88" i="8"/>
  <c r="C88" i="8"/>
  <c r="E88" i="8" s="1"/>
  <c r="G88" i="8"/>
  <c r="B89" i="8"/>
  <c r="C89" i="8"/>
  <c r="E89" i="8" s="1"/>
  <c r="G89" i="8"/>
  <c r="B90" i="8"/>
  <c r="C90" i="8"/>
  <c r="E90" i="8" s="1"/>
  <c r="G90" i="8"/>
  <c r="B91" i="8"/>
  <c r="C91" i="8"/>
  <c r="E91" i="8" s="1"/>
  <c r="G91" i="8"/>
  <c r="B92" i="8"/>
  <c r="C92" i="8"/>
  <c r="E92" i="8" s="1"/>
  <c r="G92" i="8"/>
  <c r="B93" i="8"/>
  <c r="C93" i="8"/>
  <c r="E93" i="8" s="1"/>
  <c r="G93" i="8"/>
  <c r="B94" i="8"/>
  <c r="C94" i="8"/>
  <c r="E94" i="8" s="1"/>
  <c r="G94" i="8"/>
  <c r="B95" i="8"/>
  <c r="C95" i="8"/>
  <c r="E95" i="8" s="1"/>
  <c r="G95" i="8"/>
  <c r="C96" i="8"/>
  <c r="E96" i="8" s="1"/>
  <c r="G96" i="8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3" i="34"/>
  <c r="F35" i="34"/>
  <c r="F36" i="34"/>
  <c r="F37" i="34"/>
  <c r="F39" i="34"/>
  <c r="F40" i="34"/>
  <c r="F41" i="34"/>
  <c r="F42" i="34"/>
  <c r="F43" i="34"/>
  <c r="F44" i="34"/>
  <c r="F46" i="34"/>
  <c r="F50" i="34"/>
  <c r="F52" i="34"/>
  <c r="F54" i="34"/>
  <c r="F56" i="34"/>
  <c r="F58" i="34"/>
  <c r="F62" i="34"/>
  <c r="F63" i="34"/>
  <c r="F64" i="34"/>
  <c r="F65" i="34"/>
  <c r="F66" i="34"/>
  <c r="F67" i="34"/>
  <c r="F68" i="34"/>
  <c r="F69" i="34"/>
  <c r="F70" i="34"/>
  <c r="F71" i="34"/>
  <c r="F72" i="34"/>
  <c r="F73" i="34"/>
  <c r="F74" i="34"/>
  <c r="F75" i="34"/>
  <c r="F78" i="34"/>
  <c r="F79" i="34"/>
  <c r="F80" i="3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96" i="3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3" i="24"/>
  <c r="F35" i="24"/>
  <c r="F36" i="24"/>
  <c r="F37" i="24"/>
  <c r="F39" i="24"/>
  <c r="F40" i="24"/>
  <c r="F41" i="24"/>
  <c r="F42" i="24"/>
  <c r="F43" i="24"/>
  <c r="F44" i="24"/>
  <c r="F46" i="24"/>
  <c r="F50" i="24"/>
  <c r="F52" i="24"/>
  <c r="F54" i="24"/>
  <c r="F56" i="24"/>
  <c r="F58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3" i="25"/>
  <c r="F35" i="25"/>
  <c r="F36" i="25"/>
  <c r="F37" i="25"/>
  <c r="F39" i="25"/>
  <c r="F40" i="25"/>
  <c r="F41" i="25"/>
  <c r="F42" i="25"/>
  <c r="F43" i="25"/>
  <c r="F44" i="25"/>
  <c r="F46" i="25"/>
  <c r="F50" i="25"/>
  <c r="F52" i="25"/>
  <c r="F54" i="25"/>
  <c r="F56" i="25"/>
  <c r="F58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3" i="26"/>
  <c r="F35" i="26"/>
  <c r="F36" i="26"/>
  <c r="F37" i="26"/>
  <c r="F39" i="26"/>
  <c r="F40" i="26"/>
  <c r="F41" i="26"/>
  <c r="F42" i="26"/>
  <c r="F43" i="26"/>
  <c r="F44" i="26"/>
  <c r="F46" i="26"/>
  <c r="F50" i="26"/>
  <c r="F52" i="26"/>
  <c r="F54" i="26"/>
  <c r="F56" i="26"/>
  <c r="F58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3" i="29"/>
  <c r="F35" i="29"/>
  <c r="F36" i="29"/>
  <c r="F37" i="29"/>
  <c r="F39" i="29"/>
  <c r="F40" i="29"/>
  <c r="F41" i="29"/>
  <c r="F42" i="29"/>
  <c r="F43" i="29"/>
  <c r="F44" i="29"/>
  <c r="F46" i="29"/>
  <c r="F50" i="29"/>
  <c r="F52" i="29"/>
  <c r="F54" i="29"/>
  <c r="F56" i="29"/>
  <c r="F58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8" i="29"/>
  <c r="F79" i="29"/>
  <c r="F80" i="29"/>
  <c r="F81" i="29"/>
  <c r="F82" i="29"/>
  <c r="F83" i="29"/>
  <c r="F84" i="29"/>
  <c r="F85" i="29"/>
  <c r="F86" i="29"/>
  <c r="F87" i="29"/>
  <c r="F88" i="29"/>
  <c r="F89" i="29"/>
  <c r="F90" i="29"/>
  <c r="F91" i="29"/>
  <c r="F92" i="29"/>
  <c r="F93" i="29"/>
  <c r="F94" i="29"/>
  <c r="F95" i="29"/>
  <c r="F96" i="29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3" i="30"/>
  <c r="F35" i="30"/>
  <c r="F36" i="30"/>
  <c r="F37" i="30"/>
  <c r="F39" i="30"/>
  <c r="F40" i="30"/>
  <c r="F41" i="30"/>
  <c r="F42" i="30"/>
  <c r="F43" i="30"/>
  <c r="F44" i="30"/>
  <c r="F46" i="30"/>
  <c r="F50" i="30"/>
  <c r="F52" i="30"/>
  <c r="F54" i="30"/>
  <c r="F56" i="30"/>
  <c r="F58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5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96" i="30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3" i="32"/>
  <c r="F35" i="32"/>
  <c r="F36" i="32"/>
  <c r="F37" i="32"/>
  <c r="F39" i="32"/>
  <c r="F40" i="32"/>
  <c r="F41" i="32"/>
  <c r="F42" i="32"/>
  <c r="F43" i="32"/>
  <c r="F44" i="32"/>
  <c r="F46" i="32"/>
  <c r="F50" i="32"/>
  <c r="F52" i="32"/>
  <c r="F54" i="32"/>
  <c r="F56" i="32"/>
  <c r="F58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B8" i="33"/>
  <c r="B8" i="54" s="1"/>
  <c r="C8" i="33"/>
  <c r="E8" i="33" s="1"/>
  <c r="F8" i="33" s="1"/>
  <c r="G8" i="54"/>
  <c r="B9" i="33"/>
  <c r="B9" i="54" s="1"/>
  <c r="C9" i="33"/>
  <c r="G9" i="33"/>
  <c r="G9" i="54" s="1"/>
  <c r="B10" i="33"/>
  <c r="B10" i="54" s="1"/>
  <c r="C10" i="33"/>
  <c r="G10" i="33"/>
  <c r="G10" i="54" s="1"/>
  <c r="B11" i="33"/>
  <c r="B11" i="54" s="1"/>
  <c r="C11" i="33"/>
  <c r="G11" i="33"/>
  <c r="B12" i="33"/>
  <c r="B12" i="54" s="1"/>
  <c r="C12" i="33"/>
  <c r="E12" i="33" s="1"/>
  <c r="G12" i="33"/>
  <c r="G12" i="54" s="1"/>
  <c r="B13" i="33"/>
  <c r="B13" i="54" s="1"/>
  <c r="C13" i="33"/>
  <c r="G13" i="33"/>
  <c r="B14" i="33"/>
  <c r="B14" i="54" s="1"/>
  <c r="C14" i="33"/>
  <c r="G14" i="33"/>
  <c r="G14" i="54" s="1"/>
  <c r="B15" i="33"/>
  <c r="B15" i="54" s="1"/>
  <c r="C15" i="33"/>
  <c r="G15" i="33"/>
  <c r="G15" i="54" s="1"/>
  <c r="B16" i="33"/>
  <c r="B16" i="54" s="1"/>
  <c r="C16" i="33"/>
  <c r="G16" i="33"/>
  <c r="B17" i="33"/>
  <c r="B17" i="54" s="1"/>
  <c r="C17" i="33"/>
  <c r="E17" i="33" s="1"/>
  <c r="G17" i="33"/>
  <c r="G17" i="54" s="1"/>
  <c r="B18" i="33"/>
  <c r="B18" i="54" s="1"/>
  <c r="C18" i="33"/>
  <c r="E18" i="33" s="1"/>
  <c r="G18" i="33"/>
  <c r="G18" i="54" s="1"/>
  <c r="B19" i="33"/>
  <c r="B19" i="54" s="1"/>
  <c r="C19" i="33"/>
  <c r="G19" i="33"/>
  <c r="G19" i="54" s="1"/>
  <c r="B20" i="33"/>
  <c r="B20" i="54" s="1"/>
  <c r="C20" i="33"/>
  <c r="E20" i="33" s="1"/>
  <c r="G20" i="33"/>
  <c r="G20" i="54" s="1"/>
  <c r="B21" i="33"/>
  <c r="C21" i="33"/>
  <c r="G21" i="33"/>
  <c r="B22" i="33"/>
  <c r="B22" i="54" s="1"/>
  <c r="C22" i="33"/>
  <c r="G22" i="33"/>
  <c r="G22" i="54" s="1"/>
  <c r="B23" i="33"/>
  <c r="B23" i="54" s="1"/>
  <c r="C23" i="33"/>
  <c r="G23" i="33"/>
  <c r="G23" i="54" s="1"/>
  <c r="B24" i="33"/>
  <c r="B24" i="54" s="1"/>
  <c r="C24" i="33"/>
  <c r="G24" i="33"/>
  <c r="B25" i="33"/>
  <c r="B25" i="54" s="1"/>
  <c r="C25" i="33"/>
  <c r="G25" i="33"/>
  <c r="G25" i="54" s="1"/>
  <c r="B26" i="33"/>
  <c r="C26" i="33"/>
  <c r="G26" i="33"/>
  <c r="B27" i="33"/>
  <c r="B27" i="54" s="1"/>
  <c r="C27" i="33"/>
  <c r="G27" i="33"/>
  <c r="B28" i="33"/>
  <c r="B28" i="54" s="1"/>
  <c r="C28" i="33"/>
  <c r="G28" i="33"/>
  <c r="G28" i="54" s="1"/>
  <c r="B29" i="33"/>
  <c r="B29" i="54" s="1"/>
  <c r="C29" i="33"/>
  <c r="E29" i="33" s="1"/>
  <c r="G29" i="33"/>
  <c r="G29" i="54" s="1"/>
  <c r="B33" i="33"/>
  <c r="B33" i="54" s="1"/>
  <c r="C33" i="33"/>
  <c r="E33" i="33" s="1"/>
  <c r="G33" i="33"/>
  <c r="G33" i="54" s="1"/>
  <c r="B35" i="33"/>
  <c r="B35" i="54" s="1"/>
  <c r="C35" i="33"/>
  <c r="G35" i="33"/>
  <c r="G35" i="54" s="1"/>
  <c r="B39" i="33"/>
  <c r="C39" i="33"/>
  <c r="E39" i="33" s="1"/>
  <c r="G39" i="33"/>
  <c r="B40" i="33"/>
  <c r="C40" i="33"/>
  <c r="E40" i="33" s="1"/>
  <c r="G40" i="33"/>
  <c r="B41" i="33"/>
  <c r="C41" i="33"/>
  <c r="E41" i="33" s="1"/>
  <c r="G41" i="33"/>
  <c r="B42" i="33"/>
  <c r="C42" i="33"/>
  <c r="E42" i="33" s="1"/>
  <c r="G42" i="33"/>
  <c r="B43" i="33"/>
  <c r="C43" i="33"/>
  <c r="E43" i="33" s="1"/>
  <c r="G43" i="33"/>
  <c r="B46" i="33"/>
  <c r="C46" i="33"/>
  <c r="G46" i="33"/>
  <c r="G46" i="54" s="1"/>
  <c r="B50" i="33"/>
  <c r="B50" i="54" s="1"/>
  <c r="C50" i="33"/>
  <c r="G50" i="33"/>
  <c r="G50" i="54" s="1"/>
  <c r="B52" i="33"/>
  <c r="C52" i="33"/>
  <c r="G52" i="33"/>
  <c r="G52" i="54" s="1"/>
  <c r="B54" i="33"/>
  <c r="B54" i="54" s="1"/>
  <c r="C54" i="33"/>
  <c r="G54" i="33"/>
  <c r="B56" i="33"/>
  <c r="C56" i="33"/>
  <c r="E56" i="33" s="1"/>
  <c r="G56" i="33"/>
  <c r="B62" i="33"/>
  <c r="B62" i="54" s="1"/>
  <c r="C62" i="33"/>
  <c r="E62" i="33" s="1"/>
  <c r="G62" i="33"/>
  <c r="B63" i="33"/>
  <c r="B63" i="54" s="1"/>
  <c r="C63" i="33"/>
  <c r="E63" i="33" s="1"/>
  <c r="G63" i="33"/>
  <c r="G63" i="54" s="1"/>
  <c r="B64" i="33"/>
  <c r="B64" i="54" s="1"/>
  <c r="C64" i="33"/>
  <c r="G64" i="33"/>
  <c r="G64" i="54" s="1"/>
  <c r="B65" i="33"/>
  <c r="B65" i="54" s="1"/>
  <c r="C65" i="33"/>
  <c r="G65" i="33"/>
  <c r="G65" i="54" s="1"/>
  <c r="B66" i="33"/>
  <c r="B66" i="54" s="1"/>
  <c r="C66" i="33"/>
  <c r="E66" i="33" s="1"/>
  <c r="G66" i="33"/>
  <c r="G66" i="54" s="1"/>
  <c r="B67" i="33"/>
  <c r="B67" i="54" s="1"/>
  <c r="C67" i="33"/>
  <c r="E67" i="33" s="1"/>
  <c r="G67" i="33"/>
  <c r="G67" i="54" s="1"/>
  <c r="B68" i="33"/>
  <c r="B68" i="54" s="1"/>
  <c r="C68" i="33"/>
  <c r="G68" i="33"/>
  <c r="G68" i="54" s="1"/>
  <c r="B69" i="33"/>
  <c r="B69" i="54" s="1"/>
  <c r="C69" i="33"/>
  <c r="G69" i="33"/>
  <c r="B70" i="33"/>
  <c r="B70" i="54" s="1"/>
  <c r="B71" i="33"/>
  <c r="B71" i="54" s="1"/>
  <c r="C71" i="33"/>
  <c r="E71" i="33" s="1"/>
  <c r="G71" i="33"/>
  <c r="G71" i="54" s="1"/>
  <c r="B72" i="33"/>
  <c r="C72" i="33"/>
  <c r="G72" i="33"/>
  <c r="G72" i="54" s="1"/>
  <c r="B73" i="33"/>
  <c r="B73" i="54" s="1"/>
  <c r="C73" i="33"/>
  <c r="G73" i="33"/>
  <c r="B74" i="33"/>
  <c r="B74" i="54" s="1"/>
  <c r="C74" i="33"/>
  <c r="G74" i="33"/>
  <c r="G74" i="54" s="1"/>
  <c r="B75" i="33"/>
  <c r="B75" i="54" s="1"/>
  <c r="B78" i="33"/>
  <c r="B78" i="54" s="1"/>
  <c r="C78" i="33"/>
  <c r="G78" i="33"/>
  <c r="B79" i="33"/>
  <c r="C79" i="33"/>
  <c r="G79" i="33"/>
  <c r="B80" i="33"/>
  <c r="B80" i="54" s="1"/>
  <c r="C80" i="33"/>
  <c r="G80" i="33"/>
  <c r="G80" i="54" s="1"/>
  <c r="B81" i="33"/>
  <c r="B82" i="33"/>
  <c r="B82" i="54" s="1"/>
  <c r="C82" i="33"/>
  <c r="G82" i="33"/>
  <c r="G82" i="54" s="1"/>
  <c r="B83" i="33"/>
  <c r="C83" i="33"/>
  <c r="G83" i="33"/>
  <c r="B84" i="33"/>
  <c r="B84" i="54" s="1"/>
  <c r="C84" i="33"/>
  <c r="E84" i="33" s="1"/>
  <c r="G84" i="33"/>
  <c r="G84" i="54" s="1"/>
  <c r="B85" i="33"/>
  <c r="B86" i="33"/>
  <c r="B86" i="54" s="1"/>
  <c r="C86" i="33"/>
  <c r="E86" i="33" s="1"/>
  <c r="G86" i="33"/>
  <c r="G86" i="54" s="1"/>
  <c r="B87" i="33"/>
  <c r="C87" i="33"/>
  <c r="G87" i="33"/>
  <c r="G87" i="54" s="1"/>
  <c r="B88" i="33"/>
  <c r="B88" i="54" s="1"/>
  <c r="C88" i="33"/>
  <c r="G88" i="33"/>
  <c r="G88" i="54" s="1"/>
  <c r="B89" i="33"/>
  <c r="B89" i="54" s="1"/>
  <c r="C89" i="33"/>
  <c r="G89" i="33"/>
  <c r="G89" i="54" s="1"/>
  <c r="B90" i="33"/>
  <c r="B90" i="54" s="1"/>
  <c r="B91" i="33"/>
  <c r="B91" i="54" s="1"/>
  <c r="C91" i="33"/>
  <c r="G91" i="33"/>
  <c r="B92" i="33"/>
  <c r="B92" i="54" s="1"/>
  <c r="C92" i="33"/>
  <c r="E92" i="33" s="1"/>
  <c r="G92" i="33"/>
  <c r="G92" i="54" s="1"/>
  <c r="B93" i="33"/>
  <c r="C93" i="33"/>
  <c r="G93" i="33"/>
  <c r="G93" i="54" s="1"/>
  <c r="B94" i="33"/>
  <c r="B94" i="54" s="1"/>
  <c r="B95" i="33"/>
  <c r="B95" i="54" s="1"/>
  <c r="C95" i="33"/>
  <c r="G95" i="33"/>
  <c r="B96" i="33"/>
  <c r="B96" i="54" s="1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3" i="36"/>
  <c r="F35" i="36"/>
  <c r="F36" i="36"/>
  <c r="F37" i="36"/>
  <c r="F39" i="36"/>
  <c r="F40" i="36"/>
  <c r="F41" i="36"/>
  <c r="F42" i="36"/>
  <c r="F43" i="36"/>
  <c r="F44" i="36"/>
  <c r="F46" i="36"/>
  <c r="F50" i="36"/>
  <c r="F52" i="36"/>
  <c r="F54" i="36"/>
  <c r="F56" i="36"/>
  <c r="F58" i="36"/>
  <c r="F62" i="36"/>
  <c r="F63" i="36"/>
  <c r="F64" i="36"/>
  <c r="F65" i="36"/>
  <c r="F66" i="36"/>
  <c r="F67" i="36"/>
  <c r="F68" i="36"/>
  <c r="F69" i="36"/>
  <c r="F70" i="36"/>
  <c r="F71" i="36"/>
  <c r="F72" i="36"/>
  <c r="F73" i="36"/>
  <c r="F74" i="36"/>
  <c r="F75" i="36"/>
  <c r="F78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/>
  <c r="F8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3" i="37"/>
  <c r="F35" i="37"/>
  <c r="F36" i="37"/>
  <c r="F39" i="37"/>
  <c r="F40" i="37"/>
  <c r="F41" i="37"/>
  <c r="F42" i="37"/>
  <c r="F43" i="37"/>
  <c r="F44" i="37"/>
  <c r="F46" i="37"/>
  <c r="F50" i="37"/>
  <c r="F52" i="37"/>
  <c r="F54" i="37"/>
  <c r="F56" i="37"/>
  <c r="F62" i="37"/>
  <c r="F63" i="37"/>
  <c r="F64" i="37"/>
  <c r="F65" i="37"/>
  <c r="F66" i="37"/>
  <c r="F67" i="37"/>
  <c r="F68" i="37"/>
  <c r="F69" i="37"/>
  <c r="F70" i="37"/>
  <c r="F71" i="37"/>
  <c r="F72" i="37"/>
  <c r="F73" i="37"/>
  <c r="F74" i="37"/>
  <c r="F78" i="37"/>
  <c r="F79" i="37"/>
  <c r="F80" i="37"/>
  <c r="F81" i="37"/>
  <c r="F82" i="37"/>
  <c r="F83" i="37"/>
  <c r="F84" i="37"/>
  <c r="F85" i="37"/>
  <c r="F86" i="37"/>
  <c r="F87" i="37"/>
  <c r="F88" i="37"/>
  <c r="F89" i="37"/>
  <c r="F90" i="37"/>
  <c r="F91" i="37"/>
  <c r="F92" i="37"/>
  <c r="F93" i="37"/>
  <c r="F94" i="37"/>
  <c r="F95" i="37"/>
  <c r="F96" i="37"/>
  <c r="B8" i="61"/>
  <c r="C8" i="61"/>
  <c r="G8" i="61"/>
  <c r="B9" i="61"/>
  <c r="C9" i="61"/>
  <c r="G9" i="61"/>
  <c r="B10" i="61"/>
  <c r="C10" i="61"/>
  <c r="G10" i="61"/>
  <c r="B11" i="61"/>
  <c r="C11" i="61"/>
  <c r="G11" i="61"/>
  <c r="B12" i="61"/>
  <c r="C12" i="61"/>
  <c r="G12" i="61"/>
  <c r="B13" i="61"/>
  <c r="C13" i="61"/>
  <c r="G13" i="61"/>
  <c r="B14" i="61"/>
  <c r="C14" i="61"/>
  <c r="G14" i="61"/>
  <c r="B15" i="61"/>
  <c r="C15" i="61"/>
  <c r="G15" i="61"/>
  <c r="B16" i="61"/>
  <c r="C16" i="61"/>
  <c r="G16" i="61"/>
  <c r="B17" i="61"/>
  <c r="C17" i="61"/>
  <c r="G17" i="61"/>
  <c r="B18" i="61"/>
  <c r="C18" i="61"/>
  <c r="G18" i="61"/>
  <c r="B19" i="61"/>
  <c r="C19" i="61"/>
  <c r="G19" i="61"/>
  <c r="B20" i="61"/>
  <c r="C20" i="61"/>
  <c r="G20" i="61"/>
  <c r="B21" i="61"/>
  <c r="C21" i="61"/>
  <c r="G21" i="61"/>
  <c r="B22" i="61"/>
  <c r="C22" i="61"/>
  <c r="G22" i="61"/>
  <c r="B23" i="61"/>
  <c r="C23" i="61"/>
  <c r="G23" i="61"/>
  <c r="B24" i="61"/>
  <c r="C24" i="61"/>
  <c r="G24" i="61"/>
  <c r="B25" i="61"/>
  <c r="C25" i="61"/>
  <c r="G25" i="61"/>
  <c r="B26" i="61"/>
  <c r="C26" i="61"/>
  <c r="G26" i="61"/>
  <c r="B27" i="61"/>
  <c r="C27" i="61"/>
  <c r="G27" i="61"/>
  <c r="B28" i="61"/>
  <c r="C28" i="61"/>
  <c r="G28" i="61"/>
  <c r="B29" i="61"/>
  <c r="C29" i="61"/>
  <c r="G29" i="61"/>
  <c r="B33" i="61"/>
  <c r="C33" i="61"/>
  <c r="G33" i="61"/>
  <c r="B35" i="61"/>
  <c r="C35" i="61"/>
  <c r="G35" i="61"/>
  <c r="B39" i="61"/>
  <c r="C39" i="61"/>
  <c r="G39" i="61"/>
  <c r="B40" i="61"/>
  <c r="C40" i="61"/>
  <c r="G40" i="61"/>
  <c r="B41" i="61"/>
  <c r="C41" i="61"/>
  <c r="G41" i="61"/>
  <c r="B42" i="61"/>
  <c r="C42" i="61"/>
  <c r="G42" i="61"/>
  <c r="B43" i="61"/>
  <c r="C43" i="61"/>
  <c r="G43" i="61"/>
  <c r="B44" i="61"/>
  <c r="C44" i="61"/>
  <c r="G44" i="61"/>
  <c r="B46" i="61"/>
  <c r="C46" i="61"/>
  <c r="G46" i="61"/>
  <c r="B50" i="61"/>
  <c r="C50" i="61"/>
  <c r="G50" i="61"/>
  <c r="B52" i="61"/>
  <c r="C52" i="61"/>
  <c r="G52" i="61"/>
  <c r="B54" i="61"/>
  <c r="C54" i="61"/>
  <c r="G54" i="61"/>
  <c r="B56" i="61"/>
  <c r="C56" i="61"/>
  <c r="G56" i="61"/>
  <c r="B62" i="61"/>
  <c r="C62" i="61"/>
  <c r="G62" i="61"/>
  <c r="B63" i="61"/>
  <c r="C63" i="61"/>
  <c r="G63" i="61"/>
  <c r="B64" i="61"/>
  <c r="C64" i="61"/>
  <c r="G64" i="61"/>
  <c r="B65" i="61"/>
  <c r="C65" i="61"/>
  <c r="G65" i="61"/>
  <c r="B66" i="61"/>
  <c r="C66" i="61"/>
  <c r="G66" i="61"/>
  <c r="B67" i="61"/>
  <c r="C67" i="61"/>
  <c r="G67" i="61"/>
  <c r="B68" i="61"/>
  <c r="C68" i="61"/>
  <c r="G68" i="61"/>
  <c r="B69" i="61"/>
  <c r="C69" i="61"/>
  <c r="G69" i="61"/>
  <c r="B71" i="61"/>
  <c r="C71" i="61"/>
  <c r="G71" i="61"/>
  <c r="B72" i="61"/>
  <c r="C72" i="61"/>
  <c r="G72" i="61"/>
  <c r="B73" i="61"/>
  <c r="C73" i="61"/>
  <c r="G73" i="61"/>
  <c r="B74" i="61"/>
  <c r="C74" i="61"/>
  <c r="G74" i="61"/>
  <c r="B78" i="61"/>
  <c r="C78" i="61"/>
  <c r="G78" i="61"/>
  <c r="B79" i="61"/>
  <c r="C79" i="61"/>
  <c r="G79" i="61"/>
  <c r="B80" i="61"/>
  <c r="C80" i="61"/>
  <c r="G80" i="61"/>
  <c r="B82" i="61"/>
  <c r="C82" i="61"/>
  <c r="G82" i="61"/>
  <c r="B83" i="61"/>
  <c r="C83" i="61"/>
  <c r="G83" i="61"/>
  <c r="B84" i="61"/>
  <c r="C84" i="61"/>
  <c r="G84" i="61"/>
  <c r="B86" i="61"/>
  <c r="C86" i="61"/>
  <c r="G86" i="61"/>
  <c r="B87" i="61"/>
  <c r="C87" i="61"/>
  <c r="G87" i="61"/>
  <c r="B88" i="61"/>
  <c r="C88" i="61"/>
  <c r="G88" i="61"/>
  <c r="B89" i="61"/>
  <c r="C89" i="61"/>
  <c r="G89" i="61"/>
  <c r="B91" i="61"/>
  <c r="C91" i="61"/>
  <c r="G91" i="61"/>
  <c r="B92" i="61"/>
  <c r="C92" i="61"/>
  <c r="G92" i="61"/>
  <c r="B93" i="61"/>
  <c r="C93" i="61"/>
  <c r="G93" i="61"/>
  <c r="B95" i="61"/>
  <c r="C95" i="61"/>
  <c r="G95" i="61"/>
  <c r="B8" i="60"/>
  <c r="C8" i="60"/>
  <c r="G8" i="60"/>
  <c r="B9" i="60"/>
  <c r="C9" i="60"/>
  <c r="G9" i="60"/>
  <c r="B10" i="60"/>
  <c r="C10" i="60"/>
  <c r="G10" i="60"/>
  <c r="B11" i="60"/>
  <c r="C11" i="60"/>
  <c r="G11" i="60"/>
  <c r="B12" i="60"/>
  <c r="C12" i="60"/>
  <c r="G12" i="60"/>
  <c r="B13" i="60"/>
  <c r="C13" i="60"/>
  <c r="G13" i="60"/>
  <c r="B14" i="60"/>
  <c r="C14" i="60"/>
  <c r="G14" i="60"/>
  <c r="B15" i="60"/>
  <c r="C15" i="60"/>
  <c r="G15" i="60"/>
  <c r="B16" i="60"/>
  <c r="C16" i="60"/>
  <c r="G16" i="60"/>
  <c r="B17" i="60"/>
  <c r="C17" i="60"/>
  <c r="G17" i="60"/>
  <c r="B18" i="60"/>
  <c r="C18" i="60"/>
  <c r="G18" i="60"/>
  <c r="B19" i="60"/>
  <c r="C19" i="60"/>
  <c r="G19" i="60"/>
  <c r="B20" i="60"/>
  <c r="C20" i="60"/>
  <c r="G20" i="60"/>
  <c r="B21" i="60"/>
  <c r="C21" i="60"/>
  <c r="G21" i="60"/>
  <c r="B22" i="60"/>
  <c r="C22" i="60"/>
  <c r="G22" i="60"/>
  <c r="B23" i="60"/>
  <c r="C23" i="60"/>
  <c r="G23" i="60"/>
  <c r="B24" i="60"/>
  <c r="C24" i="60"/>
  <c r="G24" i="60"/>
  <c r="B25" i="60"/>
  <c r="C25" i="60"/>
  <c r="G25" i="60"/>
  <c r="B26" i="60"/>
  <c r="C26" i="60"/>
  <c r="G26" i="60"/>
  <c r="B27" i="60"/>
  <c r="C27" i="60"/>
  <c r="G27" i="60"/>
  <c r="B28" i="60"/>
  <c r="C28" i="60"/>
  <c r="G28" i="60"/>
  <c r="B29" i="60"/>
  <c r="C29" i="60"/>
  <c r="G29" i="60"/>
  <c r="B33" i="60"/>
  <c r="C33" i="60"/>
  <c r="G33" i="60"/>
  <c r="B35" i="60"/>
  <c r="C35" i="60"/>
  <c r="G35" i="60"/>
  <c r="B39" i="60"/>
  <c r="C39" i="60"/>
  <c r="G39" i="60"/>
  <c r="B40" i="60"/>
  <c r="C40" i="60"/>
  <c r="G40" i="60"/>
  <c r="B41" i="60"/>
  <c r="C41" i="60"/>
  <c r="G41" i="60"/>
  <c r="B42" i="60"/>
  <c r="C42" i="60"/>
  <c r="G42" i="60"/>
  <c r="B43" i="60"/>
  <c r="C43" i="60"/>
  <c r="G43" i="60"/>
  <c r="B44" i="60"/>
  <c r="C44" i="60"/>
  <c r="G44" i="60"/>
  <c r="B46" i="60"/>
  <c r="C46" i="60"/>
  <c r="G46" i="60"/>
  <c r="B50" i="60"/>
  <c r="C50" i="60"/>
  <c r="G50" i="60"/>
  <c r="B52" i="60"/>
  <c r="C52" i="60"/>
  <c r="G52" i="60"/>
  <c r="B54" i="60"/>
  <c r="C54" i="60"/>
  <c r="G54" i="60"/>
  <c r="B56" i="60"/>
  <c r="C56" i="60"/>
  <c r="G56" i="60"/>
  <c r="B62" i="60"/>
  <c r="C62" i="60"/>
  <c r="G62" i="60"/>
  <c r="B63" i="60"/>
  <c r="C63" i="60"/>
  <c r="G63" i="60"/>
  <c r="B64" i="60"/>
  <c r="C64" i="60"/>
  <c r="G64" i="60"/>
  <c r="B65" i="60"/>
  <c r="C65" i="60"/>
  <c r="G65" i="60"/>
  <c r="B66" i="60"/>
  <c r="C66" i="60"/>
  <c r="G66" i="60"/>
  <c r="B67" i="60"/>
  <c r="C67" i="60"/>
  <c r="G67" i="60"/>
  <c r="B68" i="60"/>
  <c r="C68" i="60"/>
  <c r="G68" i="60"/>
  <c r="B69" i="60"/>
  <c r="C69" i="60"/>
  <c r="G69" i="60"/>
  <c r="B71" i="60"/>
  <c r="C71" i="60"/>
  <c r="G71" i="60"/>
  <c r="B72" i="60"/>
  <c r="C72" i="60"/>
  <c r="G72" i="60"/>
  <c r="B73" i="60"/>
  <c r="C73" i="60"/>
  <c r="G73" i="60"/>
  <c r="B74" i="60"/>
  <c r="C74" i="60"/>
  <c r="G74" i="60"/>
  <c r="B78" i="60"/>
  <c r="C78" i="60"/>
  <c r="G78" i="60"/>
  <c r="B79" i="60"/>
  <c r="C79" i="60"/>
  <c r="G79" i="60"/>
  <c r="B80" i="60"/>
  <c r="C80" i="60"/>
  <c r="G80" i="60"/>
  <c r="B82" i="60"/>
  <c r="C82" i="60"/>
  <c r="G82" i="60"/>
  <c r="B83" i="60"/>
  <c r="C83" i="60"/>
  <c r="G83" i="60"/>
  <c r="B84" i="60"/>
  <c r="C84" i="60"/>
  <c r="G84" i="60"/>
  <c r="B86" i="60"/>
  <c r="C86" i="60"/>
  <c r="G86" i="60"/>
  <c r="B87" i="60"/>
  <c r="C87" i="60"/>
  <c r="G87" i="60"/>
  <c r="B88" i="60"/>
  <c r="C88" i="60"/>
  <c r="G88" i="60"/>
  <c r="B89" i="60"/>
  <c r="C89" i="60"/>
  <c r="G89" i="60"/>
  <c r="B91" i="60"/>
  <c r="C91" i="60"/>
  <c r="G91" i="60"/>
  <c r="B92" i="60"/>
  <c r="C92" i="60"/>
  <c r="G92" i="60"/>
  <c r="B93" i="60"/>
  <c r="C93" i="60"/>
  <c r="G93" i="60"/>
  <c r="B95" i="60"/>
  <c r="C95" i="60"/>
  <c r="G95" i="60"/>
  <c r="E37" i="59"/>
  <c r="B50" i="59"/>
  <c r="C50" i="59"/>
  <c r="C82" i="54" l="1"/>
  <c r="E82" i="54" s="1"/>
  <c r="E82" i="33"/>
  <c r="C50" i="54"/>
  <c r="E50" i="54" s="1"/>
  <c r="E50" i="33"/>
  <c r="C26" i="54"/>
  <c r="E26" i="54" s="1"/>
  <c r="E26" i="33"/>
  <c r="C22" i="54"/>
  <c r="E22" i="54" s="1"/>
  <c r="E22" i="33"/>
  <c r="C14" i="54"/>
  <c r="E14" i="54" s="1"/>
  <c r="E14" i="33"/>
  <c r="C10" i="54"/>
  <c r="E10" i="54" s="1"/>
  <c r="E10" i="33"/>
  <c r="B75" i="52"/>
  <c r="C80" i="54"/>
  <c r="E80" i="54" s="1"/>
  <c r="E80" i="33"/>
  <c r="F80" i="33" s="1"/>
  <c r="C91" i="54"/>
  <c r="E91" i="54" s="1"/>
  <c r="E91" i="33"/>
  <c r="C89" i="54"/>
  <c r="E89" i="54" s="1"/>
  <c r="E89" i="33"/>
  <c r="C83" i="54"/>
  <c r="E83" i="54" s="1"/>
  <c r="E83" i="33"/>
  <c r="C73" i="54"/>
  <c r="E73" i="54" s="1"/>
  <c r="E73" i="33"/>
  <c r="C52" i="54"/>
  <c r="E52" i="54" s="1"/>
  <c r="E52" i="33"/>
  <c r="C35" i="54"/>
  <c r="E35" i="54" s="1"/>
  <c r="E35" i="33"/>
  <c r="C27" i="54"/>
  <c r="E27" i="54" s="1"/>
  <c r="E27" i="33"/>
  <c r="C23" i="54"/>
  <c r="E23" i="54" s="1"/>
  <c r="E23" i="33"/>
  <c r="C19" i="54"/>
  <c r="E19" i="54" s="1"/>
  <c r="E19" i="33"/>
  <c r="C15" i="54"/>
  <c r="E15" i="54" s="1"/>
  <c r="E15" i="33"/>
  <c r="C11" i="54"/>
  <c r="E11" i="54" s="1"/>
  <c r="E11" i="33"/>
  <c r="C78" i="54"/>
  <c r="E78" i="54" s="1"/>
  <c r="E78" i="33"/>
  <c r="F78" i="33" s="1"/>
  <c r="C74" i="54"/>
  <c r="E74" i="54" s="1"/>
  <c r="E74" i="33"/>
  <c r="C68" i="54"/>
  <c r="E68" i="54" s="1"/>
  <c r="E68" i="33"/>
  <c r="C64" i="54"/>
  <c r="E64" i="54" s="1"/>
  <c r="E64" i="33"/>
  <c r="C54" i="54"/>
  <c r="E54" i="54" s="1"/>
  <c r="E54" i="33"/>
  <c r="C28" i="54"/>
  <c r="E28" i="54" s="1"/>
  <c r="E28" i="33"/>
  <c r="C24" i="54"/>
  <c r="E24" i="54" s="1"/>
  <c r="E24" i="33"/>
  <c r="C16" i="54"/>
  <c r="E16" i="54" s="1"/>
  <c r="E16" i="33"/>
  <c r="B41" i="52"/>
  <c r="C88" i="54"/>
  <c r="E88" i="54" s="1"/>
  <c r="E88" i="33"/>
  <c r="C72" i="54"/>
  <c r="E72" i="54" s="1"/>
  <c r="E72" i="33"/>
  <c r="C95" i="54"/>
  <c r="E95" i="54" s="1"/>
  <c r="E95" i="33"/>
  <c r="C93" i="54"/>
  <c r="E93" i="54" s="1"/>
  <c r="E93" i="33"/>
  <c r="C87" i="54"/>
  <c r="E87" i="54" s="1"/>
  <c r="E87" i="33"/>
  <c r="C79" i="54"/>
  <c r="E79" i="54" s="1"/>
  <c r="E79" i="33"/>
  <c r="C69" i="54"/>
  <c r="E69" i="54" s="1"/>
  <c r="E69" i="33"/>
  <c r="C65" i="54"/>
  <c r="E65" i="54" s="1"/>
  <c r="E65" i="33"/>
  <c r="C46" i="54"/>
  <c r="E46" i="54" s="1"/>
  <c r="E46" i="33"/>
  <c r="C25" i="54"/>
  <c r="E25" i="54" s="1"/>
  <c r="E25" i="33"/>
  <c r="C21" i="54"/>
  <c r="E21" i="54" s="1"/>
  <c r="E21" i="33"/>
  <c r="C13" i="54"/>
  <c r="E13" i="54" s="1"/>
  <c r="E13" i="33"/>
  <c r="C9" i="54"/>
  <c r="E9" i="54" s="1"/>
  <c r="E9" i="33"/>
  <c r="B96" i="52"/>
  <c r="F37" i="37"/>
  <c r="F58" i="37"/>
  <c r="C58" i="8"/>
  <c r="E58" i="8" s="1"/>
  <c r="G58" i="8"/>
  <c r="B58" i="8"/>
  <c r="B35" i="52"/>
  <c r="G42" i="52"/>
  <c r="C42" i="52"/>
  <c r="E42" i="52" s="1"/>
  <c r="G43" i="52"/>
  <c r="C40" i="54"/>
  <c r="C40" i="52"/>
  <c r="E40" i="52" s="1"/>
  <c r="G56" i="54"/>
  <c r="G56" i="53" s="1"/>
  <c r="G56" i="52"/>
  <c r="C43" i="54"/>
  <c r="C43" i="52"/>
  <c r="E43" i="52" s="1"/>
  <c r="G40" i="54"/>
  <c r="G40" i="53" s="1"/>
  <c r="G40" i="52"/>
  <c r="C56" i="54"/>
  <c r="C56" i="52"/>
  <c r="B56" i="54"/>
  <c r="B56" i="53" s="1"/>
  <c r="B56" i="52"/>
  <c r="B40" i="54"/>
  <c r="B40" i="53" s="1"/>
  <c r="B40" i="52"/>
  <c r="G39" i="54"/>
  <c r="G39" i="53" s="1"/>
  <c r="G39" i="52"/>
  <c r="G95" i="54"/>
  <c r="F95" i="54" s="1"/>
  <c r="B42" i="54"/>
  <c r="B42" i="53" s="1"/>
  <c r="B42" i="52"/>
  <c r="C39" i="54"/>
  <c r="E39" i="54" s="1"/>
  <c r="C39" i="52"/>
  <c r="E39" i="52" s="1"/>
  <c r="G41" i="52"/>
  <c r="B39" i="54"/>
  <c r="B39" i="53" s="1"/>
  <c r="B39" i="52"/>
  <c r="C41" i="54"/>
  <c r="C41" i="52"/>
  <c r="E41" i="52" s="1"/>
  <c r="B43" i="54"/>
  <c r="B43" i="53" s="1"/>
  <c r="B43" i="52"/>
  <c r="B41" i="54"/>
  <c r="B41" i="53" s="1"/>
  <c r="F87" i="61"/>
  <c r="F66" i="61"/>
  <c r="F95" i="61"/>
  <c r="F79" i="61"/>
  <c r="F42" i="33"/>
  <c r="F27" i="33"/>
  <c r="F11" i="33"/>
  <c r="F18" i="33"/>
  <c r="G81" i="33"/>
  <c r="G81" i="54" s="1"/>
  <c r="G81" i="53" s="1"/>
  <c r="F43" i="33"/>
  <c r="F16" i="33"/>
  <c r="G43" i="54"/>
  <c r="F28" i="33"/>
  <c r="G16" i="54"/>
  <c r="F16" i="54" s="1"/>
  <c r="F9" i="33"/>
  <c r="F21" i="33"/>
  <c r="F39" i="33"/>
  <c r="F20" i="33"/>
  <c r="C20" i="54"/>
  <c r="F54" i="33"/>
  <c r="F71" i="33"/>
  <c r="F56" i="33"/>
  <c r="F63" i="60"/>
  <c r="F80" i="8"/>
  <c r="F28" i="59"/>
  <c r="F24" i="59"/>
  <c r="F20" i="59"/>
  <c r="F12" i="59"/>
  <c r="F8" i="59"/>
  <c r="F15" i="60"/>
  <c r="F68" i="8"/>
  <c r="F64" i="8"/>
  <c r="F56" i="8"/>
  <c r="F46" i="8"/>
  <c r="F41" i="8"/>
  <c r="F35" i="8"/>
  <c r="F27" i="8"/>
  <c r="F23" i="8"/>
  <c r="F19" i="8"/>
  <c r="F15" i="8"/>
  <c r="F11" i="8"/>
  <c r="F79" i="8"/>
  <c r="F73" i="8"/>
  <c r="F69" i="8"/>
  <c r="F24" i="8"/>
  <c r="F12" i="8"/>
  <c r="F83" i="8"/>
  <c r="F74" i="8"/>
  <c r="F70" i="8"/>
  <c r="F65" i="8"/>
  <c r="F50" i="8"/>
  <c r="F42" i="8"/>
  <c r="F28" i="8"/>
  <c r="F16" i="8"/>
  <c r="F8" i="8"/>
  <c r="F94" i="8"/>
  <c r="F78" i="8"/>
  <c r="F72" i="8"/>
  <c r="F67" i="8"/>
  <c r="F63" i="8"/>
  <c r="F54" i="8"/>
  <c r="F44" i="8"/>
  <c r="F40" i="8"/>
  <c r="F33" i="8"/>
  <c r="F26" i="8"/>
  <c r="F22" i="8"/>
  <c r="F18" i="8"/>
  <c r="F14" i="8"/>
  <c r="C68" i="53"/>
  <c r="E68" i="53" s="1"/>
  <c r="C28" i="53"/>
  <c r="E28" i="53" s="1"/>
  <c r="F85" i="8"/>
  <c r="F81" i="8"/>
  <c r="F75" i="8"/>
  <c r="F66" i="8"/>
  <c r="F62" i="8"/>
  <c r="F52" i="8"/>
  <c r="F43" i="8"/>
  <c r="F39" i="8"/>
  <c r="F29" i="8"/>
  <c r="F25" i="8"/>
  <c r="F21" i="8"/>
  <c r="F17" i="8"/>
  <c r="F13" i="8"/>
  <c r="F66" i="59"/>
  <c r="F62" i="59"/>
  <c r="F84" i="8"/>
  <c r="F37" i="49"/>
  <c r="F58" i="49"/>
  <c r="F37" i="46"/>
  <c r="F58" i="46"/>
  <c r="F37" i="47"/>
  <c r="F58" i="47"/>
  <c r="F37" i="48"/>
  <c r="F58" i="48"/>
  <c r="F37" i="45"/>
  <c r="F58" i="45"/>
  <c r="F35" i="7"/>
  <c r="F23" i="7"/>
  <c r="F96" i="39"/>
  <c r="F75" i="39"/>
  <c r="F10" i="44"/>
  <c r="F10" i="43"/>
  <c r="F10" i="42"/>
  <c r="F70" i="42"/>
  <c r="F75" i="42"/>
  <c r="F93" i="7"/>
  <c r="F85" i="7"/>
  <c r="F75" i="38"/>
  <c r="F10" i="38"/>
  <c r="F96" i="38"/>
  <c r="F41" i="7"/>
  <c r="F10" i="40"/>
  <c r="F9" i="7"/>
  <c r="F96" i="40"/>
  <c r="F75" i="40"/>
  <c r="F96" i="41"/>
  <c r="F10" i="41"/>
  <c r="F70" i="7"/>
  <c r="B46" i="52"/>
  <c r="G9" i="53"/>
  <c r="F19" i="55"/>
  <c r="F43" i="7"/>
  <c r="F68" i="7"/>
  <c r="F56" i="7"/>
  <c r="F24" i="7"/>
  <c r="F8" i="7"/>
  <c r="F88" i="7"/>
  <c r="F80" i="7"/>
  <c r="F62" i="7"/>
  <c r="F23" i="55"/>
  <c r="F19" i="7"/>
  <c r="F15" i="7"/>
  <c r="F40" i="55"/>
  <c r="F90" i="7"/>
  <c r="F72" i="7"/>
  <c r="F67" i="7"/>
  <c r="F54" i="7"/>
  <c r="F29" i="7"/>
  <c r="F41" i="55"/>
  <c r="F35" i="55"/>
  <c r="C33" i="52"/>
  <c r="E33" i="52" s="1"/>
  <c r="F91" i="7"/>
  <c r="F83" i="7"/>
  <c r="F64" i="7"/>
  <c r="F46" i="7"/>
  <c r="F40" i="7"/>
  <c r="F33" i="7"/>
  <c r="F26" i="7"/>
  <c r="F18" i="7"/>
  <c r="F14" i="7"/>
  <c r="F10" i="7"/>
  <c r="F73" i="7"/>
  <c r="F65" i="7"/>
  <c r="F50" i="7"/>
  <c r="F13" i="7"/>
  <c r="F86" i="7"/>
  <c r="F82" i="7"/>
  <c r="F25" i="7"/>
  <c r="F21" i="7"/>
  <c r="F16" i="7"/>
  <c r="G93" i="53"/>
  <c r="F88" i="55"/>
  <c r="F85" i="55"/>
  <c r="F80" i="55"/>
  <c r="G50" i="53"/>
  <c r="G29" i="53"/>
  <c r="G18" i="53"/>
  <c r="F13" i="55"/>
  <c r="F92" i="7"/>
  <c r="F87" i="7"/>
  <c r="F81" i="7"/>
  <c r="F74" i="7"/>
  <c r="F69" i="7"/>
  <c r="F63" i="7"/>
  <c r="F52" i="7"/>
  <c r="F42" i="7"/>
  <c r="F20" i="7"/>
  <c r="F94" i="7"/>
  <c r="F27" i="7"/>
  <c r="F11" i="7"/>
  <c r="C87" i="53"/>
  <c r="E87" i="53" s="1"/>
  <c r="F27" i="55"/>
  <c r="F11" i="55"/>
  <c r="F78" i="7"/>
  <c r="B74" i="53"/>
  <c r="G82" i="53"/>
  <c r="F89" i="55"/>
  <c r="F81" i="55"/>
  <c r="F72" i="55"/>
  <c r="F67" i="55"/>
  <c r="F65" i="55"/>
  <c r="F95" i="7"/>
  <c r="F89" i="7"/>
  <c r="F84" i="7"/>
  <c r="F79" i="7"/>
  <c r="F71" i="7"/>
  <c r="F66" i="7"/>
  <c r="F44" i="7"/>
  <c r="F39" i="7"/>
  <c r="F28" i="7"/>
  <c r="F22" i="7"/>
  <c r="F17" i="7"/>
  <c r="F12" i="7"/>
  <c r="F94" i="55"/>
  <c r="F86" i="55"/>
  <c r="F90" i="8"/>
  <c r="F86" i="8"/>
  <c r="F67" i="60"/>
  <c r="F39" i="60"/>
  <c r="F89" i="8"/>
  <c r="F95" i="8"/>
  <c r="F91" i="8"/>
  <c r="F87" i="8"/>
  <c r="F93" i="8"/>
  <c r="F96" i="8"/>
  <c r="F92" i="8"/>
  <c r="F88" i="8"/>
  <c r="F82" i="8"/>
  <c r="F10" i="8"/>
  <c r="F9" i="8"/>
  <c r="F89" i="60"/>
  <c r="F84" i="60"/>
  <c r="F72" i="60"/>
  <c r="F43" i="60"/>
  <c r="F28" i="60"/>
  <c r="F16" i="60"/>
  <c r="F83" i="60"/>
  <c r="F78" i="60"/>
  <c r="F71" i="60"/>
  <c r="F66" i="60"/>
  <c r="F42" i="60"/>
  <c r="F35" i="60"/>
  <c r="F27" i="60"/>
  <c r="F23" i="60"/>
  <c r="F19" i="60"/>
  <c r="G68" i="53"/>
  <c r="G67" i="52"/>
  <c r="B13" i="53"/>
  <c r="G25" i="53"/>
  <c r="F35" i="33"/>
  <c r="F63" i="33"/>
  <c r="F72" i="33"/>
  <c r="C81" i="33"/>
  <c r="F50" i="33"/>
  <c r="G42" i="54"/>
  <c r="G42" i="53" s="1"/>
  <c r="C18" i="54"/>
  <c r="F79" i="33"/>
  <c r="F92" i="33"/>
  <c r="C63" i="54"/>
  <c r="G74" i="52"/>
  <c r="F73" i="33"/>
  <c r="B54" i="53"/>
  <c r="F78" i="61"/>
  <c r="F73" i="61"/>
  <c r="C23" i="53"/>
  <c r="E23" i="53" s="1"/>
  <c r="B27" i="53"/>
  <c r="F92" i="59"/>
  <c r="F68" i="59"/>
  <c r="F35" i="59"/>
  <c r="F86" i="61"/>
  <c r="C81" i="61"/>
  <c r="F62" i="61"/>
  <c r="F35" i="61"/>
  <c r="F27" i="61"/>
  <c r="F23" i="61"/>
  <c r="F19" i="61"/>
  <c r="F15" i="61"/>
  <c r="F11" i="61"/>
  <c r="C15" i="53"/>
  <c r="E15" i="53" s="1"/>
  <c r="F82" i="54"/>
  <c r="F44" i="55"/>
  <c r="F33" i="55"/>
  <c r="B70" i="53"/>
  <c r="G81" i="60"/>
  <c r="F66" i="55"/>
  <c r="C35" i="53"/>
  <c r="E35" i="53" s="1"/>
  <c r="B20" i="53"/>
  <c r="C46" i="53"/>
  <c r="E46" i="53" s="1"/>
  <c r="F68" i="55"/>
  <c r="F42" i="55"/>
  <c r="F79" i="59"/>
  <c r="F67" i="59"/>
  <c r="F52" i="59"/>
  <c r="F43" i="59"/>
  <c r="F39" i="59"/>
  <c r="F29" i="59"/>
  <c r="F22" i="60"/>
  <c r="F10" i="60"/>
  <c r="F88" i="61"/>
  <c r="C90" i="61"/>
  <c r="G85" i="61"/>
  <c r="F82" i="61"/>
  <c r="B37" i="61"/>
  <c r="B58" i="61" s="1"/>
  <c r="F29" i="61"/>
  <c r="F28" i="61"/>
  <c r="F25" i="61"/>
  <c r="F24" i="61"/>
  <c r="F21" i="61"/>
  <c r="F20" i="61"/>
  <c r="F17" i="61"/>
  <c r="F16" i="61"/>
  <c r="F13" i="61"/>
  <c r="F12" i="61"/>
  <c r="F9" i="61"/>
  <c r="F8" i="61"/>
  <c r="B28" i="53"/>
  <c r="F15" i="33"/>
  <c r="B82" i="53"/>
  <c r="G54" i="54"/>
  <c r="G54" i="53" s="1"/>
  <c r="C94" i="33"/>
  <c r="C90" i="33"/>
  <c r="F84" i="33"/>
  <c r="C91" i="52"/>
  <c r="E91" i="52" s="1"/>
  <c r="G82" i="52"/>
  <c r="C73" i="52"/>
  <c r="E73" i="52" s="1"/>
  <c r="C46" i="52"/>
  <c r="E46" i="52" s="1"/>
  <c r="B20" i="52"/>
  <c r="G18" i="52"/>
  <c r="B12" i="52"/>
  <c r="G44" i="33"/>
  <c r="G44" i="54" s="1"/>
  <c r="F89" i="33"/>
  <c r="B96" i="53"/>
  <c r="C71" i="54"/>
  <c r="F82" i="33"/>
  <c r="B73" i="52"/>
  <c r="G19" i="52"/>
  <c r="C18" i="52"/>
  <c r="E18" i="52" s="1"/>
  <c r="B17" i="52"/>
  <c r="G15" i="52"/>
  <c r="C14" i="52"/>
  <c r="E14" i="52" s="1"/>
  <c r="B13" i="52"/>
  <c r="B8" i="52"/>
  <c r="G90" i="33"/>
  <c r="G90" i="54" s="1"/>
  <c r="G90" i="53" s="1"/>
  <c r="G73" i="54"/>
  <c r="F73" i="54" s="1"/>
  <c r="C33" i="54"/>
  <c r="F69" i="33"/>
  <c r="F65" i="33"/>
  <c r="B46" i="54"/>
  <c r="B46" i="53" s="1"/>
  <c r="F41" i="33"/>
  <c r="F22" i="33"/>
  <c r="C68" i="52"/>
  <c r="E68" i="52" s="1"/>
  <c r="F52" i="33"/>
  <c r="B90" i="53"/>
  <c r="G21" i="54"/>
  <c r="G21" i="53" s="1"/>
  <c r="G93" i="52"/>
  <c r="C87" i="52"/>
  <c r="E87" i="52" s="1"/>
  <c r="B86" i="52"/>
  <c r="G78" i="52"/>
  <c r="C69" i="52"/>
  <c r="E69" i="52" s="1"/>
  <c r="C65" i="52"/>
  <c r="E65" i="52" s="1"/>
  <c r="B64" i="52"/>
  <c r="G52" i="52"/>
  <c r="G35" i="52"/>
  <c r="B29" i="52"/>
  <c r="G27" i="52"/>
  <c r="C26" i="52"/>
  <c r="E26" i="52" s="1"/>
  <c r="B25" i="52"/>
  <c r="G23" i="52"/>
  <c r="C22" i="52"/>
  <c r="E22" i="52" s="1"/>
  <c r="B89" i="52"/>
  <c r="B67" i="52"/>
  <c r="C64" i="52"/>
  <c r="E64" i="52" s="1"/>
  <c r="F64" i="54"/>
  <c r="F87" i="33"/>
  <c r="C92" i="54"/>
  <c r="G78" i="54"/>
  <c r="G78" i="53" s="1"/>
  <c r="G41" i="54"/>
  <c r="F86" i="33"/>
  <c r="F14" i="33"/>
  <c r="C86" i="54"/>
  <c r="C44" i="33"/>
  <c r="F23" i="33"/>
  <c r="F74" i="33"/>
  <c r="F93" i="33"/>
  <c r="G27" i="54"/>
  <c r="G27" i="53" s="1"/>
  <c r="F25" i="33"/>
  <c r="F64" i="33"/>
  <c r="B84" i="52"/>
  <c r="C64" i="53"/>
  <c r="E64" i="53" s="1"/>
  <c r="C84" i="54"/>
  <c r="F88" i="33"/>
  <c r="C93" i="52"/>
  <c r="E93" i="52" s="1"/>
  <c r="G89" i="52"/>
  <c r="C83" i="52"/>
  <c r="E83" i="52" s="1"/>
  <c r="C78" i="52"/>
  <c r="E78" i="52" s="1"/>
  <c r="B74" i="52"/>
  <c r="B69" i="52"/>
  <c r="C35" i="52"/>
  <c r="E35" i="52" s="1"/>
  <c r="C23" i="52"/>
  <c r="E23" i="52" s="1"/>
  <c r="C15" i="52"/>
  <c r="E15" i="52" s="1"/>
  <c r="G12" i="52"/>
  <c r="C11" i="52"/>
  <c r="E11" i="52" s="1"/>
  <c r="B9" i="52"/>
  <c r="G87" i="52"/>
  <c r="C86" i="52"/>
  <c r="E86" i="52" s="1"/>
  <c r="F40" i="33"/>
  <c r="C93" i="53"/>
  <c r="E93" i="53" s="1"/>
  <c r="B15" i="53"/>
  <c r="F68" i="33"/>
  <c r="G94" i="33"/>
  <c r="G69" i="54"/>
  <c r="F69" i="54" s="1"/>
  <c r="B37" i="33"/>
  <c r="C95" i="52"/>
  <c r="E95" i="52" s="1"/>
  <c r="B88" i="52"/>
  <c r="G86" i="52"/>
  <c r="C72" i="52"/>
  <c r="E72" i="52" s="1"/>
  <c r="G64" i="52"/>
  <c r="C63" i="52"/>
  <c r="E63" i="52" s="1"/>
  <c r="B62" i="52"/>
  <c r="C54" i="52"/>
  <c r="E54" i="52" s="1"/>
  <c r="C28" i="52"/>
  <c r="E28" i="52" s="1"/>
  <c r="G25" i="52"/>
  <c r="C24" i="52"/>
  <c r="E24" i="52" s="1"/>
  <c r="B23" i="52"/>
  <c r="G21" i="52"/>
  <c r="G17" i="52"/>
  <c r="B11" i="52"/>
  <c r="F89" i="54"/>
  <c r="F74" i="54"/>
  <c r="C19" i="53"/>
  <c r="E19" i="53" s="1"/>
  <c r="F46" i="54"/>
  <c r="F95" i="11"/>
  <c r="F54" i="11"/>
  <c r="F24" i="11"/>
  <c r="F20" i="11"/>
  <c r="B91" i="53"/>
  <c r="F72" i="54"/>
  <c r="B94" i="53"/>
  <c r="B78" i="53"/>
  <c r="B19" i="53"/>
  <c r="C14" i="53"/>
  <c r="E14" i="53" s="1"/>
  <c r="F28" i="54"/>
  <c r="F88" i="54"/>
  <c r="G66" i="53"/>
  <c r="F15" i="54"/>
  <c r="F93" i="54"/>
  <c r="F68" i="54"/>
  <c r="B8" i="53"/>
  <c r="G52" i="53"/>
  <c r="G64" i="53"/>
  <c r="G19" i="53"/>
  <c r="B66" i="53"/>
  <c r="B64" i="53"/>
  <c r="G89" i="53"/>
  <c r="C11" i="53"/>
  <c r="E11" i="53" s="1"/>
  <c r="F54" i="55"/>
  <c r="B80" i="53"/>
  <c r="B25" i="53"/>
  <c r="F10" i="54"/>
  <c r="G15" i="53"/>
  <c r="F22" i="54"/>
  <c r="B63" i="53"/>
  <c r="B95" i="52"/>
  <c r="F87" i="54"/>
  <c r="B90" i="60"/>
  <c r="B85" i="60"/>
  <c r="F80" i="60"/>
  <c r="F54" i="60"/>
  <c r="F44" i="60"/>
  <c r="F40" i="60"/>
  <c r="F29" i="60"/>
  <c r="F21" i="60"/>
  <c r="F17" i="60"/>
  <c r="F13" i="60"/>
  <c r="C37" i="60"/>
  <c r="B37" i="60"/>
  <c r="F27" i="11"/>
  <c r="F52" i="60"/>
  <c r="F24" i="60"/>
  <c r="F20" i="60"/>
  <c r="F11" i="60"/>
  <c r="F65" i="11"/>
  <c r="F41" i="11"/>
  <c r="F33" i="11"/>
  <c r="F26" i="11"/>
  <c r="F9" i="11"/>
  <c r="F9" i="60"/>
  <c r="F80" i="11"/>
  <c r="F79" i="11"/>
  <c r="F73" i="11"/>
  <c r="F68" i="11"/>
  <c r="F67" i="11"/>
  <c r="G70" i="60"/>
  <c r="G75" i="60" s="1"/>
  <c r="B50" i="52"/>
  <c r="B94" i="52"/>
  <c r="F88" i="11"/>
  <c r="F82" i="11"/>
  <c r="F78" i="11"/>
  <c r="F71" i="11"/>
  <c r="F66" i="11"/>
  <c r="G88" i="52"/>
  <c r="G94" i="60"/>
  <c r="C94" i="60"/>
  <c r="G90" i="60"/>
  <c r="C90" i="60"/>
  <c r="B81" i="60"/>
  <c r="F74" i="60"/>
  <c r="C70" i="60"/>
  <c r="C75" i="60" s="1"/>
  <c r="F56" i="60"/>
  <c r="B80" i="52"/>
  <c r="F84" i="11"/>
  <c r="B91" i="52"/>
  <c r="G33" i="52"/>
  <c r="G22" i="52"/>
  <c r="F92" i="11"/>
  <c r="F87" i="11"/>
  <c r="F69" i="11"/>
  <c r="F64" i="11"/>
  <c r="F56" i="11"/>
  <c r="F46" i="11"/>
  <c r="G85" i="60"/>
  <c r="F88" i="60"/>
  <c r="F93" i="60"/>
  <c r="F87" i="60"/>
  <c r="F95" i="60"/>
  <c r="F62" i="60"/>
  <c r="B78" i="52"/>
  <c r="C27" i="52"/>
  <c r="E27" i="52" s="1"/>
  <c r="F93" i="11"/>
  <c r="F74" i="11"/>
  <c r="F16" i="11"/>
  <c r="B94" i="60"/>
  <c r="F29" i="11"/>
  <c r="F91" i="60"/>
  <c r="F69" i="60"/>
  <c r="F65" i="60"/>
  <c r="F8" i="60"/>
  <c r="C84" i="52"/>
  <c r="E84" i="52" s="1"/>
  <c r="F86" i="11"/>
  <c r="F72" i="11"/>
  <c r="F50" i="11"/>
  <c r="F42" i="11"/>
  <c r="F19" i="11"/>
  <c r="F11" i="11"/>
  <c r="G84" i="52"/>
  <c r="C71" i="52"/>
  <c r="E71" i="52" s="1"/>
  <c r="B54" i="52"/>
  <c r="B10" i="53"/>
  <c r="C10" i="52"/>
  <c r="E10" i="52" s="1"/>
  <c r="B84" i="53"/>
  <c r="B65" i="52"/>
  <c r="G63" i="52"/>
  <c r="F12" i="11"/>
  <c r="C78" i="53"/>
  <c r="E78" i="53" s="1"/>
  <c r="G68" i="52"/>
  <c r="F35" i="11"/>
  <c r="C89" i="52"/>
  <c r="E89" i="52" s="1"/>
  <c r="G73" i="52"/>
  <c r="C83" i="53"/>
  <c r="E83" i="53" s="1"/>
  <c r="B23" i="53"/>
  <c r="C16" i="53"/>
  <c r="E16" i="53" s="1"/>
  <c r="B82" i="52"/>
  <c r="G71" i="52"/>
  <c r="B66" i="52"/>
  <c r="B85" i="52"/>
  <c r="B81" i="52"/>
  <c r="F23" i="11"/>
  <c r="F15" i="11"/>
  <c r="B89" i="53"/>
  <c r="C13" i="52"/>
  <c r="E13" i="52" s="1"/>
  <c r="G92" i="52"/>
  <c r="C8" i="52"/>
  <c r="E8" i="52" s="1"/>
  <c r="F63" i="11"/>
  <c r="F52" i="54"/>
  <c r="G80" i="52"/>
  <c r="G9" i="52"/>
  <c r="C82" i="52"/>
  <c r="E82" i="52" s="1"/>
  <c r="G74" i="53"/>
  <c r="C27" i="53"/>
  <c r="E27" i="53" s="1"/>
  <c r="G22" i="53"/>
  <c r="C50" i="52"/>
  <c r="E50" i="52" s="1"/>
  <c r="F91" i="11"/>
  <c r="B90" i="52"/>
  <c r="F43" i="11"/>
  <c r="F8" i="11"/>
  <c r="C92" i="52"/>
  <c r="E92" i="52" s="1"/>
  <c r="C74" i="52"/>
  <c r="E74" i="52" s="1"/>
  <c r="B18" i="53"/>
  <c r="C9" i="52"/>
  <c r="E9" i="52" s="1"/>
  <c r="C88" i="52"/>
  <c r="E88" i="52" s="1"/>
  <c r="B63" i="52"/>
  <c r="B33" i="52"/>
  <c r="B14" i="53"/>
  <c r="F83" i="61"/>
  <c r="B94" i="61"/>
  <c r="F89" i="61"/>
  <c r="F69" i="61"/>
  <c r="F56" i="61"/>
  <c r="F46" i="61"/>
  <c r="F41" i="61"/>
  <c r="C85" i="61"/>
  <c r="F92" i="61"/>
  <c r="F91" i="61"/>
  <c r="F72" i="61"/>
  <c r="F67" i="61"/>
  <c r="F52" i="61"/>
  <c r="F43" i="61"/>
  <c r="F42" i="61"/>
  <c r="F39" i="61"/>
  <c r="C94" i="61"/>
  <c r="F93" i="61"/>
  <c r="F80" i="61"/>
  <c r="B81" i="61"/>
  <c r="F71" i="61"/>
  <c r="F65" i="61"/>
  <c r="F54" i="61"/>
  <c r="F33" i="61"/>
  <c r="F26" i="61"/>
  <c r="F22" i="61"/>
  <c r="F18" i="61"/>
  <c r="F14" i="61"/>
  <c r="F10" i="61"/>
  <c r="C70" i="61"/>
  <c r="C75" i="61" s="1"/>
  <c r="B90" i="61"/>
  <c r="F63" i="61"/>
  <c r="C37" i="61"/>
  <c r="C58" i="61" s="1"/>
  <c r="G94" i="61"/>
  <c r="F84" i="61"/>
  <c r="B85" i="61"/>
  <c r="G81" i="61"/>
  <c r="F74" i="61"/>
  <c r="F68" i="61"/>
  <c r="B70" i="61"/>
  <c r="F64" i="61"/>
  <c r="F50" i="61"/>
  <c r="F44" i="61"/>
  <c r="F40" i="61"/>
  <c r="F86" i="59"/>
  <c r="F50" i="59"/>
  <c r="G90" i="61"/>
  <c r="G37" i="61"/>
  <c r="G58" i="61" s="1"/>
  <c r="G70" i="61"/>
  <c r="F95" i="59"/>
  <c r="F83" i="59"/>
  <c r="F74" i="59"/>
  <c r="F10" i="59"/>
  <c r="B22" i="52"/>
  <c r="C66" i="52"/>
  <c r="E66" i="52" s="1"/>
  <c r="F71" i="55"/>
  <c r="F52" i="55"/>
  <c r="C73" i="53"/>
  <c r="E73" i="53" s="1"/>
  <c r="B71" i="53"/>
  <c r="F93" i="59"/>
  <c r="F80" i="59"/>
  <c r="F46" i="59"/>
  <c r="F42" i="59"/>
  <c r="F41" i="59"/>
  <c r="F27" i="59"/>
  <c r="F23" i="59"/>
  <c r="F22" i="59"/>
  <c r="F15" i="59"/>
  <c r="C52" i="52"/>
  <c r="E52" i="52" s="1"/>
  <c r="C21" i="52"/>
  <c r="E21" i="52" s="1"/>
  <c r="G8" i="52"/>
  <c r="B14" i="52"/>
  <c r="G65" i="52"/>
  <c r="C88" i="53"/>
  <c r="E88" i="53" s="1"/>
  <c r="B22" i="53"/>
  <c r="B71" i="52"/>
  <c r="G20" i="52"/>
  <c r="F95" i="55"/>
  <c r="F91" i="55"/>
  <c r="F87" i="55"/>
  <c r="F83" i="55"/>
  <c r="F79" i="55"/>
  <c r="F63" i="55"/>
  <c r="F39" i="55"/>
  <c r="B33" i="53"/>
  <c r="G28" i="53"/>
  <c r="F24" i="55"/>
  <c r="G20" i="53"/>
  <c r="F16" i="55"/>
  <c r="C80" i="52"/>
  <c r="E80" i="52" s="1"/>
  <c r="G28" i="52"/>
  <c r="G16" i="52"/>
  <c r="G69" i="52"/>
  <c r="G83" i="52"/>
  <c r="G50" i="52"/>
  <c r="F69" i="55"/>
  <c r="F46" i="55"/>
  <c r="F17" i="55"/>
  <c r="F84" i="59"/>
  <c r="F69" i="59"/>
  <c r="F65" i="59"/>
  <c r="F44" i="59"/>
  <c r="F40" i="59"/>
  <c r="F21" i="59"/>
  <c r="F16" i="59"/>
  <c r="F13" i="59"/>
  <c r="F9" i="59"/>
  <c r="C62" i="52"/>
  <c r="E62" i="52" s="1"/>
  <c r="B18" i="52"/>
  <c r="F92" i="60"/>
  <c r="F71" i="8"/>
  <c r="B86" i="53"/>
  <c r="F88" i="59"/>
  <c r="C91" i="53"/>
  <c r="E91" i="53" s="1"/>
  <c r="G72" i="52"/>
  <c r="B35" i="53"/>
  <c r="F90" i="55"/>
  <c r="F37" i="8"/>
  <c r="F20" i="8"/>
  <c r="F92" i="55"/>
  <c r="F25" i="60"/>
  <c r="F62" i="55"/>
  <c r="B9" i="53"/>
  <c r="F73" i="59"/>
  <c r="F72" i="59"/>
  <c r="F33" i="59"/>
  <c r="F25" i="59"/>
  <c r="F19" i="59"/>
  <c r="F18" i="59"/>
  <c r="F73" i="60"/>
  <c r="F64" i="60"/>
  <c r="F12" i="60"/>
  <c r="G29" i="52"/>
  <c r="B27" i="52"/>
  <c r="F19" i="54"/>
  <c r="B68" i="52"/>
  <c r="F82" i="55"/>
  <c r="F25" i="55"/>
  <c r="C85" i="60"/>
  <c r="C20" i="52"/>
  <c r="E20" i="52" s="1"/>
  <c r="B19" i="52"/>
  <c r="C16" i="52"/>
  <c r="E16" i="52" s="1"/>
  <c r="F84" i="55"/>
  <c r="F78" i="55"/>
  <c r="F64" i="55"/>
  <c r="F56" i="55"/>
  <c r="F43" i="55"/>
  <c r="F21" i="55"/>
  <c r="F15" i="55"/>
  <c r="F89" i="59"/>
  <c r="F71" i="59"/>
  <c r="F17" i="59"/>
  <c r="F11" i="59"/>
  <c r="F79" i="60"/>
  <c r="C81" i="60"/>
  <c r="B70" i="60"/>
  <c r="B75" i="60" s="1"/>
  <c r="F46" i="60"/>
  <c r="F41" i="60"/>
  <c r="G37" i="60"/>
  <c r="F26" i="60"/>
  <c r="F18" i="60"/>
  <c r="F14" i="60"/>
  <c r="B92" i="52"/>
  <c r="C95" i="53"/>
  <c r="E95" i="53" s="1"/>
  <c r="F9" i="54"/>
  <c r="B29" i="53"/>
  <c r="G71" i="53"/>
  <c r="F33" i="60"/>
  <c r="G66" i="52"/>
  <c r="F22" i="55"/>
  <c r="F14" i="55"/>
  <c r="G86" i="53"/>
  <c r="C80" i="53"/>
  <c r="E80" i="53" s="1"/>
  <c r="F82" i="60"/>
  <c r="F68" i="60"/>
  <c r="F50" i="60"/>
  <c r="F83" i="11"/>
  <c r="F26" i="55"/>
  <c r="C26" i="53"/>
  <c r="E26" i="53" s="1"/>
  <c r="F23" i="54"/>
  <c r="G84" i="53"/>
  <c r="F86" i="60"/>
  <c r="B69" i="53"/>
  <c r="F10" i="55"/>
  <c r="B75" i="53"/>
  <c r="C72" i="53"/>
  <c r="E72" i="53" s="1"/>
  <c r="B50" i="53"/>
  <c r="C24" i="53"/>
  <c r="E24" i="53" s="1"/>
  <c r="C22" i="53"/>
  <c r="E22" i="53" s="1"/>
  <c r="B11" i="53"/>
  <c r="B67" i="53"/>
  <c r="B28" i="52"/>
  <c r="C25" i="52"/>
  <c r="E25" i="52" s="1"/>
  <c r="B24" i="53"/>
  <c r="B15" i="52"/>
  <c r="C10" i="53"/>
  <c r="E10" i="53" s="1"/>
  <c r="F52" i="11"/>
  <c r="F17" i="11"/>
  <c r="F13" i="11"/>
  <c r="B95" i="53"/>
  <c r="G92" i="53"/>
  <c r="B88" i="53"/>
  <c r="C82" i="53"/>
  <c r="E82" i="53" s="1"/>
  <c r="C65" i="53"/>
  <c r="E65" i="53" s="1"/>
  <c r="G63" i="53"/>
  <c r="C52" i="53"/>
  <c r="E52" i="53" s="1"/>
  <c r="G46" i="53"/>
  <c r="G17" i="53"/>
  <c r="C13" i="53"/>
  <c r="E13" i="53" s="1"/>
  <c r="C79" i="53"/>
  <c r="E79" i="53" s="1"/>
  <c r="B68" i="53"/>
  <c r="G54" i="52"/>
  <c r="B16" i="53"/>
  <c r="F89" i="11"/>
  <c r="F39" i="11"/>
  <c r="F28" i="11"/>
  <c r="F21" i="11"/>
  <c r="F18" i="11"/>
  <c r="F14" i="11"/>
  <c r="B92" i="53"/>
  <c r="C89" i="53"/>
  <c r="E89" i="53" s="1"/>
  <c r="C69" i="53"/>
  <c r="E69" i="53" s="1"/>
  <c r="B65" i="53"/>
  <c r="B62" i="53"/>
  <c r="G33" i="53"/>
  <c r="C25" i="53"/>
  <c r="E25" i="53" s="1"/>
  <c r="B17" i="53"/>
  <c r="C79" i="52"/>
  <c r="E79" i="52" s="1"/>
  <c r="B73" i="53"/>
  <c r="B12" i="53"/>
  <c r="F62" i="11"/>
  <c r="F40" i="11"/>
  <c r="F25" i="11"/>
  <c r="F22" i="11"/>
  <c r="F54" i="59"/>
  <c r="C50" i="53"/>
  <c r="E50" i="53" s="1"/>
  <c r="F50" i="54"/>
  <c r="F82" i="59"/>
  <c r="F78" i="59"/>
  <c r="E81" i="59"/>
  <c r="B93" i="52"/>
  <c r="B93" i="54"/>
  <c r="B93" i="53" s="1"/>
  <c r="G91" i="54"/>
  <c r="F91" i="33"/>
  <c r="G91" i="52"/>
  <c r="B87" i="52"/>
  <c r="B87" i="54"/>
  <c r="B87" i="53" s="1"/>
  <c r="B85" i="54"/>
  <c r="B85" i="53" s="1"/>
  <c r="G83" i="54"/>
  <c r="G85" i="33"/>
  <c r="F83" i="33"/>
  <c r="B72" i="52"/>
  <c r="B72" i="54"/>
  <c r="B72" i="53" s="1"/>
  <c r="C66" i="54"/>
  <c r="E66" i="54" s="1"/>
  <c r="F66" i="33"/>
  <c r="G62" i="52"/>
  <c r="G70" i="33"/>
  <c r="G75" i="33" s="1"/>
  <c r="G75" i="52" s="1"/>
  <c r="G62" i="54"/>
  <c r="F62" i="33"/>
  <c r="C54" i="53"/>
  <c r="E54" i="53" s="1"/>
  <c r="B52" i="52"/>
  <c r="B52" i="54"/>
  <c r="B52" i="53" s="1"/>
  <c r="F46" i="33"/>
  <c r="G46" i="52"/>
  <c r="C42" i="54"/>
  <c r="B44" i="33"/>
  <c r="B44" i="54" s="1"/>
  <c r="F64" i="59"/>
  <c r="E58" i="59"/>
  <c r="F56" i="59"/>
  <c r="G95" i="52"/>
  <c r="F95" i="33"/>
  <c r="B79" i="52"/>
  <c r="B79" i="54"/>
  <c r="B79" i="53" s="1"/>
  <c r="C67" i="54"/>
  <c r="E67" i="54" s="1"/>
  <c r="F67" i="33"/>
  <c r="C67" i="52"/>
  <c r="E67" i="52" s="1"/>
  <c r="F63" i="59"/>
  <c r="F65" i="54"/>
  <c r="F80" i="54"/>
  <c r="B83" i="52"/>
  <c r="B83" i="54"/>
  <c r="B83" i="53" s="1"/>
  <c r="B81" i="54"/>
  <c r="B81" i="53" s="1"/>
  <c r="G79" i="52"/>
  <c r="G79" i="54"/>
  <c r="F91" i="59"/>
  <c r="F87" i="59"/>
  <c r="C62" i="54"/>
  <c r="C85" i="33"/>
  <c r="E85" i="33" s="1"/>
  <c r="C70" i="33"/>
  <c r="E70" i="33" s="1"/>
  <c r="G37" i="54"/>
  <c r="F35" i="54"/>
  <c r="F33" i="33"/>
  <c r="F10" i="33"/>
  <c r="G10" i="53"/>
  <c r="G37" i="33"/>
  <c r="G14" i="53"/>
  <c r="F14" i="54"/>
  <c r="C21" i="53"/>
  <c r="E21" i="53" s="1"/>
  <c r="B26" i="54"/>
  <c r="B26" i="53" s="1"/>
  <c r="B26" i="52"/>
  <c r="G24" i="52"/>
  <c r="F24" i="33"/>
  <c r="B21" i="54"/>
  <c r="B21" i="53" s="1"/>
  <c r="B21" i="52"/>
  <c r="C17" i="52"/>
  <c r="E17" i="52" s="1"/>
  <c r="C17" i="54"/>
  <c r="E17" i="54" s="1"/>
  <c r="G13" i="52"/>
  <c r="G13" i="54"/>
  <c r="C12" i="54"/>
  <c r="E12" i="54" s="1"/>
  <c r="C12" i="52"/>
  <c r="E12" i="52" s="1"/>
  <c r="F12" i="33"/>
  <c r="F25" i="54"/>
  <c r="G14" i="52"/>
  <c r="B16" i="52"/>
  <c r="B24" i="52"/>
  <c r="C19" i="52"/>
  <c r="E19" i="52" s="1"/>
  <c r="F26" i="59"/>
  <c r="F19" i="33"/>
  <c r="G24" i="54"/>
  <c r="F13" i="33"/>
  <c r="C29" i="52"/>
  <c r="E29" i="52" s="1"/>
  <c r="F29" i="33"/>
  <c r="C29" i="54"/>
  <c r="E29" i="54" s="1"/>
  <c r="G26" i="52"/>
  <c r="G26" i="54"/>
  <c r="F26" i="33"/>
  <c r="F14" i="59"/>
  <c r="F17" i="33"/>
  <c r="G11" i="52"/>
  <c r="G11" i="54"/>
  <c r="B37" i="54"/>
  <c r="C37" i="33"/>
  <c r="E37" i="33" s="1"/>
  <c r="C8" i="54"/>
  <c r="E8" i="54" s="1"/>
  <c r="E75" i="59" l="1"/>
  <c r="E70" i="59"/>
  <c r="C96" i="33"/>
  <c r="E96" i="33" s="1"/>
  <c r="E56" i="52"/>
  <c r="G96" i="33"/>
  <c r="G96" i="52" s="1"/>
  <c r="C44" i="54"/>
  <c r="E44" i="33"/>
  <c r="C90" i="54"/>
  <c r="E90" i="33"/>
  <c r="C94" i="54"/>
  <c r="E94" i="33"/>
  <c r="C81" i="54"/>
  <c r="C81" i="53" s="1"/>
  <c r="E81" i="53" s="1"/>
  <c r="F81" i="53" s="1"/>
  <c r="E81" i="33"/>
  <c r="F81" i="33" s="1"/>
  <c r="C84" i="53"/>
  <c r="E84" i="53" s="1"/>
  <c r="E84" i="54"/>
  <c r="F84" i="54" s="1"/>
  <c r="C44" i="53"/>
  <c r="E44" i="53" s="1"/>
  <c r="E44" i="54"/>
  <c r="F44" i="54" s="1"/>
  <c r="C71" i="53"/>
  <c r="E71" i="53" s="1"/>
  <c r="E71" i="54"/>
  <c r="C43" i="53"/>
  <c r="E43" i="53" s="1"/>
  <c r="E43" i="54"/>
  <c r="F43" i="54" s="1"/>
  <c r="C42" i="53"/>
  <c r="E42" i="53" s="1"/>
  <c r="E42" i="54"/>
  <c r="F42" i="54" s="1"/>
  <c r="E86" i="54"/>
  <c r="F86" i="54" s="1"/>
  <c r="C62" i="53"/>
  <c r="E62" i="53" s="1"/>
  <c r="E62" i="54"/>
  <c r="C90" i="53"/>
  <c r="E90" i="53" s="1"/>
  <c r="F90" i="53" s="1"/>
  <c r="E90" i="54"/>
  <c r="F90" i="54" s="1"/>
  <c r="C63" i="53"/>
  <c r="E63" i="53" s="1"/>
  <c r="F63" i="53" s="1"/>
  <c r="E63" i="54"/>
  <c r="F63" i="54" s="1"/>
  <c r="C41" i="53"/>
  <c r="E41" i="53" s="1"/>
  <c r="E41" i="54"/>
  <c r="C56" i="53"/>
  <c r="E56" i="53" s="1"/>
  <c r="E56" i="54"/>
  <c r="F56" i="54" s="1"/>
  <c r="C40" i="53"/>
  <c r="E40" i="53" s="1"/>
  <c r="F40" i="53" s="1"/>
  <c r="E40" i="54"/>
  <c r="F40" i="54" s="1"/>
  <c r="C92" i="53"/>
  <c r="E92" i="53" s="1"/>
  <c r="E92" i="54"/>
  <c r="C94" i="53"/>
  <c r="E94" i="53" s="1"/>
  <c r="E94" i="54"/>
  <c r="E18" i="54"/>
  <c r="F18" i="54" s="1"/>
  <c r="E33" i="54"/>
  <c r="F33" i="54" s="1"/>
  <c r="E20" i="54"/>
  <c r="F20" i="54" s="1"/>
  <c r="F58" i="8"/>
  <c r="F52" i="52"/>
  <c r="B58" i="33"/>
  <c r="E58" i="33"/>
  <c r="G58" i="33"/>
  <c r="G58" i="54" s="1"/>
  <c r="F39" i="54"/>
  <c r="C39" i="53"/>
  <c r="G96" i="54"/>
  <c r="F81" i="61"/>
  <c r="G43" i="53"/>
  <c r="F43" i="53" s="1"/>
  <c r="F54" i="54"/>
  <c r="G94" i="52"/>
  <c r="C33" i="53"/>
  <c r="C20" i="53"/>
  <c r="C81" i="52"/>
  <c r="E81" i="52" s="1"/>
  <c r="C90" i="52"/>
  <c r="E90" i="52" s="1"/>
  <c r="F81" i="60"/>
  <c r="C18" i="53"/>
  <c r="F28" i="53"/>
  <c r="F68" i="53"/>
  <c r="F37" i="44"/>
  <c r="F58" i="44"/>
  <c r="F96" i="55"/>
  <c r="G41" i="53"/>
  <c r="F37" i="43"/>
  <c r="F58" i="43"/>
  <c r="G67" i="53"/>
  <c r="F37" i="42"/>
  <c r="F58" i="42"/>
  <c r="F9" i="55"/>
  <c r="G88" i="53"/>
  <c r="F88" i="53" s="1"/>
  <c r="F96" i="7"/>
  <c r="F37" i="38"/>
  <c r="F58" i="38"/>
  <c r="F37" i="40"/>
  <c r="F58" i="40"/>
  <c r="G80" i="53"/>
  <c r="F80" i="53" s="1"/>
  <c r="F33" i="52"/>
  <c r="F37" i="41"/>
  <c r="F58" i="41"/>
  <c r="F70" i="55"/>
  <c r="F75" i="41"/>
  <c r="G23" i="53"/>
  <c r="F23" i="53" s="1"/>
  <c r="G65" i="53"/>
  <c r="F65" i="53" s="1"/>
  <c r="F82" i="53"/>
  <c r="F18" i="55"/>
  <c r="F15" i="53"/>
  <c r="G69" i="53"/>
  <c r="F69" i="53" s="1"/>
  <c r="F94" i="59"/>
  <c r="G35" i="53"/>
  <c r="F35" i="53" s="1"/>
  <c r="F50" i="55"/>
  <c r="F85" i="59"/>
  <c r="F29" i="55"/>
  <c r="F93" i="55"/>
  <c r="F93" i="53"/>
  <c r="C9" i="53"/>
  <c r="G87" i="53"/>
  <c r="F87" i="53" s="1"/>
  <c r="G72" i="53"/>
  <c r="F72" i="53" s="1"/>
  <c r="F67" i="52"/>
  <c r="F75" i="60"/>
  <c r="F74" i="52"/>
  <c r="F90" i="60"/>
  <c r="F25" i="53"/>
  <c r="G95" i="53"/>
  <c r="F95" i="53" s="1"/>
  <c r="F68" i="52"/>
  <c r="F40" i="52"/>
  <c r="B10" i="52"/>
  <c r="B37" i="52" s="1"/>
  <c r="G73" i="53"/>
  <c r="F73" i="53" s="1"/>
  <c r="F12" i="52"/>
  <c r="F43" i="52"/>
  <c r="F21" i="52"/>
  <c r="F83" i="52"/>
  <c r="F73" i="52"/>
  <c r="F14" i="52"/>
  <c r="F19" i="52"/>
  <c r="F72" i="52"/>
  <c r="F28" i="52"/>
  <c r="F64" i="52"/>
  <c r="F78" i="52"/>
  <c r="F23" i="52"/>
  <c r="F18" i="52"/>
  <c r="F71" i="54"/>
  <c r="F95" i="52"/>
  <c r="F46" i="53"/>
  <c r="F11" i="52"/>
  <c r="F17" i="52"/>
  <c r="F54" i="52"/>
  <c r="F56" i="52"/>
  <c r="F25" i="52"/>
  <c r="C96" i="61"/>
  <c r="F26" i="52"/>
  <c r="F46" i="52"/>
  <c r="F91" i="52"/>
  <c r="F65" i="52"/>
  <c r="F86" i="52"/>
  <c r="F87" i="52"/>
  <c r="F21" i="54"/>
  <c r="F73" i="55"/>
  <c r="F85" i="61"/>
  <c r="F78" i="54"/>
  <c r="F92" i="54"/>
  <c r="F28" i="55"/>
  <c r="G96" i="60"/>
  <c r="F81" i="59"/>
  <c r="F90" i="59"/>
  <c r="F82" i="52"/>
  <c r="C94" i="52"/>
  <c r="E94" i="52" s="1"/>
  <c r="F35" i="52"/>
  <c r="F90" i="33"/>
  <c r="F41" i="54"/>
  <c r="F94" i="33"/>
  <c r="G94" i="54"/>
  <c r="G94" i="53" s="1"/>
  <c r="F93" i="52"/>
  <c r="F24" i="52"/>
  <c r="C86" i="53"/>
  <c r="F63" i="52"/>
  <c r="F15" i="52"/>
  <c r="B44" i="52"/>
  <c r="F69" i="52"/>
  <c r="F41" i="52"/>
  <c r="F27" i="54"/>
  <c r="F27" i="52"/>
  <c r="F14" i="53"/>
  <c r="F52" i="53"/>
  <c r="G44" i="53"/>
  <c r="F44" i="53" s="1"/>
  <c r="F78" i="53"/>
  <c r="F89" i="52"/>
  <c r="F22" i="52"/>
  <c r="F64" i="53"/>
  <c r="F44" i="33"/>
  <c r="B37" i="53"/>
  <c r="F88" i="52"/>
  <c r="F56" i="53"/>
  <c r="F19" i="53"/>
  <c r="F50" i="53"/>
  <c r="F27" i="53"/>
  <c r="F89" i="53"/>
  <c r="F92" i="53"/>
  <c r="F44" i="11"/>
  <c r="G16" i="53"/>
  <c r="F16" i="53" s="1"/>
  <c r="F20" i="55"/>
  <c r="F9" i="52"/>
  <c r="F84" i="52"/>
  <c r="F94" i="60"/>
  <c r="F37" i="60"/>
  <c r="F10" i="11"/>
  <c r="F20" i="52"/>
  <c r="F39" i="52"/>
  <c r="B96" i="60"/>
  <c r="F70" i="60"/>
  <c r="F85" i="60"/>
  <c r="F92" i="52"/>
  <c r="F71" i="52"/>
  <c r="F80" i="52"/>
  <c r="F13" i="52"/>
  <c r="F50" i="52"/>
  <c r="G44" i="52"/>
  <c r="F29" i="52"/>
  <c r="F84" i="53"/>
  <c r="F22" i="53"/>
  <c r="F85" i="11"/>
  <c r="F71" i="53"/>
  <c r="C37" i="52"/>
  <c r="E37" i="52" s="1"/>
  <c r="F16" i="52"/>
  <c r="F54" i="53"/>
  <c r="F62" i="52"/>
  <c r="F8" i="52"/>
  <c r="G81" i="52"/>
  <c r="F81" i="11"/>
  <c r="B70" i="52"/>
  <c r="F37" i="61"/>
  <c r="F94" i="61"/>
  <c r="G96" i="61"/>
  <c r="F90" i="61"/>
  <c r="G75" i="61"/>
  <c r="F75" i="61" s="1"/>
  <c r="F70" i="61"/>
  <c r="F58" i="61"/>
  <c r="F79" i="52"/>
  <c r="F8" i="55"/>
  <c r="G8" i="53"/>
  <c r="E96" i="59"/>
  <c r="F66" i="52"/>
  <c r="G12" i="53"/>
  <c r="F12" i="55"/>
  <c r="F74" i="55"/>
  <c r="C74" i="53"/>
  <c r="G58" i="60"/>
  <c r="F58" i="60" s="1"/>
  <c r="B44" i="53"/>
  <c r="C96" i="60"/>
  <c r="F21" i="53"/>
  <c r="F94" i="11"/>
  <c r="F10" i="53"/>
  <c r="F75" i="11"/>
  <c r="F70" i="11"/>
  <c r="G10" i="52"/>
  <c r="F90" i="11"/>
  <c r="G90" i="52"/>
  <c r="C85" i="54"/>
  <c r="C85" i="52"/>
  <c r="E85" i="52" s="1"/>
  <c r="F75" i="59"/>
  <c r="F70" i="59"/>
  <c r="C67" i="53"/>
  <c r="E67" i="53" s="1"/>
  <c r="F67" i="54"/>
  <c r="F42" i="52"/>
  <c r="C44" i="52"/>
  <c r="E44" i="52" s="1"/>
  <c r="G62" i="53"/>
  <c r="F62" i="54"/>
  <c r="C66" i="53"/>
  <c r="F66" i="54"/>
  <c r="G85" i="54"/>
  <c r="G85" i="52"/>
  <c r="F85" i="33"/>
  <c r="G91" i="53"/>
  <c r="F91" i="53" s="1"/>
  <c r="F91" i="54"/>
  <c r="F79" i="54"/>
  <c r="G79" i="53"/>
  <c r="F79" i="53" s="1"/>
  <c r="G70" i="52"/>
  <c r="F70" i="33"/>
  <c r="G70" i="54"/>
  <c r="G83" i="53"/>
  <c r="F83" i="53" s="1"/>
  <c r="F83" i="54"/>
  <c r="F42" i="53"/>
  <c r="C70" i="54"/>
  <c r="C70" i="52"/>
  <c r="E70" i="52" s="1"/>
  <c r="C75" i="33"/>
  <c r="E75" i="33" s="1"/>
  <c r="G26" i="53"/>
  <c r="F26" i="53" s="1"/>
  <c r="F26" i="54"/>
  <c r="C12" i="53"/>
  <c r="E12" i="53" s="1"/>
  <c r="F12" i="54"/>
  <c r="G11" i="53"/>
  <c r="F11" i="53" s="1"/>
  <c r="F11" i="54"/>
  <c r="F13" i="54"/>
  <c r="G13" i="53"/>
  <c r="F13" i="53" s="1"/>
  <c r="F17" i="54"/>
  <c r="C17" i="53"/>
  <c r="F29" i="54"/>
  <c r="C29" i="53"/>
  <c r="G24" i="53"/>
  <c r="F24" i="53" s="1"/>
  <c r="F24" i="54"/>
  <c r="F37" i="33"/>
  <c r="F8" i="54"/>
  <c r="C37" i="54"/>
  <c r="C8" i="53"/>
  <c r="E8" i="53" s="1"/>
  <c r="E81" i="54" l="1"/>
  <c r="F81" i="54" s="1"/>
  <c r="F62" i="53"/>
  <c r="F94" i="53"/>
  <c r="C85" i="53"/>
  <c r="E85" i="53" s="1"/>
  <c r="E85" i="54"/>
  <c r="C70" i="53"/>
  <c r="E70" i="53" s="1"/>
  <c r="E70" i="54"/>
  <c r="F41" i="53"/>
  <c r="E37" i="54"/>
  <c r="F37" i="54" s="1"/>
  <c r="E86" i="53"/>
  <c r="F86" i="53" s="1"/>
  <c r="E74" i="53"/>
  <c r="F74" i="53" s="1"/>
  <c r="E66" i="53"/>
  <c r="F66" i="53" s="1"/>
  <c r="E39" i="53"/>
  <c r="F39" i="53" s="1"/>
  <c r="E33" i="53"/>
  <c r="F33" i="53" s="1"/>
  <c r="E18" i="53"/>
  <c r="F18" i="53" s="1"/>
  <c r="E29" i="53"/>
  <c r="F29" i="53" s="1"/>
  <c r="E17" i="53"/>
  <c r="F17" i="53" s="1"/>
  <c r="E20" i="53"/>
  <c r="F20" i="53" s="1"/>
  <c r="E9" i="53"/>
  <c r="F9" i="53" s="1"/>
  <c r="F58" i="11"/>
  <c r="F96" i="61"/>
  <c r="F96" i="33"/>
  <c r="F94" i="52"/>
  <c r="F90" i="52"/>
  <c r="F81" i="52"/>
  <c r="F67" i="53"/>
  <c r="F37" i="59"/>
  <c r="F58" i="59"/>
  <c r="F58" i="55"/>
  <c r="F75" i="55"/>
  <c r="F75" i="7"/>
  <c r="F37" i="7"/>
  <c r="F37" i="55"/>
  <c r="G37" i="53"/>
  <c r="F94" i="54"/>
  <c r="F96" i="60"/>
  <c r="F96" i="59"/>
  <c r="B58" i="54"/>
  <c r="B58" i="53" s="1"/>
  <c r="B58" i="52"/>
  <c r="F12" i="53"/>
  <c r="F37" i="11"/>
  <c r="F96" i="11"/>
  <c r="F44" i="52"/>
  <c r="F70" i="52"/>
  <c r="F10" i="52"/>
  <c r="G37" i="52"/>
  <c r="F37" i="52" s="1"/>
  <c r="G70" i="53"/>
  <c r="F70" i="54"/>
  <c r="C75" i="54"/>
  <c r="C75" i="52"/>
  <c r="E75" i="52" s="1"/>
  <c r="F75" i="33"/>
  <c r="G75" i="54"/>
  <c r="F85" i="52"/>
  <c r="G96" i="53"/>
  <c r="F85" i="54"/>
  <c r="G85" i="53"/>
  <c r="C96" i="54"/>
  <c r="C96" i="52"/>
  <c r="E96" i="52" s="1"/>
  <c r="C37" i="53"/>
  <c r="E37" i="53" s="1"/>
  <c r="F8" i="53"/>
  <c r="C58" i="52"/>
  <c r="C58" i="54"/>
  <c r="E58" i="54" s="1"/>
  <c r="F58" i="33"/>
  <c r="E58" i="52" l="1"/>
  <c r="F70" i="53"/>
  <c r="F85" i="53"/>
  <c r="C96" i="53"/>
  <c r="E96" i="53" s="1"/>
  <c r="F96" i="53" s="1"/>
  <c r="E96" i="54"/>
  <c r="F96" i="54" s="1"/>
  <c r="C75" i="53"/>
  <c r="E75" i="53" s="1"/>
  <c r="E75" i="54"/>
  <c r="F75" i="54" s="1"/>
  <c r="F96" i="52"/>
  <c r="F37" i="53"/>
  <c r="G58" i="52"/>
  <c r="F58" i="7"/>
  <c r="G58" i="53"/>
  <c r="G75" i="53"/>
  <c r="F75" i="52"/>
  <c r="C58" i="53"/>
  <c r="E58" i="53" s="1"/>
  <c r="F58" i="54"/>
  <c r="F58" i="52" l="1"/>
  <c r="F75" i="53"/>
  <c r="F58" i="53"/>
</calcChain>
</file>

<file path=xl/sharedStrings.xml><?xml version="1.0" encoding="utf-8"?>
<sst xmlns="http://schemas.openxmlformats.org/spreadsheetml/2006/main" count="6070" uniqueCount="213">
  <si>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</si>
  <si>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</si>
  <si>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</si>
  <si>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</si>
  <si>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</si>
  <si>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</si>
  <si>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</si>
  <si>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</si>
  <si>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</si>
  <si>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</si>
  <si>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</si>
  <si>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</si>
  <si>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</si>
  <si>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</si>
  <si>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</si>
  <si>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</si>
  <si>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</si>
  <si>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</si>
  <si>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</si>
  <si>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</si>
  <si>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</si>
  <si>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</si>
  <si>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</si>
  <si>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</si>
  <si>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</si>
  <si>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</si>
  <si>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</si>
  <si>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</si>
  <si>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</si>
  <si>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</si>
  <si>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</si>
  <si>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</si>
  <si>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</si>
  <si>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</si>
  <si>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</si>
  <si>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</si>
  <si>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</si>
  <si>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 xml:space="preserve"> 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</si>
  <si>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</si>
  <si>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</si>
  <si>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</si>
  <si>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</si>
  <si>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</si>
  <si>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</si>
  <si>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</si>
  <si>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</si>
  <si>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</si>
  <si>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</si>
  <si>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>Non-Recurring Self-Generated Carry Forward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</si>
  <si>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</si>
  <si>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</si>
  <si>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</si>
  <si>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</si>
  <si>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</si>
  <si>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</si>
  <si>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</si>
  <si>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</si>
  <si>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</si>
  <si>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</si>
  <si>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</si>
  <si>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</si>
  <si>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</si>
  <si>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</si>
  <si>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</si>
  <si>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</si>
  <si>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</si>
  <si>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</si>
  <si>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</si>
  <si>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</si>
  <si>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</si>
  <si>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</si>
  <si>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</si>
  <si>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</si>
  <si>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</si>
  <si>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</si>
  <si>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</si>
  <si>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</si>
  <si>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</si>
  <si>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</si>
  <si>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</si>
  <si>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</si>
  <si>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</si>
  <si>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</si>
  <si>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</si>
  <si>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</si>
  <si>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</si>
  <si>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</si>
  <si>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 xml:space="preserve">           Medical &amp; Allied Health Scholarship &amp; Loan Fund</t>
  </si>
  <si>
    <t>Southern University System Summary</t>
  </si>
  <si>
    <t>Louisiana State University System Summary</t>
  </si>
  <si>
    <t>UL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</si>
  <si>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</si>
  <si>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</si>
  <si>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</si>
  <si>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</si>
  <si>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</si>
  <si>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 xml:space="preserve">  Grambling State University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</si>
  <si>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</si>
  <si>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</si>
  <si>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</si>
  <si>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</si>
  <si>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</si>
  <si>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University of New Orleans</t>
  </si>
  <si>
    <t>LCTCS Board of Supervisors</t>
  </si>
  <si>
    <t>LCTCSOnline</t>
  </si>
  <si>
    <t>Bossier Parish Community College</t>
  </si>
  <si>
    <t>Baton Rouge Community College</t>
  </si>
  <si>
    <t>Central Louisiana Technical Community College</t>
  </si>
  <si>
    <t>Delgado Community College</t>
  </si>
  <si>
    <t>Fletcher Technical Community College</t>
  </si>
  <si>
    <t>Louisiana Delta Community College</t>
  </si>
  <si>
    <t>Nunez Community College</t>
  </si>
  <si>
    <t>Northshore Technical Community College</t>
  </si>
  <si>
    <t>River Parishes Community College</t>
  </si>
  <si>
    <t>South Louisiana Community College</t>
  </si>
  <si>
    <t>University of Louisiana System</t>
  </si>
  <si>
    <t>LSU Agricultural Center</t>
  </si>
  <si>
    <t xml:space="preserve">Louisiana State University </t>
  </si>
  <si>
    <t>LSU Health Sciences Center-New Orleans</t>
  </si>
  <si>
    <t>LSU at Alexandria</t>
  </si>
  <si>
    <t>LSU Eunice</t>
  </si>
  <si>
    <t>Louisiana State University Shreveport</t>
  </si>
  <si>
    <t>Pennington Biomedical Research Center</t>
  </si>
  <si>
    <t>Louisiana Tech University</t>
  </si>
  <si>
    <t>University of Louisiana at Lafayette</t>
  </si>
  <si>
    <t xml:space="preserve">   </t>
  </si>
  <si>
    <t>Southern University at New Orleans</t>
  </si>
  <si>
    <t>Southern University Ag Center</t>
  </si>
  <si>
    <t>SOUTHERN UNIVERSITY AT SHREVEPORT</t>
  </si>
  <si>
    <t>Southern University Law Center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</si>
  <si>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</si>
  <si>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</si>
  <si>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</si>
  <si>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</si>
  <si>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</si>
  <si>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</si>
  <si>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</si>
  <si>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</si>
  <si>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2 Year</t>
  </si>
  <si>
    <t>4 Year</t>
  </si>
  <si>
    <t>2&amp;4 Year</t>
  </si>
  <si>
    <t>Boards</t>
  </si>
  <si>
    <t>Specialized</t>
  </si>
  <si>
    <t>BOR Summary</t>
  </si>
  <si>
    <t>BOR</t>
  </si>
  <si>
    <t>LUMCON</t>
  </si>
  <si>
    <t>LOSFA</t>
  </si>
  <si>
    <t>LCTCS Summary</t>
  </si>
  <si>
    <t>LSU Summary</t>
  </si>
  <si>
    <t>SU Summary</t>
  </si>
  <si>
    <t>ULS Summary</t>
  </si>
  <si>
    <t>UL Board</t>
  </si>
  <si>
    <t>Grambling</t>
  </si>
  <si>
    <t>LA Tech</t>
  </si>
  <si>
    <t>McNeese</t>
  </si>
  <si>
    <t>Nicholls</t>
  </si>
  <si>
    <t>NwSU</t>
  </si>
  <si>
    <t>SLU</t>
  </si>
  <si>
    <t>ULL</t>
  </si>
  <si>
    <t>ULM</t>
  </si>
  <si>
    <t>UNO</t>
  </si>
  <si>
    <t>LSU</t>
  </si>
  <si>
    <t>LSUA</t>
  </si>
  <si>
    <t>LSUS</t>
  </si>
  <si>
    <t>LSUE</t>
  </si>
  <si>
    <t>LSUHSCNO</t>
  </si>
  <si>
    <t>LSUHSCS</t>
  </si>
  <si>
    <t>LSUAg</t>
  </si>
  <si>
    <t>PBRC</t>
  </si>
  <si>
    <t>SU Board</t>
  </si>
  <si>
    <t>SUBR</t>
  </si>
  <si>
    <t>SUNO</t>
  </si>
  <si>
    <t>SUSLA</t>
  </si>
  <si>
    <t>SULaw</t>
  </si>
  <si>
    <t>SUAg</t>
  </si>
  <si>
    <t>LCTCS Board</t>
  </si>
  <si>
    <t>LCTCS Online</t>
  </si>
  <si>
    <t>BRCC</t>
  </si>
  <si>
    <t>BPCC</t>
  </si>
  <si>
    <t>Delgado</t>
  </si>
  <si>
    <t>CLTCC</t>
  </si>
  <si>
    <t>Fletcher</t>
  </si>
  <si>
    <t>LDCC</t>
  </si>
  <si>
    <t>Northshore</t>
  </si>
  <si>
    <t>Nunez</t>
  </si>
  <si>
    <t>RPCC</t>
  </si>
  <si>
    <t>SLCC</t>
  </si>
  <si>
    <t>Home</t>
  </si>
  <si>
    <t>`</t>
  </si>
  <si>
    <t>BOR1</t>
  </si>
  <si>
    <t>**Library costs are included in the function of academic support and are detailed on the BOR-4A.</t>
  </si>
  <si>
    <t xml:space="preserve">  Academic Support</t>
  </si>
  <si>
    <t>2019-2020</t>
  </si>
  <si>
    <t xml:space="preserve">           Over collections Fund</t>
  </si>
  <si>
    <t xml:space="preserve">           Support Education in Louisiana First (SELF)***</t>
  </si>
  <si>
    <t>Northwest LA TCC</t>
  </si>
  <si>
    <t>Northwest Louisiana Technical Community College</t>
  </si>
  <si>
    <t>* This column should reflect the last approved BA-7 in FY 19-20.</t>
  </si>
  <si>
    <t>2019-2020 *</t>
  </si>
  <si>
    <t>2020-2021</t>
  </si>
  <si>
    <t>Interagency Transfers - CARES Act</t>
  </si>
  <si>
    <t xml:space="preserve">           Education Excellence Fund</t>
  </si>
  <si>
    <t xml:space="preserve">           Shreveport Riverfront and Convention Center and Independence Stadium Fund (T09)</t>
  </si>
  <si>
    <t>LCTCS - Adult Basic Education</t>
  </si>
  <si>
    <t>LCTCS - Workforce Training Rapid Response</t>
  </si>
  <si>
    <t>AE</t>
  </si>
  <si>
    <t>RR</t>
  </si>
  <si>
    <t>.</t>
  </si>
  <si>
    <t>SOWELA Technical Community College</t>
  </si>
  <si>
    <t>SOWELA</t>
  </si>
  <si>
    <t>Budgeted 2020-2021</t>
  </si>
  <si>
    <t>w/ FY20 CARES Act funds</t>
  </si>
  <si>
    <t>For informational purposes only: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</si>
</sst>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#,##0.00%;[Red]\(#,##0.00%\)"/>
    <numFmt numFmtId="165" formatCode="&quot;$&quot;#,##0_);[Red]\(&quot;$&quot;#,##0\);"/>
  </numFmts>
  <fonts count="27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08">
    <xf numFmtId="0" fontId="0" fillId="0" borderId="0" xfId="0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3" fontId="2" fillId="0" borderId="0" xfId="0" applyNumberFormat="1" applyFont="1" applyBorder="1" applyAlignment="1" applyProtection="1"/>
    <xf numFmtId="6" fontId="2" fillId="0" borderId="0" xfId="0" applyNumberFormat="1" applyFont="1" applyBorder="1" applyAlignment="1" applyProtection="1"/>
    <xf numFmtId="164" fontId="2" fillId="0" borderId="0" xfId="0" applyNumberFormat="1" applyFont="1" applyBorder="1" applyAlignment="1" applyProtection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 applyBorder="1" applyAlignment="1" applyProtection="1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43" fontId="2" fillId="0" borderId="0" xfId="1" applyFont="1" applyBorder="1" applyAlignment="1" applyProtection="1"/>
    <xf numFmtId="3" fontId="1" fillId="0" borderId="0" xfId="0" applyNumberFormat="1" applyFont="1" applyFill="1" applyBorder="1" applyAlignment="1" applyProtection="1"/>
    <xf numFmtId="6" fontId="1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0" fontId="8" fillId="0" borderId="0" xfId="0" applyFont="1" applyFill="1"/>
    <xf numFmtId="6" fontId="8" fillId="0" borderId="0" xfId="0" applyNumberFormat="1" applyFont="1" applyFill="1"/>
    <xf numFmtId="164" fontId="8" fillId="0" borderId="0" xfId="0" applyNumberFormat="1" applyFont="1" applyFill="1"/>
    <xf numFmtId="37" fontId="2" fillId="0" borderId="0" xfId="0" applyNumberFormat="1" applyFont="1" applyBorder="1" applyAlignment="1" applyProtection="1"/>
    <xf numFmtId="37" fontId="9" fillId="0" borderId="0" xfId="0" applyNumberFormat="1" applyFont="1"/>
    <xf numFmtId="3" fontId="3" fillId="0" borderId="0" xfId="0" applyNumberFormat="1" applyFont="1" applyAlignment="1" applyProtection="1"/>
    <xf numFmtId="6" fontId="3" fillId="0" borderId="0" xfId="0" applyNumberFormat="1" applyFont="1" applyAlignment="1" applyProtection="1"/>
    <xf numFmtId="164" fontId="3" fillId="0" borderId="0" xfId="0" applyNumberFormat="1" applyFont="1" applyAlignment="1" applyProtection="1"/>
    <xf numFmtId="3" fontId="4" fillId="0" borderId="0" xfId="0" applyNumberFormat="1" applyFont="1" applyBorder="1" applyAlignment="1" applyProtection="1"/>
    <xf numFmtId="6" fontId="4" fillId="0" borderId="0" xfId="0" applyNumberFormat="1" applyFont="1" applyBorder="1" applyAlignment="1" applyProtection="1"/>
    <xf numFmtId="164" fontId="4" fillId="0" borderId="0" xfId="0" applyNumberFormat="1" applyFont="1" applyBorder="1" applyAlignment="1" applyProtection="1">
      <alignment horizontal="right"/>
    </xf>
    <xf numFmtId="0" fontId="10" fillId="0" borderId="1" xfId="0" applyNumberFormat="1" applyFont="1" applyBorder="1" applyAlignment="1" applyProtection="1"/>
    <xf numFmtId="3" fontId="13" fillId="0" borderId="0" xfId="0" applyNumberFormat="1" applyFont="1" applyAlignment="1" applyProtection="1"/>
    <xf numFmtId="6" fontId="10" fillId="0" borderId="0" xfId="0" applyNumberFormat="1" applyFont="1" applyAlignment="1" applyProtection="1"/>
    <xf numFmtId="6" fontId="13" fillId="0" borderId="0" xfId="0" applyNumberFormat="1" applyFont="1" applyBorder="1" applyAlignment="1" applyProtection="1">
      <alignment horizontal="centerContinuous" vertical="justify"/>
    </xf>
    <xf numFmtId="0" fontId="10" fillId="0" borderId="1" xfId="0" applyNumberFormat="1" applyFont="1" applyBorder="1" applyAlignment="1" applyProtection="1">
      <alignment horizontal="right"/>
    </xf>
    <xf numFmtId="0" fontId="14" fillId="0" borderId="0" xfId="0" applyFont="1" applyProtection="1"/>
    <xf numFmtId="0" fontId="14" fillId="0" borderId="0" xfId="0" applyFont="1"/>
    <xf numFmtId="164" fontId="10" fillId="0" borderId="0" xfId="0" applyNumberFormat="1" applyFont="1" applyAlignment="1" applyProtection="1"/>
    <xf numFmtId="3" fontId="13" fillId="0" borderId="2" xfId="0" applyNumberFormat="1" applyFont="1" applyBorder="1" applyAlignment="1" applyProtection="1"/>
    <xf numFmtId="6" fontId="10" fillId="0" borderId="2" xfId="0" applyNumberFormat="1" applyFont="1" applyBorder="1" applyAlignment="1" applyProtection="1"/>
    <xf numFmtId="164" fontId="10" fillId="0" borderId="2" xfId="0" applyNumberFormat="1" applyFont="1" applyBorder="1" applyAlignment="1" applyProtection="1"/>
    <xf numFmtId="0" fontId="14" fillId="0" borderId="1" xfId="0" applyFont="1" applyBorder="1"/>
    <xf numFmtId="164" fontId="14" fillId="0" borderId="1" xfId="0" applyNumberFormat="1" applyFont="1" applyBorder="1" applyProtection="1"/>
    <xf numFmtId="164" fontId="15" fillId="0" borderId="1" xfId="0" applyNumberFormat="1" applyFont="1" applyBorder="1" applyProtection="1"/>
    <xf numFmtId="3" fontId="13" fillId="0" borderId="0" xfId="0" applyNumberFormat="1" applyFont="1" applyFill="1" applyAlignment="1" applyProtection="1"/>
    <xf numFmtId="0" fontId="13" fillId="0" borderId="1" xfId="0" applyNumberFormat="1" applyFont="1" applyFill="1" applyBorder="1" applyAlignment="1" applyProtection="1">
      <alignment horizontal="right"/>
    </xf>
    <xf numFmtId="6" fontId="13" fillId="0" borderId="0" xfId="0" applyNumberFormat="1" applyFont="1" applyFill="1" applyAlignment="1" applyProtection="1"/>
    <xf numFmtId="164" fontId="13" fillId="0" borderId="0" xfId="0" applyNumberFormat="1" applyFont="1" applyFill="1" applyAlignment="1" applyProtection="1"/>
    <xf numFmtId="3" fontId="13" fillId="0" borderId="2" xfId="0" applyNumberFormat="1" applyFont="1" applyFill="1" applyBorder="1" applyAlignment="1" applyProtection="1"/>
    <xf numFmtId="6" fontId="13" fillId="0" borderId="2" xfId="0" applyNumberFormat="1" applyFont="1" applyFill="1" applyBorder="1" applyAlignment="1" applyProtection="1"/>
    <xf numFmtId="164" fontId="13" fillId="0" borderId="2" xfId="0" applyNumberFormat="1" applyFont="1" applyFill="1" applyBorder="1" applyAlignment="1" applyProtection="1"/>
    <xf numFmtId="0" fontId="14" fillId="0" borderId="1" xfId="0" applyFont="1" applyBorder="1" applyProtection="1"/>
    <xf numFmtId="37" fontId="13" fillId="0" borderId="0" xfId="0" applyNumberFormat="1" applyFont="1" applyBorder="1" applyAlignment="1" applyProtection="1">
      <alignment horizontal="centerContinuous" vertical="justify"/>
    </xf>
    <xf numFmtId="37" fontId="10" fillId="0" borderId="1" xfId="0" applyNumberFormat="1" applyFont="1" applyBorder="1" applyAlignment="1" applyProtection="1"/>
    <xf numFmtId="37" fontId="10" fillId="0" borderId="0" xfId="0" applyNumberFormat="1" applyFont="1" applyAlignment="1" applyProtection="1"/>
    <xf numFmtId="37" fontId="10" fillId="0" borderId="2" xfId="0" applyNumberFormat="1" applyFont="1" applyBorder="1" applyAlignment="1" applyProtection="1"/>
    <xf numFmtId="6" fontId="13" fillId="0" borderId="0" xfId="0" applyNumberFormat="1" applyFont="1" applyBorder="1" applyAlignment="1" applyProtection="1">
      <alignment horizontal="center"/>
    </xf>
    <xf numFmtId="0" fontId="14" fillId="0" borderId="1" xfId="0" applyFont="1" applyBorder="1" applyAlignment="1"/>
    <xf numFmtId="3" fontId="11" fillId="0" borderId="3" xfId="0" applyNumberFormat="1" applyFont="1" applyBorder="1" applyAlignment="1" applyProtection="1">
      <alignment vertical="center"/>
    </xf>
    <xf numFmtId="6" fontId="11" fillId="0" borderId="4" xfId="0" applyNumberFormat="1" applyFont="1" applyBorder="1" applyAlignment="1" applyProtection="1">
      <alignment horizontal="center" vertical="center"/>
    </xf>
    <xf numFmtId="6" fontId="11" fillId="0" borderId="5" xfId="0" applyNumberFormat="1" applyFont="1" applyBorder="1" applyAlignment="1" applyProtection="1">
      <alignment horizontal="center" vertical="center"/>
    </xf>
    <xf numFmtId="164" fontId="11" fillId="0" borderId="5" xfId="0" applyNumberFormat="1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 wrapText="1"/>
    </xf>
    <xf numFmtId="6" fontId="11" fillId="0" borderId="7" xfId="0" applyNumberFormat="1" applyFont="1" applyBorder="1" applyAlignment="1" applyProtection="1">
      <alignment horizontal="center" vertical="center"/>
    </xf>
    <xf numFmtId="164" fontId="11" fillId="0" borderId="7" xfId="0" applyNumberFormat="1" applyFont="1" applyBorder="1" applyAlignment="1" applyProtection="1">
      <alignment horizontal="center" vertical="center"/>
    </xf>
    <xf numFmtId="3" fontId="11" fillId="0" borderId="8" xfId="0" applyNumberFormat="1" applyFont="1" applyBorder="1" applyAlignment="1" applyProtection="1">
      <alignment vertical="center"/>
    </xf>
    <xf numFmtId="6" fontId="12" fillId="0" borderId="4" xfId="0" applyNumberFormat="1" applyFont="1" applyBorder="1" applyAlignment="1" applyProtection="1">
      <alignment vertical="center"/>
    </xf>
    <xf numFmtId="164" fontId="12" fillId="0" borderId="9" xfId="0" applyNumberFormat="1" applyFont="1" applyBorder="1" applyAlignment="1" applyProtection="1">
      <alignment vertical="center"/>
    </xf>
    <xf numFmtId="164" fontId="12" fillId="0" borderId="4" xfId="0" applyNumberFormat="1" applyFont="1" applyBorder="1" applyAlignment="1" applyProtection="1">
      <alignment vertical="center"/>
    </xf>
    <xf numFmtId="0" fontId="12" fillId="0" borderId="6" xfId="0" applyNumberFormat="1" applyFont="1" applyBorder="1" applyAlignment="1" applyProtection="1">
      <alignment vertical="center"/>
    </xf>
    <xf numFmtId="6" fontId="12" fillId="0" borderId="7" xfId="0" applyNumberFormat="1" applyFont="1" applyBorder="1" applyAlignment="1" applyProtection="1">
      <alignment vertical="center"/>
    </xf>
    <xf numFmtId="164" fontId="12" fillId="0" borderId="10" xfId="0" applyNumberFormat="1" applyFont="1" applyBorder="1" applyAlignment="1" applyProtection="1">
      <alignment horizontal="right" vertical="center"/>
    </xf>
    <xf numFmtId="0" fontId="12" fillId="0" borderId="11" xfId="0" applyNumberFormat="1" applyFont="1" applyBorder="1" applyAlignment="1" applyProtection="1">
      <alignment vertical="center"/>
    </xf>
    <xf numFmtId="6" fontId="12" fillId="0" borderId="12" xfId="0" applyNumberFormat="1" applyFont="1" applyBorder="1" applyAlignment="1" applyProtection="1">
      <alignment vertical="center"/>
    </xf>
    <xf numFmtId="0" fontId="12" fillId="0" borderId="4" xfId="0" applyNumberFormat="1" applyFont="1" applyBorder="1" applyAlignment="1" applyProtection="1">
      <alignment vertical="center"/>
    </xf>
    <xf numFmtId="6" fontId="12" fillId="0" borderId="9" xfId="0" applyNumberFormat="1" applyFont="1" applyBorder="1" applyAlignment="1" applyProtection="1">
      <alignment vertical="center"/>
    </xf>
    <xf numFmtId="0" fontId="12" fillId="0" borderId="9" xfId="0" applyNumberFormat="1" applyFont="1" applyBorder="1" applyAlignment="1" applyProtection="1">
      <alignment vertical="center"/>
    </xf>
    <xf numFmtId="0" fontId="12" fillId="0" borderId="13" xfId="0" applyNumberFormat="1" applyFont="1" applyBorder="1" applyAlignment="1" applyProtection="1">
      <alignment vertical="center"/>
    </xf>
    <xf numFmtId="0" fontId="11" fillId="0" borderId="4" xfId="0" applyNumberFormat="1" applyFont="1" applyBorder="1" applyAlignment="1" applyProtection="1">
      <alignment vertical="center"/>
    </xf>
    <xf numFmtId="0" fontId="11" fillId="0" borderId="9" xfId="0" applyNumberFormat="1" applyFont="1" applyBorder="1" applyAlignment="1" applyProtection="1">
      <alignment vertical="center"/>
    </xf>
    <xf numFmtId="0" fontId="11" fillId="0" borderId="13" xfId="0" applyNumberFormat="1" applyFont="1" applyBorder="1" applyAlignment="1" applyProtection="1">
      <alignment vertical="center"/>
    </xf>
    <xf numFmtId="6" fontId="11" fillId="0" borderId="9" xfId="0" applyNumberFormat="1" applyFont="1" applyBorder="1" applyAlignment="1" applyProtection="1">
      <alignment vertical="center"/>
    </xf>
    <xf numFmtId="164" fontId="11" fillId="0" borderId="10" xfId="0" applyNumberFormat="1" applyFont="1" applyBorder="1" applyAlignment="1" applyProtection="1">
      <alignment horizontal="right" vertical="center"/>
    </xf>
    <xf numFmtId="0" fontId="12" fillId="0" borderId="7" xfId="0" applyNumberFormat="1" applyFont="1" applyBorder="1" applyAlignment="1" applyProtection="1">
      <alignment vertical="center"/>
    </xf>
    <xf numFmtId="0" fontId="12" fillId="0" borderId="12" xfId="0" applyNumberFormat="1" applyFont="1" applyBorder="1" applyAlignment="1" applyProtection="1">
      <alignment vertical="center"/>
    </xf>
    <xf numFmtId="0" fontId="12" fillId="0" borderId="10" xfId="0" applyNumberFormat="1" applyFont="1" applyBorder="1" applyAlignment="1" applyProtection="1">
      <alignment vertical="center"/>
    </xf>
    <xf numFmtId="6" fontId="11" fillId="0" borderId="4" xfId="0" applyNumberFormat="1" applyFont="1" applyBorder="1" applyAlignment="1" applyProtection="1">
      <alignment vertical="center"/>
    </xf>
    <xf numFmtId="0" fontId="11" fillId="0" borderId="7" xfId="0" applyNumberFormat="1" applyFont="1" applyBorder="1" applyAlignment="1" applyProtection="1">
      <alignment vertical="center"/>
    </xf>
    <xf numFmtId="6" fontId="11" fillId="0" borderId="7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 applyProtection="1">
      <alignment vertical="center"/>
    </xf>
    <xf numFmtId="6" fontId="11" fillId="0" borderId="10" xfId="0" applyNumberFormat="1" applyFont="1" applyBorder="1" applyAlignment="1" applyProtection="1">
      <alignment vertical="center"/>
    </xf>
    <xf numFmtId="164" fontId="12" fillId="0" borderId="4" xfId="0" applyNumberFormat="1" applyFont="1" applyBorder="1" applyAlignment="1" applyProtection="1">
      <alignment horizontal="right" vertical="center"/>
    </xf>
    <xf numFmtId="3" fontId="11" fillId="0" borderId="4" xfId="0" applyNumberFormat="1" applyFont="1" applyBorder="1" applyAlignment="1" applyProtection="1">
      <alignment vertical="center"/>
    </xf>
    <xf numFmtId="3" fontId="12" fillId="0" borderId="9" xfId="0" applyNumberFormat="1" applyFont="1" applyBorder="1" applyAlignment="1" applyProtection="1">
      <alignment vertical="center"/>
    </xf>
    <xf numFmtId="3" fontId="12" fillId="0" borderId="4" xfId="0" applyNumberFormat="1" applyFont="1" applyBorder="1" applyAlignment="1" applyProtection="1">
      <alignment vertical="center"/>
    </xf>
    <xf numFmtId="3" fontId="11" fillId="0" borderId="9" xfId="0" applyNumberFormat="1" applyFont="1" applyBorder="1" applyAlignment="1" applyProtection="1">
      <alignment vertical="center"/>
    </xf>
    <xf numFmtId="3" fontId="11" fillId="0" borderId="12" xfId="0" applyNumberFormat="1" applyFont="1" applyBorder="1" applyAlignment="1" applyProtection="1">
      <alignment vertical="center"/>
    </xf>
    <xf numFmtId="6" fontId="11" fillId="0" borderId="12" xfId="0" applyNumberFormat="1" applyFont="1" applyBorder="1" applyAlignment="1" applyProtection="1">
      <alignment vertical="center"/>
    </xf>
    <xf numFmtId="0" fontId="11" fillId="0" borderId="12" xfId="0" applyNumberFormat="1" applyFont="1" applyBorder="1" applyAlignment="1" applyProtection="1">
      <alignment vertical="center"/>
    </xf>
    <xf numFmtId="3" fontId="11" fillId="0" borderId="8" xfId="0" applyNumberFormat="1" applyFont="1" applyFill="1" applyBorder="1" applyAlignment="1" applyProtection="1">
      <alignment vertical="center"/>
    </xf>
    <xf numFmtId="164" fontId="11" fillId="0" borderId="9" xfId="0" applyNumberFormat="1" applyFont="1" applyFill="1" applyBorder="1" applyAlignment="1" applyProtection="1">
      <alignment vertical="center"/>
    </xf>
    <xf numFmtId="164" fontId="11" fillId="0" borderId="4" xfId="0" applyNumberFormat="1" applyFont="1" applyFill="1" applyBorder="1" applyAlignment="1" applyProtection="1">
      <alignment vertical="center"/>
    </xf>
    <xf numFmtId="164" fontId="11" fillId="0" borderId="10" xfId="0" applyNumberFormat="1" applyFont="1" applyFill="1" applyBorder="1" applyAlignment="1" applyProtection="1">
      <alignment horizontal="right" vertical="center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9" xfId="0" applyNumberFormat="1" applyFont="1" applyFill="1" applyBorder="1" applyAlignment="1" applyProtection="1">
      <alignment vertical="center"/>
    </xf>
    <xf numFmtId="0" fontId="11" fillId="0" borderId="13" xfId="0" applyNumberFormat="1" applyFont="1" applyFill="1" applyBorder="1" applyAlignment="1" applyProtection="1">
      <alignment vertical="center"/>
    </xf>
    <xf numFmtId="0" fontId="11" fillId="0" borderId="7" xfId="0" applyNumberFormat="1" applyFont="1" applyFill="1" applyBorder="1" applyAlignment="1" applyProtection="1">
      <alignment vertical="center"/>
    </xf>
    <xf numFmtId="0" fontId="11" fillId="0" borderId="12" xfId="0" applyNumberFormat="1" applyFont="1" applyFill="1" applyBorder="1" applyAlignment="1" applyProtection="1">
      <alignment vertical="center"/>
    </xf>
    <xf numFmtId="0" fontId="11" fillId="0" borderId="10" xfId="0" applyNumberFormat="1" applyFont="1" applyFill="1" applyBorder="1" applyAlignment="1" applyProtection="1">
      <alignment vertical="center"/>
    </xf>
    <xf numFmtId="164" fontId="11" fillId="0" borderId="4" xfId="0" applyNumberFormat="1" applyFont="1" applyFill="1" applyBorder="1" applyAlignment="1" applyProtection="1">
      <alignment horizontal="right" vertical="center"/>
    </xf>
    <xf numFmtId="3" fontId="11" fillId="0" borderId="4" xfId="0" applyNumberFormat="1" applyFont="1" applyFill="1" applyBorder="1" applyAlignment="1" applyProtection="1">
      <alignment vertical="center"/>
    </xf>
    <xf numFmtId="3" fontId="11" fillId="0" borderId="9" xfId="0" applyNumberFormat="1" applyFont="1" applyFill="1" applyBorder="1" applyAlignment="1" applyProtection="1">
      <alignment vertical="center"/>
    </xf>
    <xf numFmtId="3" fontId="11" fillId="0" borderId="12" xfId="0" applyNumberFormat="1" applyFont="1" applyFill="1" applyBorder="1" applyAlignment="1" applyProtection="1">
      <alignment vertical="center"/>
    </xf>
    <xf numFmtId="6" fontId="12" fillId="0" borderId="13" xfId="0" applyNumberFormat="1" applyFont="1" applyBorder="1" applyAlignment="1" applyProtection="1">
      <alignment vertical="center"/>
    </xf>
    <xf numFmtId="37" fontId="12" fillId="0" borderId="9" xfId="0" applyNumberFormat="1" applyFont="1" applyBorder="1" applyAlignment="1" applyProtection="1">
      <alignment vertical="center"/>
    </xf>
    <xf numFmtId="37" fontId="12" fillId="0" borderId="4" xfId="0" applyNumberFormat="1" applyFont="1" applyBorder="1" applyAlignment="1" applyProtection="1">
      <alignment vertical="center"/>
    </xf>
    <xf numFmtId="164" fontId="12" fillId="0" borderId="10" xfId="2" applyNumberFormat="1" applyFont="1" applyBorder="1" applyAlignment="1" applyProtection="1">
      <alignment horizontal="right" vertical="center"/>
    </xf>
    <xf numFmtId="164" fontId="16" fillId="0" borderId="10" xfId="2" applyNumberFormat="1" applyFont="1" applyBorder="1" applyAlignment="1" applyProtection="1">
      <alignment horizontal="right" vertical="center"/>
    </xf>
    <xf numFmtId="164" fontId="12" fillId="0" borderId="9" xfId="2" applyNumberFormat="1" applyFont="1" applyBorder="1" applyAlignment="1" applyProtection="1">
      <alignment vertical="center"/>
    </xf>
    <xf numFmtId="164" fontId="17" fillId="0" borderId="10" xfId="2" applyNumberFormat="1" applyFont="1" applyBorder="1" applyAlignment="1" applyProtection="1">
      <alignment horizontal="right" vertical="center"/>
    </xf>
    <xf numFmtId="164" fontId="11" fillId="0" borderId="10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vertical="center"/>
    </xf>
    <xf numFmtId="6" fontId="12" fillId="0" borderId="15" xfId="0" applyNumberFormat="1" applyFont="1" applyBorder="1" applyAlignment="1" applyProtection="1">
      <alignment vertical="center"/>
    </xf>
    <xf numFmtId="6" fontId="11" fillId="0" borderId="14" xfId="0" applyNumberFormat="1" applyFont="1" applyBorder="1" applyAlignment="1" applyProtection="1">
      <alignment vertical="center"/>
    </xf>
    <xf numFmtId="0" fontId="18" fillId="0" borderId="0" xfId="0" applyFont="1"/>
    <xf numFmtId="0" fontId="6" fillId="0" borderId="0" xfId="0" applyFont="1"/>
    <xf numFmtId="0" fontId="12" fillId="0" borderId="6" xfId="0" applyNumberFormat="1" applyFont="1" applyFill="1" applyBorder="1" applyAlignment="1" applyProtection="1">
      <alignment vertical="center"/>
    </xf>
    <xf numFmtId="0" fontId="12" fillId="0" borderId="11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vertical="center"/>
    </xf>
    <xf numFmtId="0" fontId="12" fillId="0" borderId="9" xfId="0" applyNumberFormat="1" applyFont="1" applyFill="1" applyBorder="1" applyAlignment="1" applyProtection="1">
      <alignment vertical="center"/>
    </xf>
    <xf numFmtId="0" fontId="12" fillId="0" borderId="13" xfId="0" applyNumberFormat="1" applyFont="1" applyFill="1" applyBorder="1" applyAlignment="1" applyProtection="1">
      <alignment vertical="center"/>
    </xf>
    <xf numFmtId="0" fontId="12" fillId="0" borderId="7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vertical="center"/>
    </xf>
    <xf numFmtId="0" fontId="12" fillId="0" borderId="10" xfId="0" applyNumberFormat="1" applyFont="1" applyFill="1" applyBorder="1" applyAlignment="1" applyProtection="1">
      <alignment vertical="center"/>
    </xf>
    <xf numFmtId="164" fontId="12" fillId="0" borderId="10" xfId="0" applyNumberFormat="1" applyFont="1" applyFill="1" applyBorder="1" applyAlignment="1" applyProtection="1">
      <alignment horizontal="right" vertical="center"/>
    </xf>
    <xf numFmtId="164" fontId="12" fillId="0" borderId="9" xfId="0" applyNumberFormat="1" applyFont="1" applyFill="1" applyBorder="1" applyAlignment="1" applyProtection="1">
      <alignment vertical="center"/>
    </xf>
    <xf numFmtId="10" fontId="20" fillId="0" borderId="0" xfId="2" applyNumberFormat="1" applyFont="1" applyFill="1"/>
    <xf numFmtId="0" fontId="20" fillId="0" borderId="0" xfId="0" applyFont="1" applyFill="1" applyProtection="1"/>
    <xf numFmtId="0" fontId="20" fillId="0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6" fontId="20" fillId="0" borderId="0" xfId="0" applyNumberFormat="1" applyFont="1" applyFill="1"/>
    <xf numFmtId="0" fontId="0" fillId="0" borderId="0" xfId="0" applyFont="1" applyProtection="1"/>
    <xf numFmtId="3" fontId="11" fillId="0" borderId="3" xfId="0" applyNumberFormat="1" applyFont="1" applyBorder="1" applyAlignment="1" applyProtection="1"/>
    <xf numFmtId="6" fontId="11" fillId="0" borderId="4" xfId="0" applyNumberFormat="1" applyFont="1" applyBorder="1" applyAlignment="1" applyProtection="1">
      <alignment horizontal="center"/>
    </xf>
    <xf numFmtId="6" fontId="11" fillId="0" borderId="5" xfId="0" applyNumberFormat="1" applyFont="1" applyBorder="1" applyAlignment="1" applyProtection="1">
      <alignment horizontal="center"/>
    </xf>
    <xf numFmtId="164" fontId="11" fillId="0" borderId="5" xfId="0" applyNumberFormat="1" applyFont="1" applyBorder="1" applyAlignment="1" applyProtection="1">
      <alignment horizontal="center"/>
    </xf>
    <xf numFmtId="3" fontId="12" fillId="0" borderId="6" xfId="0" applyNumberFormat="1" applyFont="1" applyBorder="1" applyAlignment="1" applyProtection="1">
      <alignment wrapText="1"/>
    </xf>
    <xf numFmtId="6" fontId="11" fillId="0" borderId="7" xfId="0" applyNumberFormat="1" applyFont="1" applyBorder="1" applyAlignment="1" applyProtection="1">
      <alignment horizontal="center" wrapText="1"/>
    </xf>
    <xf numFmtId="164" fontId="11" fillId="0" borderId="7" xfId="0" applyNumberFormat="1" applyFont="1" applyBorder="1" applyAlignment="1" applyProtection="1">
      <alignment horizontal="center" wrapText="1"/>
    </xf>
    <xf numFmtId="3" fontId="11" fillId="0" borderId="8" xfId="0" applyNumberFormat="1" applyFont="1" applyBorder="1" applyAlignment="1" applyProtection="1"/>
    <xf numFmtId="6" fontId="12" fillId="0" borderId="4" xfId="0" applyNumberFormat="1" applyFont="1" applyBorder="1" applyAlignment="1" applyProtection="1"/>
    <xf numFmtId="164" fontId="12" fillId="0" borderId="9" xfId="0" applyNumberFormat="1" applyFont="1" applyBorder="1" applyAlignment="1" applyProtection="1"/>
    <xf numFmtId="164" fontId="12" fillId="0" borderId="4" xfId="0" applyNumberFormat="1" applyFont="1" applyBorder="1" applyAlignment="1" applyProtection="1"/>
    <xf numFmtId="0" fontId="12" fillId="0" borderId="6" xfId="0" applyNumberFormat="1" applyFont="1" applyBorder="1" applyAlignment="1" applyProtection="1"/>
    <xf numFmtId="6" fontId="12" fillId="0" borderId="7" xfId="0" applyNumberFormat="1" applyFont="1" applyBorder="1" applyAlignment="1" applyProtection="1"/>
    <xf numFmtId="164" fontId="12" fillId="0" borderId="10" xfId="0" applyNumberFormat="1" applyFont="1" applyBorder="1" applyAlignment="1" applyProtection="1">
      <alignment horizontal="right"/>
    </xf>
    <xf numFmtId="0" fontId="12" fillId="0" borderId="11" xfId="0" applyNumberFormat="1" applyFont="1" applyBorder="1" applyAlignment="1" applyProtection="1"/>
    <xf numFmtId="6" fontId="12" fillId="0" borderId="12" xfId="0" applyNumberFormat="1" applyFont="1" applyBorder="1" applyAlignment="1" applyProtection="1"/>
    <xf numFmtId="0" fontId="12" fillId="0" borderId="4" xfId="0" applyNumberFormat="1" applyFont="1" applyBorder="1" applyAlignment="1" applyProtection="1"/>
    <xf numFmtId="6" fontId="12" fillId="0" borderId="9" xfId="0" applyNumberFormat="1" applyFont="1" applyBorder="1" applyAlignment="1" applyProtection="1"/>
    <xf numFmtId="0" fontId="12" fillId="0" borderId="9" xfId="0" applyNumberFormat="1" applyFont="1" applyBorder="1" applyAlignment="1" applyProtection="1"/>
    <xf numFmtId="0" fontId="12" fillId="0" borderId="13" xfId="0" applyNumberFormat="1" applyFont="1" applyBorder="1" applyAlignment="1" applyProtection="1"/>
    <xf numFmtId="0" fontId="11" fillId="0" borderId="4" xfId="0" applyNumberFormat="1" applyFont="1" applyBorder="1" applyAlignment="1" applyProtection="1"/>
    <xf numFmtId="0" fontId="11" fillId="0" borderId="9" xfId="0" applyNumberFormat="1" applyFont="1" applyBorder="1" applyAlignment="1" applyProtection="1"/>
    <xf numFmtId="0" fontId="11" fillId="0" borderId="13" xfId="0" applyNumberFormat="1" applyFont="1" applyBorder="1" applyAlignment="1" applyProtection="1"/>
    <xf numFmtId="6" fontId="11" fillId="0" borderId="9" xfId="0" applyNumberFormat="1" applyFont="1" applyBorder="1" applyAlignment="1" applyProtection="1"/>
    <xf numFmtId="164" fontId="11" fillId="0" borderId="10" xfId="0" applyNumberFormat="1" applyFont="1" applyBorder="1" applyAlignment="1" applyProtection="1">
      <alignment horizontal="right"/>
    </xf>
    <xf numFmtId="0" fontId="12" fillId="0" borderId="7" xfId="0" applyNumberFormat="1" applyFont="1" applyBorder="1" applyAlignment="1" applyProtection="1"/>
    <xf numFmtId="0" fontId="12" fillId="0" borderId="12" xfId="0" applyNumberFormat="1" applyFont="1" applyBorder="1" applyAlignment="1" applyProtection="1"/>
    <xf numFmtId="0" fontId="12" fillId="0" borderId="10" xfId="0" applyNumberFormat="1" applyFont="1" applyBorder="1" applyAlignment="1" applyProtection="1"/>
    <xf numFmtId="6" fontId="11" fillId="0" borderId="4" xfId="0" applyNumberFormat="1" applyFont="1" applyBorder="1" applyAlignment="1" applyProtection="1"/>
    <xf numFmtId="0" fontId="11" fillId="0" borderId="7" xfId="0" applyNumberFormat="1" applyFont="1" applyBorder="1" applyAlignment="1" applyProtection="1"/>
    <xf numFmtId="6" fontId="11" fillId="0" borderId="7" xfId="0" applyNumberFormat="1" applyFont="1" applyBorder="1" applyAlignment="1" applyProtection="1"/>
    <xf numFmtId="0" fontId="11" fillId="0" borderId="10" xfId="0" applyNumberFormat="1" applyFont="1" applyBorder="1" applyAlignment="1" applyProtection="1"/>
    <xf numFmtId="6" fontId="11" fillId="0" borderId="10" xfId="0" applyNumberFormat="1" applyFont="1" applyBorder="1" applyAlignment="1" applyProtection="1"/>
    <xf numFmtId="164" fontId="12" fillId="0" borderId="4" xfId="0" applyNumberFormat="1" applyFont="1" applyBorder="1" applyAlignment="1" applyProtection="1">
      <alignment horizontal="right"/>
    </xf>
    <xf numFmtId="3" fontId="11" fillId="0" borderId="4" xfId="0" applyNumberFormat="1" applyFont="1" applyBorder="1" applyAlignment="1" applyProtection="1"/>
    <xf numFmtId="3" fontId="12" fillId="0" borderId="9" xfId="0" applyNumberFormat="1" applyFont="1" applyBorder="1" applyAlignment="1" applyProtection="1"/>
    <xf numFmtId="3" fontId="12" fillId="0" borderId="4" xfId="0" applyNumberFormat="1" applyFont="1" applyBorder="1" applyAlignment="1" applyProtection="1"/>
    <xf numFmtId="3" fontId="11" fillId="0" borderId="9" xfId="0" applyNumberFormat="1" applyFont="1" applyBorder="1" applyAlignment="1" applyProtection="1"/>
    <xf numFmtId="3" fontId="11" fillId="0" borderId="12" xfId="0" applyNumberFormat="1" applyFont="1" applyBorder="1" applyAlignment="1" applyProtection="1"/>
    <xf numFmtId="6" fontId="11" fillId="0" borderId="12" xfId="0" applyNumberFormat="1" applyFont="1" applyBorder="1" applyAlignment="1" applyProtection="1"/>
    <xf numFmtId="0" fontId="11" fillId="0" borderId="12" xfId="0" applyNumberFormat="1" applyFont="1" applyBorder="1" applyAlignment="1" applyProtection="1"/>
    <xf numFmtId="3" fontId="12" fillId="0" borderId="0" xfId="0" applyNumberFormat="1" applyFont="1" applyBorder="1" applyAlignment="1" applyProtection="1"/>
    <xf numFmtId="6" fontId="12" fillId="0" borderId="0" xfId="0" applyNumberFormat="1" applyFont="1" applyBorder="1" applyAlignment="1" applyProtection="1"/>
    <xf numFmtId="164" fontId="12" fillId="0" borderId="0" xfId="0" applyNumberFormat="1" applyFont="1" applyBorder="1" applyAlignment="1" applyProtection="1"/>
    <xf numFmtId="6" fontId="0" fillId="0" borderId="0" xfId="0" applyNumberFormat="1" applyFont="1"/>
    <xf numFmtId="164" fontId="0" fillId="0" borderId="0" xfId="0" applyNumberFormat="1" applyFont="1"/>
    <xf numFmtId="6" fontId="18" fillId="0" borderId="0" xfId="0" applyNumberFormat="1" applyFont="1"/>
    <xf numFmtId="40" fontId="0" fillId="0" borderId="0" xfId="0" applyNumberFormat="1" applyFont="1"/>
    <xf numFmtId="0" fontId="10" fillId="0" borderId="1" xfId="0" applyNumberFormat="1" applyFont="1" applyBorder="1" applyAlignment="1" applyProtection="1">
      <alignment horizontal="left" indent="2"/>
    </xf>
    <xf numFmtId="0" fontId="21" fillId="0" borderId="0" xfId="3" applyFont="1" applyFill="1" applyBorder="1"/>
    <xf numFmtId="0" fontId="21" fillId="0" borderId="0" xfId="3" applyFont="1"/>
    <xf numFmtId="0" fontId="20" fillId="2" borderId="16" xfId="3" applyFont="1" applyFill="1" applyBorder="1"/>
    <xf numFmtId="3" fontId="11" fillId="0" borderId="19" xfId="0" applyNumberFormat="1" applyFont="1" applyBorder="1" applyAlignment="1" applyProtection="1">
      <alignment vertical="center"/>
    </xf>
    <xf numFmtId="6" fontId="11" fillId="0" borderId="19" xfId="0" applyNumberFormat="1" applyFont="1" applyBorder="1" applyAlignment="1" applyProtection="1">
      <alignment vertical="center"/>
    </xf>
    <xf numFmtId="6" fontId="11" fillId="0" borderId="18" xfId="0" applyNumberFormat="1" applyFont="1" applyBorder="1" applyAlignment="1" applyProtection="1">
      <alignment vertical="center"/>
    </xf>
    <xf numFmtId="164" fontId="11" fillId="0" borderId="18" xfId="0" applyNumberFormat="1" applyFont="1" applyBorder="1" applyAlignment="1" applyProtection="1">
      <alignment horizontal="right" vertical="center"/>
    </xf>
    <xf numFmtId="3" fontId="11" fillId="0" borderId="19" xfId="0" applyNumberFormat="1" applyFont="1" applyFill="1" applyBorder="1" applyAlignment="1" applyProtection="1">
      <alignment vertical="center"/>
    </xf>
    <xf numFmtId="164" fontId="11" fillId="0" borderId="18" xfId="0" applyNumberFormat="1" applyFont="1" applyFill="1" applyBorder="1" applyAlignment="1" applyProtection="1">
      <alignment horizontal="right" vertical="center"/>
    </xf>
    <xf numFmtId="164" fontId="11" fillId="0" borderId="20" xfId="2" applyNumberFormat="1" applyFont="1" applyBorder="1" applyAlignment="1" applyProtection="1">
      <alignment horizontal="right" vertical="center"/>
    </xf>
    <xf numFmtId="164" fontId="12" fillId="0" borderId="18" xfId="0" applyNumberFormat="1" applyFont="1" applyBorder="1" applyAlignment="1" applyProtection="1">
      <alignment horizontal="right" vertical="center"/>
    </xf>
    <xf numFmtId="3" fontId="11" fillId="0" borderId="19" xfId="0" applyNumberFormat="1" applyFont="1" applyBorder="1" applyAlignment="1" applyProtection="1"/>
    <xf numFmtId="6" fontId="11" fillId="0" borderId="19" xfId="0" applyNumberFormat="1" applyFont="1" applyBorder="1" applyAlignment="1" applyProtection="1"/>
    <xf numFmtId="164" fontId="11" fillId="0" borderId="18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/>
    </xf>
    <xf numFmtId="6" fontId="10" fillId="0" borderId="1" xfId="0" applyNumberFormat="1" applyFont="1" applyFill="1" applyBorder="1" applyAlignment="1" applyProtection="1"/>
    <xf numFmtId="0" fontId="10" fillId="0" borderId="1" xfId="0" applyFont="1" applyBorder="1" applyProtection="1"/>
    <xf numFmtId="0" fontId="23" fillId="3" borderId="17" xfId="3" applyFont="1" applyFill="1" applyBorder="1" applyAlignment="1">
      <alignment horizontal="center" vertical="center"/>
    </xf>
    <xf numFmtId="164" fontId="0" fillId="0" borderId="0" xfId="0" applyNumberFormat="1" applyFont="1" applyBorder="1" applyProtection="1"/>
    <xf numFmtId="164" fontId="24" fillId="0" borderId="0" xfId="0" applyNumberFormat="1" applyFont="1" applyBorder="1" applyProtection="1"/>
    <xf numFmtId="0" fontId="24" fillId="0" borderId="0" xfId="0" applyFont="1" applyProtection="1"/>
    <xf numFmtId="0" fontId="24" fillId="0" borderId="0" xfId="0" applyFont="1"/>
    <xf numFmtId="0" fontId="25" fillId="0" borderId="0" xfId="0" applyFont="1"/>
    <xf numFmtId="6" fontId="11" fillId="0" borderId="0" xfId="0" applyNumberFormat="1" applyFont="1" applyBorder="1" applyAlignment="1" applyProtection="1"/>
    <xf numFmtId="164" fontId="11" fillId="0" borderId="0" xfId="0" applyNumberFormat="1" applyFont="1" applyBorder="1" applyAlignment="1" applyProtection="1">
      <alignment horizontal="right"/>
    </xf>
    <xf numFmtId="0" fontId="12" fillId="0" borderId="14" xfId="0" applyNumberFormat="1" applyFont="1" applyBorder="1" applyAlignment="1" applyProtection="1">
      <alignment vertical="center"/>
    </xf>
    <xf numFmtId="0" fontId="12" fillId="0" borderId="14" xfId="0" applyNumberFormat="1" applyFont="1" applyFill="1" applyBorder="1" applyAlignment="1" applyProtection="1">
      <alignment vertical="center"/>
    </xf>
    <xf numFmtId="0" fontId="12" fillId="0" borderId="14" xfId="0" applyNumberFormat="1" applyFont="1" applyBorder="1" applyAlignment="1" applyProtection="1"/>
    <xf numFmtId="0" fontId="6" fillId="0" borderId="0" xfId="0" applyFont="1" applyFill="1"/>
    <xf numFmtId="164" fontId="10" fillId="0" borderId="0" xfId="0" applyNumberFormat="1" applyFont="1" applyBorder="1" applyAlignment="1" applyProtection="1"/>
    <xf numFmtId="6" fontId="12" fillId="5" borderId="7" xfId="0" applyNumberFormat="1" applyFont="1" applyFill="1" applyBorder="1" applyAlignment="1" applyProtection="1"/>
    <xf numFmtId="6" fontId="12" fillId="0" borderId="7" xfId="0" applyNumberFormat="1" applyFont="1" applyFill="1" applyBorder="1" applyAlignment="1" applyProtection="1"/>
    <xf numFmtId="6" fontId="12" fillId="5" borderId="7" xfId="0" applyNumberFormat="1" applyFont="1" applyFill="1" applyBorder="1" applyAlignment="1" applyProtection="1">
      <alignment vertical="center"/>
    </xf>
    <xf numFmtId="6" fontId="13" fillId="0" borderId="0" xfId="0" applyNumberFormat="1" applyFont="1" applyBorder="1" applyAlignment="1" applyProtection="1">
      <alignment horizontal="center" vertical="justify"/>
    </xf>
    <xf numFmtId="6" fontId="11" fillId="0" borderId="0" xfId="0" applyNumberFormat="1" applyFont="1" applyBorder="1" applyAlignment="1" applyProtection="1">
      <alignment horizontal="center" vertical="center"/>
    </xf>
    <xf numFmtId="6" fontId="12" fillId="0" borderId="0" xfId="0" applyNumberFormat="1" applyFont="1" applyBorder="1" applyAlignment="1" applyProtection="1">
      <alignment vertical="center"/>
    </xf>
    <xf numFmtId="6" fontId="11" fillId="0" borderId="0" xfId="0" applyNumberFormat="1" applyFont="1" applyBorder="1" applyAlignment="1" applyProtection="1">
      <alignment vertical="center"/>
    </xf>
    <xf numFmtId="6" fontId="11" fillId="0" borderId="0" xfId="0" applyNumberFormat="1" applyFont="1" applyBorder="1" applyAlignment="1" applyProtection="1">
      <alignment horizontal="center"/>
    </xf>
    <xf numFmtId="6" fontId="11" fillId="0" borderId="0" xfId="0" applyNumberFormat="1" applyFont="1" applyBorder="1" applyAlignment="1" applyProtection="1">
      <alignment horizontal="center" wrapText="1"/>
    </xf>
    <xf numFmtId="6" fontId="11" fillId="0" borderId="13" xfId="0" applyNumberFormat="1" applyFont="1" applyBorder="1" applyAlignment="1" applyProtection="1">
      <alignment vertical="center"/>
    </xf>
    <xf numFmtId="6" fontId="12" fillId="0" borderId="10" xfId="0" applyNumberFormat="1" applyFont="1" applyBorder="1" applyAlignment="1" applyProtection="1">
      <alignment vertical="center"/>
    </xf>
    <xf numFmtId="10" fontId="0" fillId="0" borderId="0" xfId="2" applyNumberFormat="1" applyFont="1"/>
    <xf numFmtId="6" fontId="12" fillId="0" borderId="13" xfId="0" applyNumberFormat="1" applyFont="1" applyBorder="1" applyAlignment="1" applyProtection="1"/>
    <xf numFmtId="164" fontId="12" fillId="0" borderId="15" xfId="0" applyNumberFormat="1" applyFont="1" applyBorder="1" applyAlignment="1" applyProtection="1">
      <alignment horizontal="right" vertical="center"/>
    </xf>
    <xf numFmtId="6" fontId="11" fillId="0" borderId="4" xfId="0" applyNumberFormat="1" applyFont="1" applyBorder="1" applyAlignment="1">
      <alignment vertical="center"/>
    </xf>
    <xf numFmtId="6" fontId="11" fillId="0" borderId="9" xfId="0" applyNumberFormat="1" applyFont="1" applyBorder="1" applyAlignment="1">
      <alignment vertical="center"/>
    </xf>
    <xf numFmtId="6" fontId="12" fillId="0" borderId="9" xfId="0" applyNumberFormat="1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6" fontId="11" fillId="0" borderId="19" xfId="0" applyNumberFormat="1" applyFont="1" applyBorder="1" applyAlignment="1">
      <alignment vertical="center"/>
    </xf>
    <xf numFmtId="3" fontId="13" fillId="0" borderId="0" xfId="0" applyNumberFormat="1" applyFont="1"/>
    <xf numFmtId="6" fontId="10" fillId="0" borderId="0" xfId="0" applyNumberFormat="1" applyFont="1"/>
    <xf numFmtId="6" fontId="13" fillId="0" borderId="0" xfId="0" applyNumberFormat="1" applyFont="1" applyAlignment="1">
      <alignment horizontal="centerContinuous" vertical="justify"/>
    </xf>
    <xf numFmtId="0" fontId="10" fillId="0" borderId="1" xfId="0" applyFont="1" applyBorder="1"/>
    <xf numFmtId="164" fontId="0" fillId="0" borderId="0" xfId="0" applyNumberFormat="1"/>
    <xf numFmtId="164" fontId="10" fillId="0" borderId="0" xfId="0" applyNumberFormat="1" applyFont="1"/>
    <xf numFmtId="3" fontId="13" fillId="0" borderId="2" xfId="0" applyNumberFormat="1" applyFont="1" applyBorder="1"/>
    <xf numFmtId="6" fontId="10" fillId="0" borderId="2" xfId="0" applyNumberFormat="1" applyFont="1" applyBorder="1"/>
    <xf numFmtId="164" fontId="10" fillId="0" borderId="2" xfId="0" applyNumberFormat="1" applyFont="1" applyBorder="1"/>
    <xf numFmtId="3" fontId="11" fillId="0" borderId="3" xfId="0" applyNumberFormat="1" applyFont="1" applyBorder="1"/>
    <xf numFmtId="6" fontId="11" fillId="0" borderId="4" xfId="0" applyNumberFormat="1" applyFont="1" applyBorder="1" applyAlignment="1">
      <alignment horizontal="center"/>
    </xf>
    <xf numFmtId="6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6" fontId="11" fillId="0" borderId="0" xfId="0" applyNumberFormat="1" applyFont="1" applyAlignment="1">
      <alignment horizontal="center"/>
    </xf>
    <xf numFmtId="3" fontId="12" fillId="0" borderId="6" xfId="0" applyNumberFormat="1" applyFont="1" applyBorder="1" applyAlignment="1">
      <alignment wrapText="1"/>
    </xf>
    <xf numFmtId="6" fontId="11" fillId="0" borderId="7" xfId="0" applyNumberFormat="1" applyFont="1" applyBorder="1" applyAlignment="1">
      <alignment horizontal="center" wrapText="1"/>
    </xf>
    <xf numFmtId="164" fontId="11" fillId="0" borderId="7" xfId="0" applyNumberFormat="1" applyFont="1" applyBorder="1" applyAlignment="1">
      <alignment horizontal="center" wrapText="1"/>
    </xf>
    <xf numFmtId="6" fontId="1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3" fontId="11" fillId="0" borderId="8" xfId="0" applyNumberFormat="1" applyFont="1" applyBorder="1"/>
    <xf numFmtId="6" fontId="12" fillId="0" borderId="4" xfId="0" applyNumberFormat="1" applyFont="1" applyBorder="1"/>
    <xf numFmtId="164" fontId="12" fillId="0" borderId="9" xfId="0" applyNumberFormat="1" applyFont="1" applyBorder="1"/>
    <xf numFmtId="6" fontId="12" fillId="0" borderId="0" xfId="0" applyNumberFormat="1" applyFont="1"/>
    <xf numFmtId="164" fontId="12" fillId="0" borderId="4" xfId="0" applyNumberFormat="1" applyFont="1" applyBorder="1"/>
    <xf numFmtId="0" fontId="12" fillId="0" borderId="6" xfId="0" applyFont="1" applyBorder="1"/>
    <xf numFmtId="6" fontId="12" fillId="0" borderId="7" xfId="0" applyNumberFormat="1" applyFont="1" applyBorder="1"/>
    <xf numFmtId="164" fontId="12" fillId="0" borderId="10" xfId="0" applyNumberFormat="1" applyFont="1" applyBorder="1" applyAlignment="1">
      <alignment horizontal="right"/>
    </xf>
    <xf numFmtId="0" fontId="12" fillId="0" borderId="11" xfId="0" applyFont="1" applyBorder="1"/>
    <xf numFmtId="6" fontId="12" fillId="0" borderId="12" xfId="0" applyNumberFormat="1" applyFont="1" applyBorder="1"/>
    <xf numFmtId="0" fontId="12" fillId="0" borderId="4" xfId="0" applyFont="1" applyBorder="1"/>
    <xf numFmtId="6" fontId="12" fillId="0" borderId="9" xfId="0" applyNumberFormat="1" applyFont="1" applyBorder="1"/>
    <xf numFmtId="0" fontId="12" fillId="0" borderId="9" xfId="0" applyFont="1" applyBorder="1"/>
    <xf numFmtId="0" fontId="12" fillId="0" borderId="13" xfId="0" applyFont="1" applyBorder="1"/>
    <xf numFmtId="0" fontId="12" fillId="0" borderId="14" xfId="0" applyFont="1" applyBorder="1"/>
    <xf numFmtId="0" fontId="11" fillId="0" borderId="4" xfId="0" applyFont="1" applyBorder="1"/>
    <xf numFmtId="0" fontId="11" fillId="0" borderId="9" xfId="0" applyFont="1" applyBorder="1"/>
    <xf numFmtId="0" fontId="11" fillId="0" borderId="13" xfId="0" applyFont="1" applyBorder="1"/>
    <xf numFmtId="6" fontId="11" fillId="0" borderId="9" xfId="0" applyNumberFormat="1" applyFont="1" applyBorder="1"/>
    <xf numFmtId="164" fontId="11" fillId="0" borderId="10" xfId="0" applyNumberFormat="1" applyFont="1" applyBorder="1" applyAlignment="1">
      <alignment horizontal="right"/>
    </xf>
    <xf numFmtId="6" fontId="11" fillId="0" borderId="0" xfId="0" applyNumberFormat="1" applyFont="1"/>
    <xf numFmtId="0" fontId="12" fillId="0" borderId="7" xfId="0" applyFont="1" applyBorder="1"/>
    <xf numFmtId="0" fontId="12" fillId="0" borderId="12" xfId="0" applyFont="1" applyBorder="1"/>
    <xf numFmtId="0" fontId="12" fillId="0" borderId="10" xfId="0" applyFont="1" applyBorder="1"/>
    <xf numFmtId="6" fontId="11" fillId="0" borderId="4" xfId="0" applyNumberFormat="1" applyFont="1" applyBorder="1"/>
    <xf numFmtId="6" fontId="11" fillId="0" borderId="7" xfId="0" applyNumberFormat="1" applyFont="1" applyBorder="1"/>
    <xf numFmtId="0" fontId="11" fillId="0" borderId="7" xfId="0" applyFont="1" applyBorder="1"/>
    <xf numFmtId="0" fontId="11" fillId="0" borderId="10" xfId="0" applyFont="1" applyBorder="1"/>
    <xf numFmtId="6" fontId="11" fillId="0" borderId="10" xfId="0" applyNumberFormat="1" applyFont="1" applyBorder="1"/>
    <xf numFmtId="164" fontId="12" fillId="0" borderId="4" xfId="0" applyNumberFormat="1" applyFont="1" applyBorder="1" applyAlignment="1">
      <alignment horizontal="right"/>
    </xf>
    <xf numFmtId="3" fontId="11" fillId="0" borderId="4" xfId="0" applyNumberFormat="1" applyFont="1" applyBorder="1"/>
    <xf numFmtId="3" fontId="12" fillId="0" borderId="9" xfId="0" applyNumberFormat="1" applyFont="1" applyBorder="1"/>
    <xf numFmtId="3" fontId="12" fillId="0" borderId="4" xfId="0" applyNumberFormat="1" applyFont="1" applyBorder="1"/>
    <xf numFmtId="6" fontId="0" fillId="0" borderId="0" xfId="0" applyNumberFormat="1"/>
    <xf numFmtId="3" fontId="11" fillId="0" borderId="9" xfId="0" applyNumberFormat="1" applyFont="1" applyBorder="1"/>
    <xf numFmtId="3" fontId="11" fillId="0" borderId="12" xfId="0" applyNumberFormat="1" applyFont="1" applyBorder="1"/>
    <xf numFmtId="6" fontId="11" fillId="0" borderId="12" xfId="0" applyNumberFormat="1" applyFont="1" applyBorder="1"/>
    <xf numFmtId="0" fontId="11" fillId="0" borderId="12" xfId="0" applyFont="1" applyBorder="1"/>
    <xf numFmtId="3" fontId="11" fillId="0" borderId="19" xfId="0" applyNumberFormat="1" applyFont="1" applyBorder="1"/>
    <xf numFmtId="6" fontId="11" fillId="0" borderId="19" xfId="0" applyNumberFormat="1" applyFont="1" applyBorder="1"/>
    <xf numFmtId="164" fontId="11" fillId="0" borderId="18" xfId="0" applyNumberFormat="1" applyFont="1" applyBorder="1" applyAlignment="1">
      <alignment horizontal="right"/>
    </xf>
    <xf numFmtId="3" fontId="12" fillId="0" borderId="0" xfId="0" applyNumberFormat="1" applyFont="1"/>
    <xf numFmtId="164" fontId="12" fillId="0" borderId="0" xfId="0" applyNumberFormat="1" applyFont="1"/>
    <xf numFmtId="6" fontId="10" fillId="0" borderId="0" xfId="0" applyNumberFormat="1" applyFont="1" applyBorder="1" applyAlignment="1" applyProtection="1"/>
    <xf numFmtId="6" fontId="11" fillId="0" borderId="7" xfId="0" applyNumberFormat="1" applyFont="1" applyFill="1" applyBorder="1" applyAlignment="1" applyProtection="1">
      <alignment vertical="center"/>
    </xf>
    <xf numFmtId="0" fontId="22" fillId="4" borderId="0" xfId="0" applyFont="1" applyFill="1" applyAlignment="1">
      <alignment horizontal="center"/>
    </xf>
    <xf numFmtId="3" fontId="26" fillId="5" borderId="0" xfId="0" applyNumberFormat="1" applyFont="1" applyFill="1" applyAlignment="1">
      <alignment horizontal="center" wrapText="1"/>
    </xf>
    <xf numFmtId="3" fontId="26" fillId="5" borderId="2" xfId="0" applyNumberFormat="1" applyFont="1" applyFill="1" applyBorder="1" applyAlignment="1">
      <alignment horizont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-RevisedF-SUBR%20FY15BOR%201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5"/>
      <sheetName val="BOR-6"/>
      <sheetName val="ATH-1 Actual"/>
      <sheetName val="ATH-2-Actual"/>
      <sheetName val="ATH-1 13-14 Bgt"/>
      <sheetName val="ATH-2 13-14 Bgt"/>
      <sheetName val="ATH-1 14-15 Bgt"/>
      <sheetName val="ATH-2 14-15 Bgt"/>
    </sheetNames>
    <sheetDataSet>
      <sheetData sheetId="0">
        <row r="2">
          <cell r="B2" t="str">
            <v xml:space="preserve">Southern University and A&amp;M College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B2:M20"/>
  <sheetViews>
    <sheetView showGridLines="0" tabSelected="1" workbookViewId="0"/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305" t="s">
        <v>189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2:13" ht="15.75" thickBot="1" x14ac:dyDescent="0.3"/>
    <row r="4" spans="2:13" ht="15.75" thickBot="1" x14ac:dyDescent="0.3">
      <c r="B4" s="194" t="s">
        <v>137</v>
      </c>
      <c r="C4" s="124"/>
      <c r="D4" s="194" t="s">
        <v>143</v>
      </c>
      <c r="E4" s="124"/>
      <c r="F4" s="194" t="s">
        <v>147</v>
      </c>
      <c r="G4" s="124"/>
      <c r="H4" s="194" t="s">
        <v>148</v>
      </c>
      <c r="I4" s="124"/>
      <c r="J4" s="194" t="s">
        <v>149</v>
      </c>
      <c r="K4" s="124"/>
      <c r="L4" s="194" t="s">
        <v>150</v>
      </c>
      <c r="M4" s="124"/>
    </row>
    <row r="5" spans="2:13" x14ac:dyDescent="0.25">
      <c r="B5" s="192" t="s">
        <v>138</v>
      </c>
      <c r="C5" s="125"/>
      <c r="D5" s="193" t="s">
        <v>144</v>
      </c>
      <c r="E5" s="125"/>
      <c r="F5" s="193" t="s">
        <v>175</v>
      </c>
      <c r="G5" s="125"/>
      <c r="H5" s="193" t="s">
        <v>161</v>
      </c>
      <c r="I5" s="125"/>
      <c r="J5" s="193" t="s">
        <v>169</v>
      </c>
      <c r="K5" s="125"/>
      <c r="L5" s="193" t="s">
        <v>151</v>
      </c>
      <c r="M5" s="125"/>
    </row>
    <row r="6" spans="2:13" x14ac:dyDescent="0.25">
      <c r="B6" s="192" t="s">
        <v>139</v>
      </c>
      <c r="C6" s="125"/>
      <c r="D6" s="193" t="s">
        <v>145</v>
      </c>
      <c r="E6" s="220"/>
      <c r="F6" s="193" t="s">
        <v>176</v>
      </c>
      <c r="G6" s="125"/>
      <c r="H6" s="193" t="s">
        <v>162</v>
      </c>
      <c r="I6" s="125"/>
      <c r="J6" s="193" t="s">
        <v>170</v>
      </c>
      <c r="K6" s="125"/>
      <c r="L6" s="193" t="s">
        <v>152</v>
      </c>
      <c r="M6" s="125"/>
    </row>
    <row r="7" spans="2:13" x14ac:dyDescent="0.25">
      <c r="B7" s="192" t="s">
        <v>140</v>
      </c>
      <c r="C7" s="125"/>
      <c r="D7" s="193" t="s">
        <v>146</v>
      </c>
      <c r="E7" s="220"/>
      <c r="F7" s="193" t="s">
        <v>205</v>
      </c>
      <c r="G7" s="125"/>
      <c r="H7" s="193" t="s">
        <v>163</v>
      </c>
      <c r="I7" s="125"/>
      <c r="J7" s="193" t="s">
        <v>171</v>
      </c>
      <c r="K7" s="125"/>
      <c r="L7" s="193" t="s">
        <v>153</v>
      </c>
      <c r="M7" s="125"/>
    </row>
    <row r="8" spans="2:13" x14ac:dyDescent="0.25">
      <c r="B8" s="192" t="s">
        <v>141</v>
      </c>
      <c r="C8" s="125"/>
      <c r="D8" s="125"/>
      <c r="E8" s="220"/>
      <c r="F8" s="193" t="s">
        <v>206</v>
      </c>
      <c r="G8" s="125"/>
      <c r="H8" s="193" t="s">
        <v>164</v>
      </c>
      <c r="I8" s="125"/>
      <c r="J8" s="193" t="s">
        <v>172</v>
      </c>
      <c r="K8" s="125"/>
      <c r="L8" s="193" t="s">
        <v>154</v>
      </c>
      <c r="M8" s="125"/>
    </row>
    <row r="9" spans="2:13" x14ac:dyDescent="0.25">
      <c r="B9" s="192" t="s">
        <v>142</v>
      </c>
      <c r="C9" s="125"/>
      <c r="D9" s="125"/>
      <c r="E9" s="220"/>
      <c r="F9" s="193" t="s">
        <v>177</v>
      </c>
      <c r="G9" s="125"/>
      <c r="H9" s="193" t="s">
        <v>165</v>
      </c>
      <c r="I9" s="125"/>
      <c r="J9" s="193" t="s">
        <v>173</v>
      </c>
      <c r="K9" s="125"/>
      <c r="L9" s="193" t="s">
        <v>155</v>
      </c>
      <c r="M9" s="125"/>
    </row>
    <row r="10" spans="2:13" x14ac:dyDescent="0.25">
      <c r="B10" s="125"/>
      <c r="C10" s="125"/>
      <c r="D10" s="125"/>
      <c r="E10" s="220"/>
      <c r="F10" s="193" t="s">
        <v>178</v>
      </c>
      <c r="G10" s="125"/>
      <c r="H10" s="193" t="s">
        <v>166</v>
      </c>
      <c r="I10" s="125"/>
      <c r="J10" s="193" t="s">
        <v>174</v>
      </c>
      <c r="K10" s="125"/>
      <c r="L10" s="193" t="s">
        <v>156</v>
      </c>
      <c r="M10" s="125"/>
    </row>
    <row r="11" spans="2:13" x14ac:dyDescent="0.25">
      <c r="B11" s="125"/>
      <c r="C11" s="125"/>
      <c r="D11" s="125"/>
      <c r="E11" s="220"/>
      <c r="F11" s="193" t="s">
        <v>179</v>
      </c>
      <c r="G11" s="125"/>
      <c r="H11" s="193" t="s">
        <v>167</v>
      </c>
      <c r="I11" s="125"/>
      <c r="J11" s="125"/>
      <c r="K11" s="125"/>
      <c r="L11" s="193" t="s">
        <v>157</v>
      </c>
      <c r="M11" s="125"/>
    </row>
    <row r="12" spans="2:13" x14ac:dyDescent="0.25">
      <c r="B12" s="125"/>
      <c r="C12" s="125"/>
      <c r="D12" s="125"/>
      <c r="E12" s="220"/>
      <c r="F12" s="193" t="s">
        <v>180</v>
      </c>
      <c r="G12" s="125"/>
      <c r="H12" s="193" t="s">
        <v>168</v>
      </c>
      <c r="I12" s="125"/>
      <c r="J12" s="125"/>
      <c r="K12" s="125"/>
      <c r="L12" s="193" t="s">
        <v>158</v>
      </c>
      <c r="M12" s="125"/>
    </row>
    <row r="13" spans="2:13" x14ac:dyDescent="0.25">
      <c r="B13" s="125"/>
      <c r="C13" s="125"/>
      <c r="D13" s="125"/>
      <c r="E13" s="220"/>
      <c r="F13" s="193" t="s">
        <v>181</v>
      </c>
      <c r="G13" s="125"/>
      <c r="H13" s="125"/>
      <c r="I13" s="125"/>
      <c r="J13" s="125"/>
      <c r="K13" s="125"/>
      <c r="L13" s="193" t="s">
        <v>159</v>
      </c>
      <c r="M13" s="125"/>
    </row>
    <row r="14" spans="2:13" x14ac:dyDescent="0.25">
      <c r="B14" s="125"/>
      <c r="C14" s="125"/>
      <c r="D14" s="125"/>
      <c r="E14" s="125"/>
      <c r="F14" s="193" t="s">
        <v>182</v>
      </c>
      <c r="G14" s="125"/>
      <c r="H14" s="125"/>
      <c r="I14" s="125"/>
      <c r="J14" s="125"/>
      <c r="K14" s="125"/>
      <c r="L14" s="193" t="s">
        <v>160</v>
      </c>
      <c r="M14" s="125"/>
    </row>
    <row r="15" spans="2:13" x14ac:dyDescent="0.25">
      <c r="B15" s="125"/>
      <c r="C15" s="125"/>
      <c r="D15" s="125"/>
      <c r="E15" s="125"/>
      <c r="F15" s="193" t="s">
        <v>183</v>
      </c>
      <c r="G15" s="125"/>
      <c r="H15" s="125"/>
      <c r="I15" s="125"/>
      <c r="J15" s="125"/>
      <c r="K15" s="125"/>
      <c r="L15" s="125"/>
      <c r="M15" s="125"/>
    </row>
    <row r="16" spans="2:13" x14ac:dyDescent="0.25">
      <c r="B16" s="125"/>
      <c r="C16" s="125"/>
      <c r="D16" s="125"/>
      <c r="E16" s="125"/>
      <c r="F16" s="193" t="s">
        <v>184</v>
      </c>
      <c r="G16" s="125"/>
      <c r="H16" s="125"/>
      <c r="I16" s="125"/>
      <c r="J16" s="125"/>
      <c r="K16" s="125"/>
      <c r="L16" s="125"/>
      <c r="M16" s="125"/>
    </row>
    <row r="17" spans="2:13" x14ac:dyDescent="0.25">
      <c r="B17" s="125"/>
      <c r="C17" s="125"/>
      <c r="D17" s="125"/>
      <c r="E17" s="125"/>
      <c r="F17" s="193" t="s">
        <v>185</v>
      </c>
      <c r="G17" s="125"/>
      <c r="H17" s="125"/>
      <c r="I17" s="125"/>
      <c r="J17" s="125"/>
      <c r="K17" s="125"/>
      <c r="L17" s="125"/>
      <c r="M17" s="125"/>
    </row>
    <row r="18" spans="2:13" x14ac:dyDescent="0.25">
      <c r="B18" s="125"/>
      <c r="C18" s="125"/>
      <c r="D18" s="125"/>
      <c r="E18" s="125"/>
      <c r="F18" s="193" t="s">
        <v>186</v>
      </c>
      <c r="G18" s="193"/>
      <c r="H18" s="125"/>
      <c r="I18" s="125"/>
      <c r="J18" s="125"/>
      <c r="K18" s="125"/>
      <c r="L18" s="125"/>
      <c r="M18" s="125"/>
    </row>
    <row r="19" spans="2:13" x14ac:dyDescent="0.25">
      <c r="F19" s="193" t="s">
        <v>209</v>
      </c>
    </row>
    <row r="20" spans="2:13" x14ac:dyDescent="0.25">
      <c r="F20" s="193" t="s">
        <v>195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ULSummary!A1" tooltip="UL System Summary" display="ULS Summary" xr:uid="{00000000-0004-0000-0000-00000A000000}"/>
    <hyperlink ref="L5" location="UL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LSUHSCNO!A1" tooltip="LSU Health Sciences Center New Orleans" display="LSUHSCNO" xr:uid="{00000000-0004-0000-0000-00001A000000}"/>
    <hyperlink ref="H10" location="LSU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'SU Summary'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'LCTCS Summary'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B3201DA6-C0E7-444F-8AAB-120E7D7FE4FA}"/>
    <hyperlink ref="F8" location="RR!A1" tooltip="Workforce Training Rapid Response" display="RR" xr:uid="{D61D730C-F373-4062-A12A-846AAD59B2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135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2277892</v>
      </c>
      <c r="C8" s="69">
        <v>2277892</v>
      </c>
      <c r="D8" s="69">
        <v>3930182</v>
      </c>
      <c r="E8" s="69">
        <f>D8-C8</f>
        <v>1652290</v>
      </c>
      <c r="F8" s="70">
        <f t="shared" ref="F8:F31" si="0">IF(ISBLANK(E8),"  ",IF(C8&gt;0,E8/C8,IF(E8&gt;0,1,0)))</f>
        <v>0.72535923564418325</v>
      </c>
      <c r="G8" s="69">
        <v>3930182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33005.199999999997</v>
      </c>
      <c r="C10" s="72">
        <v>38636</v>
      </c>
      <c r="D10" s="72">
        <v>33097</v>
      </c>
      <c r="E10" s="69">
        <f t="shared" ref="E10:E31" si="1">D10-C10</f>
        <v>-5539</v>
      </c>
      <c r="F10" s="70">
        <f t="shared" si="0"/>
        <v>-0.14336370224660938</v>
      </c>
      <c r="G10" s="72">
        <v>33097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33005.199999999997</v>
      </c>
      <c r="C12" s="74">
        <v>38636</v>
      </c>
      <c r="D12" s="74">
        <v>33097</v>
      </c>
      <c r="E12" s="69">
        <f t="shared" si="1"/>
        <v>-5539</v>
      </c>
      <c r="F12" s="70">
        <f t="shared" si="0"/>
        <v>-0.14336370224660938</v>
      </c>
      <c r="G12" s="74">
        <v>33097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/>
      <c r="E30" s="69">
        <f t="shared" si="1"/>
        <v>0</v>
      </c>
      <c r="F30" s="70">
        <f t="shared" si="0"/>
        <v>0</v>
      </c>
      <c r="G30" s="74"/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/>
      <c r="E31" s="69">
        <f t="shared" si="1"/>
        <v>0</v>
      </c>
      <c r="F31" s="70">
        <f t="shared" si="0"/>
        <v>0</v>
      </c>
      <c r="G31" s="74"/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v>2310897.2000000002</v>
      </c>
      <c r="C37" s="80">
        <v>2316528</v>
      </c>
      <c r="D37" s="80">
        <f>D10+D8</f>
        <v>3963279</v>
      </c>
      <c r="E37" s="80">
        <f>D37-C37</f>
        <v>1646751</v>
      </c>
      <c r="F37" s="81">
        <f>IF(ISBLANK(E37),"  ",IF(C37&gt;0,E37/C37,IF(E37&gt;0,1,0)))</f>
        <v>0.71087031971985659</v>
      </c>
      <c r="G37" s="80">
        <f>G10+G8</f>
        <v>3963279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2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3">D41-C41</f>
        <v>0</v>
      </c>
      <c r="F41" s="70">
        <f t="shared" si="2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3"/>
        <v>0</v>
      </c>
      <c r="F42" s="70">
        <f t="shared" si="2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3"/>
        <v>0</v>
      </c>
      <c r="F43" s="70">
        <f t="shared" si="2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3"/>
        <v>0</v>
      </c>
      <c r="F44" s="81">
        <f t="shared" si="2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375000</v>
      </c>
      <c r="C46" s="87">
        <v>375000</v>
      </c>
      <c r="D46" s="87">
        <v>375000</v>
      </c>
      <c r="E46" s="87">
        <f>D46-C46</f>
        <v>0</v>
      </c>
      <c r="F46" s="81">
        <f>IF(ISBLANK(E46),"  ",IF(C46&gt;0,E46/C46,IF(E46&gt;0,1,0)))</f>
        <v>0</v>
      </c>
      <c r="G46" s="87">
        <v>375000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/>
      <c r="C48" s="87"/>
      <c r="D48" s="87"/>
      <c r="E48" s="87">
        <f>D48-C48</f>
        <v>0</v>
      </c>
      <c r="F48" s="81">
        <f>IF(ISBLANK(E48)," ",IF(C48&gt;0,E48/C48,IF(E48&gt;0,1,0)))</f>
        <v>0</v>
      </c>
      <c r="G48" s="87"/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4269576</v>
      </c>
      <c r="C52" s="85">
        <v>9100000</v>
      </c>
      <c r="D52" s="85">
        <v>9100000</v>
      </c>
      <c r="E52" s="85">
        <f>D52-C52</f>
        <v>0</v>
      </c>
      <c r="F52" s="81">
        <f>IF(ISBLANK(E52),"  ",IF(C52&gt;0,E52/C52,IF(E52&gt;0,1,0)))</f>
        <v>0</v>
      </c>
      <c r="G52" s="85">
        <v>9100000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4034667</v>
      </c>
      <c r="C54" s="89">
        <v>4034667</v>
      </c>
      <c r="D54" s="89">
        <v>4034667</v>
      </c>
      <c r="E54" s="89">
        <f>D54-C54</f>
        <v>0</v>
      </c>
      <c r="F54" s="81">
        <f>IF(ISBLANK(E54),"  ",IF(C54&gt;0,E54/C54,IF(E54&gt;0,1,0)))</f>
        <v>0</v>
      </c>
      <c r="G54" s="89">
        <v>4034667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v>10990140.199999999</v>
      </c>
      <c r="C58" s="85">
        <v>15826195</v>
      </c>
      <c r="D58" s="236">
        <f>D54+D52+D46+D37</f>
        <v>17472946</v>
      </c>
      <c r="E58" s="85">
        <f>D58-C58</f>
        <v>1646751</v>
      </c>
      <c r="F58" s="81">
        <f>IF(ISBLANK(E58),"  ",IF(C58&gt;0,E58/C58,IF(E58&gt;0,1,0)))</f>
        <v>0.10405223744557678</v>
      </c>
      <c r="G58" s="236">
        <f>G54+G52+G46+G37</f>
        <v>17472946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145845</v>
      </c>
      <c r="C62" s="65">
        <v>183657</v>
      </c>
      <c r="D62" s="65">
        <v>126879</v>
      </c>
      <c r="E62" s="65">
        <f>D62-C62</f>
        <v>-56778</v>
      </c>
      <c r="F62" s="70">
        <f t="shared" ref="F62:F75" si="4">IF(ISBLANK(E62),"  ",IF(C62&gt;0,E62/C62,IF(E62&gt;0,1,0)))</f>
        <v>-0.30915238733073064</v>
      </c>
      <c r="G62" s="65">
        <v>126879</v>
      </c>
      <c r="H62" s="227"/>
    </row>
    <row r="63" spans="1:8" ht="15" customHeight="1" x14ac:dyDescent="0.25">
      <c r="A63" s="75" t="s">
        <v>55</v>
      </c>
      <c r="B63" s="74">
        <v>6699964</v>
      </c>
      <c r="C63" s="74">
        <v>9145486</v>
      </c>
      <c r="D63" s="74">
        <v>10183300</v>
      </c>
      <c r="E63" s="74">
        <f>D63-C63</f>
        <v>1037814</v>
      </c>
      <c r="F63" s="70">
        <f t="shared" si="4"/>
        <v>0.11347827769896537</v>
      </c>
      <c r="G63" s="74">
        <v>10183300</v>
      </c>
      <c r="H63" s="227"/>
    </row>
    <row r="64" spans="1:8" ht="15" customHeight="1" x14ac:dyDescent="0.25">
      <c r="A64" s="75" t="s">
        <v>56</v>
      </c>
      <c r="B64" s="74">
        <v>452100</v>
      </c>
      <c r="C64" s="74">
        <v>454183</v>
      </c>
      <c r="D64" s="74">
        <v>700000</v>
      </c>
      <c r="E64" s="74">
        <f t="shared" ref="E64:E75" si="5">D64-C64</f>
        <v>245817</v>
      </c>
      <c r="F64" s="70">
        <f t="shared" si="4"/>
        <v>0.54122897598545083</v>
      </c>
      <c r="G64" s="74">
        <v>700000</v>
      </c>
      <c r="H64" s="227"/>
    </row>
    <row r="65" spans="1:8" ht="15" customHeight="1" x14ac:dyDescent="0.25">
      <c r="A65" s="75" t="s">
        <v>57</v>
      </c>
      <c r="B65" s="74">
        <v>124766</v>
      </c>
      <c r="C65" s="74">
        <v>147755</v>
      </c>
      <c r="D65" s="74">
        <v>122139</v>
      </c>
      <c r="E65" s="74">
        <f t="shared" si="5"/>
        <v>-25616</v>
      </c>
      <c r="F65" s="70">
        <f t="shared" si="4"/>
        <v>-0.1733680755304389</v>
      </c>
      <c r="G65" s="74">
        <v>122139</v>
      </c>
      <c r="H65" s="227"/>
    </row>
    <row r="66" spans="1:8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74">
        <f t="shared" si="5"/>
        <v>0</v>
      </c>
      <c r="F66" s="70">
        <f t="shared" si="4"/>
        <v>0</v>
      </c>
      <c r="G66" s="74">
        <v>0</v>
      </c>
      <c r="H66" s="227"/>
    </row>
    <row r="67" spans="1:8" ht="15" customHeight="1" x14ac:dyDescent="0.25">
      <c r="A67" s="75" t="s">
        <v>59</v>
      </c>
      <c r="B67" s="74">
        <v>991117</v>
      </c>
      <c r="C67" s="74">
        <v>1090606</v>
      </c>
      <c r="D67" s="74">
        <v>1096487.77</v>
      </c>
      <c r="E67" s="74">
        <f t="shared" si="5"/>
        <v>5881.7700000000186</v>
      </c>
      <c r="F67" s="70">
        <f t="shared" si="4"/>
        <v>5.3931208887536093E-3</v>
      </c>
      <c r="G67" s="74">
        <v>1096487.77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74">
        <f t="shared" si="5"/>
        <v>0</v>
      </c>
      <c r="F68" s="70">
        <f t="shared" si="4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734571</v>
      </c>
      <c r="C69" s="74">
        <v>674508</v>
      </c>
      <c r="D69" s="74">
        <v>1114140</v>
      </c>
      <c r="E69" s="74">
        <f t="shared" si="5"/>
        <v>439632</v>
      </c>
      <c r="F69" s="70">
        <f t="shared" si="4"/>
        <v>0.65178174313722004</v>
      </c>
      <c r="G69" s="74">
        <v>1114140</v>
      </c>
      <c r="H69" s="227"/>
    </row>
    <row r="70" spans="1:8" s="124" customFormat="1" ht="15" customHeight="1" x14ac:dyDescent="0.25">
      <c r="A70" s="94" t="s">
        <v>62</v>
      </c>
      <c r="B70" s="80">
        <v>9148363</v>
      </c>
      <c r="C70" s="80">
        <v>11696195</v>
      </c>
      <c r="D70" s="237">
        <f>SUM(D62:D69)</f>
        <v>13342945.77</v>
      </c>
      <c r="E70" s="80">
        <f t="shared" si="5"/>
        <v>1646750.7699999996</v>
      </c>
      <c r="F70" s="81">
        <f t="shared" si="4"/>
        <v>0.14079371710201477</v>
      </c>
      <c r="G70" s="237">
        <f>SUM(G62:G69)</f>
        <v>13342945.77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238">
        <v>0</v>
      </c>
      <c r="E71" s="74">
        <f t="shared" si="5"/>
        <v>0</v>
      </c>
      <c r="F71" s="70">
        <f t="shared" si="4"/>
        <v>0</v>
      </c>
      <c r="G71" s="238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238">
        <v>0</v>
      </c>
      <c r="E72" s="74">
        <f t="shared" si="5"/>
        <v>0</v>
      </c>
      <c r="F72" s="70">
        <f t="shared" si="4"/>
        <v>0</v>
      </c>
      <c r="G72" s="238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238">
        <v>0</v>
      </c>
      <c r="E73" s="74">
        <f t="shared" si="5"/>
        <v>0</v>
      </c>
      <c r="F73" s="70">
        <f t="shared" si="4"/>
        <v>0</v>
      </c>
      <c r="G73" s="238">
        <v>0</v>
      </c>
      <c r="H73" s="227"/>
    </row>
    <row r="74" spans="1:8" ht="15" customHeight="1" x14ac:dyDescent="0.25">
      <c r="A74" s="75" t="s">
        <v>66</v>
      </c>
      <c r="B74" s="74">
        <v>1841779</v>
      </c>
      <c r="C74" s="74">
        <v>4130000</v>
      </c>
      <c r="D74" s="238">
        <v>4130000</v>
      </c>
      <c r="E74" s="74">
        <f t="shared" si="5"/>
        <v>0</v>
      </c>
      <c r="F74" s="70">
        <f t="shared" si="4"/>
        <v>0</v>
      </c>
      <c r="G74" s="238">
        <v>4130000</v>
      </c>
      <c r="H74" s="227"/>
    </row>
    <row r="75" spans="1:8" s="124" customFormat="1" ht="15" customHeight="1" x14ac:dyDescent="0.25">
      <c r="A75" s="95" t="s">
        <v>67</v>
      </c>
      <c r="B75" s="96">
        <f>10990142-2</f>
        <v>10990140</v>
      </c>
      <c r="C75" s="96">
        <v>15826195</v>
      </c>
      <c r="D75" s="239">
        <f>D70+D74</f>
        <v>17472945.77</v>
      </c>
      <c r="E75" s="80">
        <f t="shared" si="5"/>
        <v>1646750.7699999996</v>
      </c>
      <c r="F75" s="81">
        <f t="shared" si="4"/>
        <v>0.10405222291270894</v>
      </c>
      <c r="G75" s="239">
        <f>G70+G74</f>
        <v>17472945.77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3074235</v>
      </c>
      <c r="C78" s="69">
        <v>3987155</v>
      </c>
      <c r="D78" s="69">
        <v>4261975</v>
      </c>
      <c r="E78" s="65">
        <f>D78-C78</f>
        <v>274820</v>
      </c>
      <c r="F78" s="70">
        <f t="shared" ref="F78:F96" si="6">IF(ISBLANK(E78),"  ",IF(C78&gt;0,E78/C78,IF(E78&gt;0,1,0)))</f>
        <v>6.8926339708388559E-2</v>
      </c>
      <c r="G78" s="69">
        <v>4261975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6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1163121</v>
      </c>
      <c r="C80" s="65">
        <v>1523073</v>
      </c>
      <c r="D80" s="65">
        <v>1758788.68</v>
      </c>
      <c r="E80" s="74">
        <f t="shared" ref="E80:E95" si="7">D80-C80</f>
        <v>235715.67999999993</v>
      </c>
      <c r="F80" s="70">
        <f t="shared" si="6"/>
        <v>0.15476321883455352</v>
      </c>
      <c r="G80" s="65">
        <v>1758788.68</v>
      </c>
      <c r="H80" s="227"/>
    </row>
    <row r="81" spans="1:8" s="124" customFormat="1" ht="15" customHeight="1" x14ac:dyDescent="0.25">
      <c r="A81" s="94" t="s">
        <v>72</v>
      </c>
      <c r="B81" s="96">
        <v>4237356</v>
      </c>
      <c r="C81" s="96">
        <v>5510228</v>
      </c>
      <c r="D81" s="96">
        <v>6020763.6799999997</v>
      </c>
      <c r="E81" s="80">
        <f t="shared" si="7"/>
        <v>510535.6799999997</v>
      </c>
      <c r="F81" s="81">
        <f t="shared" si="6"/>
        <v>9.265236937564103E-2</v>
      </c>
      <c r="G81" s="96">
        <v>6020763.6799999997</v>
      </c>
      <c r="H81" s="228"/>
    </row>
    <row r="82" spans="1:8" ht="15" customHeight="1" x14ac:dyDescent="0.25">
      <c r="A82" s="75" t="s">
        <v>73</v>
      </c>
      <c r="B82" s="72">
        <v>0</v>
      </c>
      <c r="C82" s="72">
        <v>0</v>
      </c>
      <c r="D82" s="72">
        <v>0</v>
      </c>
      <c r="E82" s="74">
        <f t="shared" si="7"/>
        <v>0</v>
      </c>
      <c r="F82" s="70">
        <f t="shared" si="6"/>
        <v>0</v>
      </c>
      <c r="G82" s="72">
        <v>0</v>
      </c>
      <c r="H82" s="227"/>
    </row>
    <row r="83" spans="1:8" ht="15" customHeight="1" x14ac:dyDescent="0.25">
      <c r="A83" s="75" t="s">
        <v>74</v>
      </c>
      <c r="B83" s="69">
        <v>147070</v>
      </c>
      <c r="C83" s="69">
        <v>147070</v>
      </c>
      <c r="D83" s="69">
        <v>517014.99</v>
      </c>
      <c r="E83" s="74">
        <f t="shared" si="7"/>
        <v>369944.99</v>
      </c>
      <c r="F83" s="70">
        <f t="shared" si="6"/>
        <v>2.5154347589583193</v>
      </c>
      <c r="G83" s="69">
        <v>517014.99</v>
      </c>
      <c r="H83" s="227"/>
    </row>
    <row r="84" spans="1:8" ht="15" customHeight="1" x14ac:dyDescent="0.25">
      <c r="A84" s="75" t="s">
        <v>75</v>
      </c>
      <c r="B84" s="65">
        <v>45801</v>
      </c>
      <c r="C84" s="65">
        <v>45800</v>
      </c>
      <c r="D84" s="65">
        <v>54400.020000000004</v>
      </c>
      <c r="E84" s="74">
        <f t="shared" si="7"/>
        <v>8600.0200000000041</v>
      </c>
      <c r="F84" s="70">
        <f t="shared" si="6"/>
        <v>0.18777336244541493</v>
      </c>
      <c r="G84" s="65">
        <v>54400.020000000004</v>
      </c>
      <c r="H84" s="227"/>
    </row>
    <row r="85" spans="1:8" s="124" customFormat="1" ht="15" customHeight="1" x14ac:dyDescent="0.25">
      <c r="A85" s="78" t="s">
        <v>76</v>
      </c>
      <c r="B85" s="96">
        <v>192871</v>
      </c>
      <c r="C85" s="96">
        <v>192870</v>
      </c>
      <c r="D85" s="96">
        <v>571415.01</v>
      </c>
      <c r="E85" s="80">
        <f t="shared" si="7"/>
        <v>378545.01</v>
      </c>
      <c r="F85" s="81">
        <f t="shared" si="6"/>
        <v>1.9626951314356822</v>
      </c>
      <c r="G85" s="96">
        <v>571415.01</v>
      </c>
      <c r="H85" s="228"/>
    </row>
    <row r="86" spans="1:8" ht="15" customHeight="1" x14ac:dyDescent="0.25">
      <c r="A86" s="75" t="s">
        <v>77</v>
      </c>
      <c r="B86" s="65">
        <v>0</v>
      </c>
      <c r="C86" s="65">
        <v>0</v>
      </c>
      <c r="D86" s="65">
        <v>0</v>
      </c>
      <c r="E86" s="74">
        <f t="shared" si="7"/>
        <v>0</v>
      </c>
      <c r="F86" s="70">
        <f t="shared" si="6"/>
        <v>0</v>
      </c>
      <c r="G86" s="65">
        <v>0</v>
      </c>
      <c r="H86" s="227"/>
    </row>
    <row r="87" spans="1:8" ht="15" customHeight="1" x14ac:dyDescent="0.25">
      <c r="A87" s="75" t="s">
        <v>78</v>
      </c>
      <c r="B87" s="74">
        <v>6253153</v>
      </c>
      <c r="C87" s="74">
        <v>9497376</v>
      </c>
      <c r="D87" s="74">
        <v>10257916</v>
      </c>
      <c r="E87" s="74">
        <f t="shared" si="7"/>
        <v>760540</v>
      </c>
      <c r="F87" s="70">
        <f t="shared" si="6"/>
        <v>8.0078960757160714E-2</v>
      </c>
      <c r="G87" s="74">
        <v>10257916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7"/>
        <v>0</v>
      </c>
      <c r="F88" s="70">
        <f t="shared" si="6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306762</v>
      </c>
      <c r="C89" s="74">
        <v>625721</v>
      </c>
      <c r="D89" s="74">
        <v>622851.07999999996</v>
      </c>
      <c r="E89" s="74">
        <f t="shared" si="7"/>
        <v>-2869.9200000000419</v>
      </c>
      <c r="F89" s="70">
        <f t="shared" si="6"/>
        <v>-4.5865809202504659E-3</v>
      </c>
      <c r="G89" s="74">
        <v>622851.07999999996</v>
      </c>
      <c r="H89" s="227"/>
    </row>
    <row r="90" spans="1:8" s="124" customFormat="1" ht="15" customHeight="1" x14ac:dyDescent="0.25">
      <c r="A90" s="78" t="s">
        <v>81</v>
      </c>
      <c r="B90" s="80">
        <v>6559915</v>
      </c>
      <c r="C90" s="80">
        <v>10123097</v>
      </c>
      <c r="D90" s="237">
        <f>SUM(D86:D89)</f>
        <v>10880767.08</v>
      </c>
      <c r="E90" s="80">
        <f t="shared" si="7"/>
        <v>757670.08000000007</v>
      </c>
      <c r="F90" s="81">
        <f t="shared" si="6"/>
        <v>7.4845680131287895E-2</v>
      </c>
      <c r="G90" s="237">
        <f>SUM(G86:G89)</f>
        <v>10880767.08</v>
      </c>
      <c r="H90" s="228"/>
    </row>
    <row r="91" spans="1:8" ht="15" customHeight="1" x14ac:dyDescent="0.25">
      <c r="A91" s="75" t="s">
        <v>82</v>
      </c>
      <c r="B91" s="74">
        <v>0</v>
      </c>
      <c r="C91" s="74">
        <v>0</v>
      </c>
      <c r="D91" s="238">
        <v>0</v>
      </c>
      <c r="E91" s="74">
        <f t="shared" si="7"/>
        <v>0</v>
      </c>
      <c r="F91" s="70">
        <f t="shared" si="6"/>
        <v>0</v>
      </c>
      <c r="G91" s="238">
        <v>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238">
        <v>0</v>
      </c>
      <c r="E92" s="74">
        <f t="shared" si="7"/>
        <v>0</v>
      </c>
      <c r="F92" s="70">
        <f t="shared" si="6"/>
        <v>0</v>
      </c>
      <c r="G92" s="238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238">
        <v>0</v>
      </c>
      <c r="E93" s="74">
        <f t="shared" si="7"/>
        <v>0</v>
      </c>
      <c r="F93" s="70">
        <f t="shared" si="6"/>
        <v>0</v>
      </c>
      <c r="G93" s="238">
        <v>0</v>
      </c>
      <c r="H93" s="227"/>
    </row>
    <row r="94" spans="1:8" s="124" customFormat="1" ht="15" customHeight="1" x14ac:dyDescent="0.25">
      <c r="A94" s="97" t="s">
        <v>85</v>
      </c>
      <c r="B94" s="96">
        <v>0</v>
      </c>
      <c r="C94" s="96">
        <v>0</v>
      </c>
      <c r="D94" s="239">
        <v>0</v>
      </c>
      <c r="E94" s="80">
        <f t="shared" si="7"/>
        <v>0</v>
      </c>
      <c r="F94" s="81">
        <f t="shared" si="6"/>
        <v>0</v>
      </c>
      <c r="G94" s="239">
        <v>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238">
        <v>0</v>
      </c>
      <c r="E95" s="74">
        <f t="shared" si="7"/>
        <v>0</v>
      </c>
      <c r="F95" s="70">
        <f t="shared" si="6"/>
        <v>0</v>
      </c>
      <c r="G95" s="238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10990142-2</f>
        <v>10990140</v>
      </c>
      <c r="C96" s="196">
        <v>15826195</v>
      </c>
      <c r="D96" s="240">
        <f>D94+D90+D85+D81</f>
        <v>17472945.77</v>
      </c>
      <c r="E96" s="196">
        <f>D96-C96</f>
        <v>1646750.7699999996</v>
      </c>
      <c r="F96" s="198">
        <f t="shared" si="6"/>
        <v>0.10405222291270894</v>
      </c>
      <c r="G96" s="240">
        <f>G94+G90+G85+G81</f>
        <v>17472945.77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136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290612361</v>
      </c>
      <c r="C8" s="69">
        <v>290757213</v>
      </c>
      <c r="D8" s="69">
        <v>305253022</v>
      </c>
      <c r="E8" s="69">
        <f>D8-C8</f>
        <v>14495809</v>
      </c>
      <c r="F8" s="70">
        <f t="shared" ref="F8:F31" si="0">IF(ISBLANK(E8),"  ",IF(C8&gt;0,E8/C8,IF(E8&gt;0,1,0)))</f>
        <v>4.9855371945665194E-2</v>
      </c>
      <c r="G8" s="69">
        <v>305253022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58540604.170000002</v>
      </c>
      <c r="C10" s="72">
        <v>58671326</v>
      </c>
      <c r="D10" s="72">
        <v>57641289</v>
      </c>
      <c r="E10" s="69">
        <f t="shared" ref="E10:E31" si="1">D10-C10</f>
        <v>-1030037</v>
      </c>
      <c r="F10" s="70">
        <f t="shared" si="0"/>
        <v>-1.7556054553803675E-2</v>
      </c>
      <c r="G10" s="72">
        <v>57641289</v>
      </c>
      <c r="H10" s="227"/>
    </row>
    <row r="11" spans="1:9" ht="15" customHeight="1" x14ac:dyDescent="0.25">
      <c r="A11" s="73" t="s">
        <v>15</v>
      </c>
      <c r="B11" s="74">
        <v>69278.17</v>
      </c>
      <c r="C11" s="74">
        <v>200000</v>
      </c>
      <c r="D11" s="74">
        <v>160000</v>
      </c>
      <c r="E11" s="69">
        <f t="shared" si="1"/>
        <v>-40000</v>
      </c>
      <c r="F11" s="70">
        <f t="shared" si="0"/>
        <v>-0.2</v>
      </c>
      <c r="G11" s="74">
        <v>160000</v>
      </c>
      <c r="H11" s="227"/>
    </row>
    <row r="12" spans="1:9" ht="15" customHeight="1" x14ac:dyDescent="0.25">
      <c r="A12" s="75" t="s">
        <v>16</v>
      </c>
      <c r="B12" s="74">
        <v>0</v>
      </c>
      <c r="C12" s="74">
        <v>0</v>
      </c>
      <c r="D12" s="74">
        <v>0</v>
      </c>
      <c r="E12" s="69">
        <f t="shared" si="1"/>
        <v>0</v>
      </c>
      <c r="F12" s="70">
        <f t="shared" si="0"/>
        <v>0</v>
      </c>
      <c r="G12" s="74">
        <v>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60000</v>
      </c>
      <c r="C25" s="74">
        <v>60000</v>
      </c>
      <c r="D25" s="74">
        <v>60000</v>
      </c>
      <c r="E25" s="69">
        <f t="shared" si="1"/>
        <v>0</v>
      </c>
      <c r="F25" s="70">
        <f t="shared" si="0"/>
        <v>0</v>
      </c>
      <c r="G25" s="74">
        <v>60000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58411326</v>
      </c>
      <c r="C27" s="74">
        <v>58411326</v>
      </c>
      <c r="D27" s="74">
        <v>57421289</v>
      </c>
      <c r="E27" s="69">
        <f t="shared" si="1"/>
        <v>-990037</v>
      </c>
      <c r="F27" s="70">
        <f t="shared" si="0"/>
        <v>-1.6949401217154356E-2</v>
      </c>
      <c r="G27" s="74">
        <v>57421289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v>349152965.17000002</v>
      </c>
      <c r="C37" s="80">
        <v>349428539</v>
      </c>
      <c r="D37" s="80">
        <v>362894311</v>
      </c>
      <c r="E37" s="80">
        <f>D37-C37</f>
        <v>13465772</v>
      </c>
      <c r="F37" s="81">
        <f>IF(ISBLANK(E37),"  ",IF(C37&gt;0,E37/C37,IF(E37&gt;0,1,0)))</f>
        <v>3.8536554680211742E-2</v>
      </c>
      <c r="G37" s="80">
        <v>362894311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2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3">D41-C41</f>
        <v>0</v>
      </c>
      <c r="F41" s="70">
        <f t="shared" si="2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3"/>
        <v>0</v>
      </c>
      <c r="F42" s="70">
        <f t="shared" si="2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3"/>
        <v>0</v>
      </c>
      <c r="F43" s="70">
        <f t="shared" si="2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3"/>
        <v>0</v>
      </c>
      <c r="F44" s="81">
        <f t="shared" si="2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275154.46000000002</v>
      </c>
      <c r="C46" s="87">
        <v>670998</v>
      </c>
      <c r="D46" s="87">
        <v>670998</v>
      </c>
      <c r="E46" s="87">
        <f>D46-C46</f>
        <v>0</v>
      </c>
      <c r="F46" s="81">
        <f>IF(ISBLANK(E46),"  ",IF(C46&gt;0,E46/C46,IF(E46&gt;0,1,0)))</f>
        <v>0</v>
      </c>
      <c r="G46" s="87">
        <v>670998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0</v>
      </c>
      <c r="C48" s="87">
        <v>0</v>
      </c>
      <c r="D48" s="87">
        <v>0</v>
      </c>
      <c r="E48" s="87">
        <f>D48-C48</f>
        <v>0</v>
      </c>
      <c r="F48" s="81">
        <f>IF(ISBLANK(E48)," ",IF(C48&gt;0,E48/C48,IF(E48&gt;0,1,0)))</f>
        <v>0</v>
      </c>
      <c r="G48" s="87">
        <v>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0</v>
      </c>
      <c r="C52" s="85">
        <v>0</v>
      </c>
      <c r="D52" s="85">
        <v>0</v>
      </c>
      <c r="E52" s="85">
        <f>D52-C52</f>
        <v>0</v>
      </c>
      <c r="F52" s="81">
        <f>IF(ISBLANK(E52),"  ",IF(C52&gt;0,E52/C52,IF(E52&gt;0,1,0)))</f>
        <v>0</v>
      </c>
      <c r="G52" s="85">
        <v>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22972579.389999997</v>
      </c>
      <c r="C54" s="89">
        <v>40167331</v>
      </c>
      <c r="D54" s="89">
        <v>37338331</v>
      </c>
      <c r="E54" s="89">
        <f>D54-C54</f>
        <v>-2829000</v>
      </c>
      <c r="F54" s="81">
        <f>IF(ISBLANK(E54),"  ",IF(C54&gt;0,E54/C54,IF(E54&gt;0,1,0)))</f>
        <v>-7.0430370392297159E-2</v>
      </c>
      <c r="G54" s="89">
        <v>37338331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v>372400699.02000004</v>
      </c>
      <c r="C58" s="85">
        <v>390266868</v>
      </c>
      <c r="D58" s="85">
        <v>400903640</v>
      </c>
      <c r="E58" s="85">
        <f>D58-C58</f>
        <v>10636772</v>
      </c>
      <c r="F58" s="81">
        <f>IF(ISBLANK(E58),"  ",IF(C58&gt;0,E58/C58,IF(E58&gt;0,1,0)))</f>
        <v>2.7255124306375913E-2</v>
      </c>
      <c r="G58" s="85">
        <v>400903640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0</v>
      </c>
      <c r="C62" s="65">
        <v>0</v>
      </c>
      <c r="D62" s="65">
        <v>0</v>
      </c>
      <c r="E62" s="65">
        <f>D62-C62</f>
        <v>0</v>
      </c>
      <c r="F62" s="70">
        <f t="shared" ref="F62:F75" si="4">IF(ISBLANK(E62),"  ",IF(C62&gt;0,E62/C62,IF(E62&gt;0,1,0)))</f>
        <v>0</v>
      </c>
      <c r="G62" s="65">
        <v>0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74">
        <f>D63-C63</f>
        <v>0</v>
      </c>
      <c r="F63" s="70">
        <f t="shared" si="4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74">
        <f t="shared" ref="E64:E75" si="5">D64-C64</f>
        <v>0</v>
      </c>
      <c r="F64" s="70">
        <f t="shared" si="4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0</v>
      </c>
      <c r="C65" s="74">
        <v>0</v>
      </c>
      <c r="D65" s="74">
        <v>0</v>
      </c>
      <c r="E65" s="74">
        <f t="shared" si="5"/>
        <v>0</v>
      </c>
      <c r="F65" s="70">
        <f t="shared" si="4"/>
        <v>0</v>
      </c>
      <c r="G65" s="74">
        <v>0</v>
      </c>
      <c r="H65" s="227"/>
    </row>
    <row r="66" spans="1:8" ht="15" customHeight="1" x14ac:dyDescent="0.25">
      <c r="A66" s="75" t="s">
        <v>58</v>
      </c>
      <c r="B66" s="74">
        <v>13485899.52</v>
      </c>
      <c r="C66" s="74">
        <v>15076967</v>
      </c>
      <c r="D66" s="74">
        <v>15202952</v>
      </c>
      <c r="E66" s="74">
        <f t="shared" si="5"/>
        <v>125985</v>
      </c>
      <c r="F66" s="70">
        <f t="shared" si="4"/>
        <v>8.3561236155786506E-3</v>
      </c>
      <c r="G66" s="74">
        <v>15202952</v>
      </c>
      <c r="H66" s="227"/>
    </row>
    <row r="67" spans="1:8" ht="15" customHeight="1" x14ac:dyDescent="0.25">
      <c r="A67" s="75" t="s">
        <v>59</v>
      </c>
      <c r="B67" s="74">
        <v>0</v>
      </c>
      <c r="C67" s="74">
        <v>0</v>
      </c>
      <c r="D67" s="74">
        <v>0</v>
      </c>
      <c r="E67" s="74">
        <f t="shared" si="5"/>
        <v>0</v>
      </c>
      <c r="F67" s="70">
        <f t="shared" si="4"/>
        <v>0</v>
      </c>
      <c r="G67" s="74">
        <v>0</v>
      </c>
      <c r="H67" s="227"/>
    </row>
    <row r="68" spans="1:8" ht="15" customHeight="1" x14ac:dyDescent="0.25">
      <c r="A68" s="75" t="s">
        <v>60</v>
      </c>
      <c r="B68" s="74">
        <v>338852616</v>
      </c>
      <c r="C68" s="74">
        <v>342329160</v>
      </c>
      <c r="D68" s="74">
        <v>353139947</v>
      </c>
      <c r="E68" s="74">
        <f t="shared" si="5"/>
        <v>10810787</v>
      </c>
      <c r="F68" s="70">
        <f t="shared" si="4"/>
        <v>3.1580093848855878E-2</v>
      </c>
      <c r="G68" s="74">
        <v>353139947</v>
      </c>
      <c r="H68" s="227"/>
    </row>
    <row r="69" spans="1:8" ht="15" customHeight="1" x14ac:dyDescent="0.25">
      <c r="A69" s="75" t="s">
        <v>61</v>
      </c>
      <c r="B69" s="74">
        <v>0</v>
      </c>
      <c r="C69" s="74">
        <v>0</v>
      </c>
      <c r="D69" s="74">
        <v>0</v>
      </c>
      <c r="E69" s="74">
        <f t="shared" si="5"/>
        <v>0</v>
      </c>
      <c r="F69" s="70">
        <f t="shared" si="4"/>
        <v>0</v>
      </c>
      <c r="G69" s="74">
        <v>0</v>
      </c>
      <c r="H69" s="227"/>
    </row>
    <row r="70" spans="1:8" s="124" customFormat="1" ht="15" customHeight="1" x14ac:dyDescent="0.25">
      <c r="A70" s="94" t="s">
        <v>62</v>
      </c>
      <c r="B70" s="80">
        <v>352338515.51999998</v>
      </c>
      <c r="C70" s="80">
        <v>357406127</v>
      </c>
      <c r="D70" s="80">
        <v>368342899</v>
      </c>
      <c r="E70" s="80">
        <f t="shared" si="5"/>
        <v>10936772</v>
      </c>
      <c r="F70" s="81">
        <f t="shared" si="4"/>
        <v>3.0600404340578077E-2</v>
      </c>
      <c r="G70" s="80">
        <v>368342899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5"/>
        <v>0</v>
      </c>
      <c r="F71" s="70">
        <f t="shared" si="4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74">
        <f t="shared" si="5"/>
        <v>0</v>
      </c>
      <c r="F72" s="70">
        <f t="shared" si="4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5"/>
        <v>0</v>
      </c>
      <c r="F73" s="70">
        <f t="shared" si="4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20062183</v>
      </c>
      <c r="C74" s="74">
        <v>32860741</v>
      </c>
      <c r="D74" s="74">
        <v>32560741</v>
      </c>
      <c r="E74" s="74">
        <f t="shared" si="5"/>
        <v>-300000</v>
      </c>
      <c r="F74" s="70">
        <f t="shared" si="4"/>
        <v>-9.1294350300865097E-3</v>
      </c>
      <c r="G74" s="74">
        <v>32560741</v>
      </c>
      <c r="H74" s="227"/>
    </row>
    <row r="75" spans="1:8" s="124" customFormat="1" ht="15" customHeight="1" x14ac:dyDescent="0.25">
      <c r="A75" s="95" t="s">
        <v>67</v>
      </c>
      <c r="B75" s="96">
        <v>372400698.51999998</v>
      </c>
      <c r="C75" s="96">
        <v>390266868</v>
      </c>
      <c r="D75" s="96">
        <v>400903640</v>
      </c>
      <c r="E75" s="80">
        <f t="shared" si="5"/>
        <v>10636772</v>
      </c>
      <c r="F75" s="81">
        <f t="shared" si="4"/>
        <v>2.7255124306375913E-2</v>
      </c>
      <c r="G75" s="96">
        <v>400903640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5606242</v>
      </c>
      <c r="C78" s="69">
        <v>6044420</v>
      </c>
      <c r="D78" s="69">
        <v>6110508</v>
      </c>
      <c r="E78" s="65">
        <f>D78-C78</f>
        <v>66088</v>
      </c>
      <c r="F78" s="70">
        <f t="shared" ref="F78:F96" si="6">IF(ISBLANK(E78),"  ",IF(C78&gt;0,E78/C78,IF(E78&gt;0,1,0)))</f>
        <v>1.0933720687841018E-2</v>
      </c>
      <c r="G78" s="69">
        <v>6110508</v>
      </c>
      <c r="H78" s="227"/>
    </row>
    <row r="79" spans="1:8" ht="15" customHeight="1" x14ac:dyDescent="0.25">
      <c r="A79" s="75" t="s">
        <v>70</v>
      </c>
      <c r="B79" s="72">
        <v>71368</v>
      </c>
      <c r="C79" s="72">
        <v>116311</v>
      </c>
      <c r="D79" s="72">
        <v>100121</v>
      </c>
      <c r="E79" s="74">
        <f>D79-C79</f>
        <v>-16190</v>
      </c>
      <c r="F79" s="70">
        <f t="shared" si="6"/>
        <v>-0.13919577683967982</v>
      </c>
      <c r="G79" s="72">
        <v>100121</v>
      </c>
      <c r="H79" s="227"/>
    </row>
    <row r="80" spans="1:8" ht="15" customHeight="1" x14ac:dyDescent="0.25">
      <c r="A80" s="75" t="s">
        <v>71</v>
      </c>
      <c r="B80" s="65">
        <v>2922703</v>
      </c>
      <c r="C80" s="65">
        <v>3167563</v>
      </c>
      <c r="D80" s="65">
        <v>3274833</v>
      </c>
      <c r="E80" s="74">
        <f t="shared" ref="E80:E95" si="7">D80-C80</f>
        <v>107270</v>
      </c>
      <c r="F80" s="70">
        <f t="shared" si="6"/>
        <v>3.3865151221933079E-2</v>
      </c>
      <c r="G80" s="65">
        <v>3274833</v>
      </c>
      <c r="H80" s="227"/>
    </row>
    <row r="81" spans="1:8" s="124" customFormat="1" ht="15" customHeight="1" x14ac:dyDescent="0.25">
      <c r="A81" s="94" t="s">
        <v>72</v>
      </c>
      <c r="B81" s="96">
        <v>8600313</v>
      </c>
      <c r="C81" s="96">
        <v>9328294</v>
      </c>
      <c r="D81" s="96">
        <v>9485462</v>
      </c>
      <c r="E81" s="80">
        <f t="shared" si="7"/>
        <v>157168</v>
      </c>
      <c r="F81" s="81">
        <f t="shared" si="6"/>
        <v>1.6848525571771217E-2</v>
      </c>
      <c r="G81" s="96">
        <v>9485462</v>
      </c>
      <c r="H81" s="228"/>
    </row>
    <row r="82" spans="1:8" ht="15" customHeight="1" x14ac:dyDescent="0.25">
      <c r="A82" s="75" t="s">
        <v>73</v>
      </c>
      <c r="B82" s="72">
        <v>212204</v>
      </c>
      <c r="C82" s="72">
        <v>281359</v>
      </c>
      <c r="D82" s="72">
        <v>248009</v>
      </c>
      <c r="E82" s="74">
        <f t="shared" si="7"/>
        <v>-33350</v>
      </c>
      <c r="F82" s="70">
        <f t="shared" si="6"/>
        <v>-0.11853184010463501</v>
      </c>
      <c r="G82" s="72">
        <v>248009</v>
      </c>
      <c r="H82" s="227"/>
    </row>
    <row r="83" spans="1:8" ht="15" customHeight="1" x14ac:dyDescent="0.25">
      <c r="A83" s="75" t="s">
        <v>74</v>
      </c>
      <c r="B83" s="69">
        <v>390148</v>
      </c>
      <c r="C83" s="69">
        <v>741321</v>
      </c>
      <c r="D83" s="69">
        <v>664230</v>
      </c>
      <c r="E83" s="74">
        <f t="shared" si="7"/>
        <v>-77091</v>
      </c>
      <c r="F83" s="70">
        <f t="shared" si="6"/>
        <v>-0.10399138834593921</v>
      </c>
      <c r="G83" s="69">
        <v>664230</v>
      </c>
      <c r="H83" s="227"/>
    </row>
    <row r="84" spans="1:8" ht="15" customHeight="1" x14ac:dyDescent="0.25">
      <c r="A84" s="75" t="s">
        <v>75</v>
      </c>
      <c r="B84" s="65">
        <v>73199</v>
      </c>
      <c r="C84" s="65">
        <v>107867</v>
      </c>
      <c r="D84" s="65">
        <v>114067</v>
      </c>
      <c r="E84" s="74">
        <f t="shared" si="7"/>
        <v>6200</v>
      </c>
      <c r="F84" s="70">
        <f t="shared" si="6"/>
        <v>5.7478190734886483E-2</v>
      </c>
      <c r="G84" s="65">
        <v>114067</v>
      </c>
      <c r="H84" s="227"/>
    </row>
    <row r="85" spans="1:8" s="124" customFormat="1" ht="15" customHeight="1" x14ac:dyDescent="0.25">
      <c r="A85" s="78" t="s">
        <v>76</v>
      </c>
      <c r="B85" s="96">
        <v>675551</v>
      </c>
      <c r="C85" s="96">
        <v>1130547</v>
      </c>
      <c r="D85" s="96">
        <v>1026306</v>
      </c>
      <c r="E85" s="80">
        <f t="shared" si="7"/>
        <v>-104241</v>
      </c>
      <c r="F85" s="81">
        <f t="shared" si="6"/>
        <v>-9.2204039283638808E-2</v>
      </c>
      <c r="G85" s="96">
        <v>1026306</v>
      </c>
      <c r="H85" s="228"/>
    </row>
    <row r="86" spans="1:8" ht="15" customHeight="1" x14ac:dyDescent="0.25">
      <c r="A86" s="75" t="s">
        <v>77</v>
      </c>
      <c r="B86" s="65">
        <v>2992712.52</v>
      </c>
      <c r="C86" s="65">
        <v>4804841</v>
      </c>
      <c r="D86" s="65">
        <v>4492993</v>
      </c>
      <c r="E86" s="74">
        <f t="shared" si="7"/>
        <v>-311848</v>
      </c>
      <c r="F86" s="70">
        <f t="shared" si="6"/>
        <v>-6.4902876078521646E-2</v>
      </c>
      <c r="G86" s="65">
        <v>4492993</v>
      </c>
      <c r="H86" s="227"/>
    </row>
    <row r="87" spans="1:8" ht="15" customHeight="1" x14ac:dyDescent="0.25">
      <c r="A87" s="75" t="s">
        <v>78</v>
      </c>
      <c r="B87" s="74">
        <v>358944221</v>
      </c>
      <c r="C87" s="74">
        <v>373593279</v>
      </c>
      <c r="D87" s="74">
        <v>384473558</v>
      </c>
      <c r="E87" s="74">
        <f t="shared" si="7"/>
        <v>10880279</v>
      </c>
      <c r="F87" s="70">
        <f t="shared" si="6"/>
        <v>2.9123326386179448E-2</v>
      </c>
      <c r="G87" s="74">
        <v>384473558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7"/>
        <v>0</v>
      </c>
      <c r="F88" s="70">
        <f t="shared" si="6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1164674</v>
      </c>
      <c r="C89" s="74">
        <v>1358707</v>
      </c>
      <c r="D89" s="74">
        <v>1374121</v>
      </c>
      <c r="E89" s="74">
        <f t="shared" si="7"/>
        <v>15414</v>
      </c>
      <c r="F89" s="70">
        <f t="shared" si="6"/>
        <v>1.1344609249823546E-2</v>
      </c>
      <c r="G89" s="74">
        <v>1374121</v>
      </c>
      <c r="H89" s="227"/>
    </row>
    <row r="90" spans="1:8" s="124" customFormat="1" ht="15" customHeight="1" x14ac:dyDescent="0.25">
      <c r="A90" s="78" t="s">
        <v>81</v>
      </c>
      <c r="B90" s="80">
        <v>363101607.51999998</v>
      </c>
      <c r="C90" s="80">
        <v>379756827</v>
      </c>
      <c r="D90" s="80">
        <v>390340672</v>
      </c>
      <c r="E90" s="80">
        <f t="shared" si="7"/>
        <v>10583845</v>
      </c>
      <c r="F90" s="81">
        <f t="shared" si="6"/>
        <v>2.7870058541436045E-2</v>
      </c>
      <c r="G90" s="80">
        <v>390340672</v>
      </c>
      <c r="H90" s="228"/>
    </row>
    <row r="91" spans="1:8" ht="15" customHeight="1" x14ac:dyDescent="0.25">
      <c r="A91" s="75" t="s">
        <v>82</v>
      </c>
      <c r="B91" s="74">
        <v>23227</v>
      </c>
      <c r="C91" s="74">
        <v>51200</v>
      </c>
      <c r="D91" s="74">
        <v>51200</v>
      </c>
      <c r="E91" s="74">
        <f t="shared" si="7"/>
        <v>0</v>
      </c>
      <c r="F91" s="70">
        <f t="shared" si="6"/>
        <v>0</v>
      </c>
      <c r="G91" s="74">
        <v>51200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7"/>
        <v>0</v>
      </c>
      <c r="F92" s="70">
        <f t="shared" si="6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7"/>
        <v>0</v>
      </c>
      <c r="F93" s="70">
        <f t="shared" si="6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v>23227</v>
      </c>
      <c r="C94" s="96">
        <v>51200</v>
      </c>
      <c r="D94" s="96">
        <v>51200</v>
      </c>
      <c r="E94" s="80">
        <f t="shared" si="7"/>
        <v>0</v>
      </c>
      <c r="F94" s="81">
        <f t="shared" si="6"/>
        <v>0</v>
      </c>
      <c r="G94" s="96">
        <v>51200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7"/>
        <v>0</v>
      </c>
      <c r="F95" s="70">
        <f t="shared" si="6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v>372400698.51999998</v>
      </c>
      <c r="C96" s="196">
        <v>390266868</v>
      </c>
      <c r="D96" s="196">
        <v>400903640</v>
      </c>
      <c r="E96" s="196">
        <f>D96-C96</f>
        <v>10636772</v>
      </c>
      <c r="F96" s="198">
        <f t="shared" si="6"/>
        <v>2.7255124306375913E-2</v>
      </c>
      <c r="G96" s="196">
        <v>400903640</v>
      </c>
      <c r="H96" s="228"/>
    </row>
    <row r="97" spans="1:9" ht="15" customHeight="1" thickTop="1" x14ac:dyDescent="0.4">
      <c r="A97" s="4"/>
      <c r="B97" s="5"/>
      <c r="C97" s="10">
        <v>0</v>
      </c>
      <c r="D97" s="10"/>
      <c r="E97" s="10">
        <v>0</v>
      </c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3.7109375" style="12" customWidth="1"/>
    <col min="5" max="5" width="23.7109375" style="2" customWidth="1"/>
    <col min="6" max="6" width="23.7109375" style="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5"/>
      <c r="D1" s="32" t="s">
        <v>1</v>
      </c>
      <c r="E1" s="29" t="s">
        <v>90</v>
      </c>
      <c r="F1" s="40"/>
    </row>
    <row r="2" spans="1:9" ht="19.5" customHeight="1" thickBot="1" x14ac:dyDescent="0.35">
      <c r="A2" s="30" t="s">
        <v>2</v>
      </c>
      <c r="B2" s="31"/>
      <c r="C2" s="36"/>
      <c r="D2" s="31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303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ULBoard!B8+Grambling!B8+LATech!B8+McNeese!B8+Nicholls!B8+NwSU!B8+SLU!B8+ULL!B8+ULM!B8+UNO!B8</f>
        <v>223947532.5</v>
      </c>
      <c r="C8" s="69">
        <f>ULBoard!C8+Grambling!C8+LATech!C8+McNeese!C8+Nicholls!C8+NwSU!C8+SLU!C8+ULL!C8+ULM!C8+UNO!C8</f>
        <v>223947532</v>
      </c>
      <c r="D8" s="69">
        <f>ULBoard!D8+Grambling!D8+LATech!D8+McNeese!D8+Nicholls!D8+NwSU!D8+SLU!D8+ULL!D8+ULM!D8+UNO!D8-0.17</f>
        <v>169988976.83000001</v>
      </c>
      <c r="E8" s="69">
        <f>D8-C8</f>
        <v>-53958555.169999987</v>
      </c>
      <c r="F8" s="70">
        <f t="shared" ref="F8:F31" si="0">IF(ISBLANK(E8),"  ",IF(C8&gt;0,E8/C8,IF(E8&gt;0,1,0)))</f>
        <v>-0.24094284356748341</v>
      </c>
      <c r="G8" s="69">
        <f>ULBoard!G8+Grambling!G8+LATech!G8+McNeese!G8+Nicholls!G8+NwSU!G8+SLU!G8+ULL!G8+ULM!G8+UNO!G8-0.17</f>
        <v>169988976.83000001</v>
      </c>
      <c r="H8" s="227"/>
    </row>
    <row r="9" spans="1:9" ht="15" customHeight="1" x14ac:dyDescent="0.25">
      <c r="A9" s="68" t="s">
        <v>13</v>
      </c>
      <c r="B9" s="69">
        <f>ULBoard!B9+Grambling!B9+LATech!B9+McNeese!B9+Nicholls!B9+NwSU!B9+SLU!B9+ULL!B9+ULM!B9+UNO!B9</f>
        <v>0</v>
      </c>
      <c r="C9" s="69">
        <f>ULBoard!C9+Grambling!C9+LATech!C9+McNeese!C9+Nicholls!C9+NwSU!C9+SLU!C9+ULL!C9+ULM!C9+UNO!C9</f>
        <v>0</v>
      </c>
      <c r="D9" s="69">
        <f>ULBoard!D9+Grambling!D9+LATech!D9+McNeese!D9+Nicholls!D9+NwSU!D9+SLU!D9+ULL!D9+ULM!D9+UNO!D9</f>
        <v>0</v>
      </c>
      <c r="E9" s="69">
        <f>D9-C9</f>
        <v>0</v>
      </c>
      <c r="F9" s="70">
        <f t="shared" si="0"/>
        <v>0</v>
      </c>
      <c r="G9" s="69">
        <f>ULBoard!G9+Grambling!G9+LATech!G9+McNeese!G9+Nicholls!G9+NwSU!G9+SLU!G9+ULL!G9+ULM!G9+UNO!G9</f>
        <v>0</v>
      </c>
      <c r="H9" s="227"/>
    </row>
    <row r="10" spans="1:9" ht="15" customHeight="1" x14ac:dyDescent="0.25">
      <c r="A10" s="71" t="s">
        <v>14</v>
      </c>
      <c r="B10" s="69">
        <f>ULBoard!B10+Grambling!B10+LATech!B10+McNeese!B10+Nicholls!B10+NwSU!B10+SLU!B10+ULL!B10+ULM!B10+UNO!B10</f>
        <v>15352868.5</v>
      </c>
      <c r="C10" s="69">
        <f>ULBoard!C10+Grambling!C10+LATech!C10+McNeese!C10+Nicholls!C10+NwSU!C10+SLU!C10+ULL!C10+ULM!C10+UNO!C10</f>
        <v>17923276</v>
      </c>
      <c r="D10" s="69">
        <f>ULBoard!D10+Grambling!D10+LATech!D10+McNeese!D10+Nicholls!D10+NwSU!D10+SLU!D10+ULL!D10+ULM!D10+UNO!D10</f>
        <v>15438991</v>
      </c>
      <c r="E10" s="69">
        <f t="shared" ref="E10:E31" si="1">D10-C10</f>
        <v>-2484285</v>
      </c>
      <c r="F10" s="70">
        <f t="shared" si="0"/>
        <v>-0.13860663642070792</v>
      </c>
      <c r="G10" s="69">
        <f>ULBoard!G10+Grambling!G10+LATech!G10+McNeese!G10+Nicholls!G10+NwSU!G10+SLU!G10+ULL!G10+ULM!G10+UNO!G10</f>
        <v>15438991</v>
      </c>
      <c r="H10" s="227"/>
    </row>
    <row r="11" spans="1:9" ht="15" customHeight="1" x14ac:dyDescent="0.25">
      <c r="A11" s="73" t="s">
        <v>15</v>
      </c>
      <c r="B11" s="69">
        <f>ULBoard!B11+Grambling!B11+LATech!B11+McNeese!B11+Nicholls!B11+NwSU!B11+SLU!B11+ULL!B11+ULM!B11+UNO!B11</f>
        <v>0</v>
      </c>
      <c r="C11" s="69">
        <f>ULBoard!C11+Grambling!C11+LATech!C11+McNeese!C11+Nicholls!C11+NwSU!C11+SLU!C11+ULL!C11+ULM!C11+UNO!C11</f>
        <v>0</v>
      </c>
      <c r="D11" s="69">
        <f>ULBoard!D11+Grambling!D11+LATech!D11+McNeese!D11+Nicholls!D11+NwSU!D11+SLU!D11+ULL!D11+ULM!D11+UNO!D11</f>
        <v>0</v>
      </c>
      <c r="E11" s="69">
        <f t="shared" si="1"/>
        <v>0</v>
      </c>
      <c r="F11" s="70">
        <f t="shared" si="0"/>
        <v>0</v>
      </c>
      <c r="G11" s="69">
        <f>ULBoard!G11+Grambling!G11+LATech!G11+McNeese!G11+Nicholls!G11+NwSU!G11+SLU!G11+ULL!G11+ULM!G11+UNO!G11</f>
        <v>0</v>
      </c>
      <c r="H11" s="227"/>
    </row>
    <row r="12" spans="1:9" ht="15" customHeight="1" x14ac:dyDescent="0.25">
      <c r="A12" s="75" t="s">
        <v>16</v>
      </c>
      <c r="B12" s="69">
        <f>ULBoard!B12+Grambling!B12+LATech!B12+McNeese!B12+Nicholls!B12+NwSU!B12+SLU!B12+ULL!B12+ULM!B12+UNO!B12</f>
        <v>13332078.239999998</v>
      </c>
      <c r="C12" s="69">
        <f>ULBoard!C12+Grambling!C12+LATech!C12+McNeese!C12+Nicholls!C12+NwSU!C12+SLU!C12+ULL!C12+ULM!C12+UNO!C12</f>
        <v>15839532</v>
      </c>
      <c r="D12" s="69">
        <f>ULBoard!D12+Grambling!D12+LATech!D12+McNeese!D12+Nicholls!D12+NwSU!D12+SLU!D12+ULL!D12+ULM!D12+UNO!D12</f>
        <v>13568726</v>
      </c>
      <c r="E12" s="69">
        <f t="shared" si="1"/>
        <v>-2270806</v>
      </c>
      <c r="F12" s="70">
        <f t="shared" si="0"/>
        <v>-0.1433632003773849</v>
      </c>
      <c r="G12" s="69">
        <f>ULBoard!G12+Grambling!G12+LATech!G12+McNeese!G12+Nicholls!G12+NwSU!G12+SLU!G12+ULL!G12+ULM!G12+UNO!G12</f>
        <v>13568726</v>
      </c>
      <c r="H12" s="227"/>
    </row>
    <row r="13" spans="1:9" ht="15" customHeight="1" x14ac:dyDescent="0.25">
      <c r="A13" s="75" t="s">
        <v>17</v>
      </c>
      <c r="B13" s="69">
        <f>ULBoard!B13+Grambling!B13+LATech!B13+McNeese!B13+Nicholls!B13+NwSU!B13+SLU!B13+ULL!B13+ULM!B13+UNO!B13</f>
        <v>0</v>
      </c>
      <c r="C13" s="69">
        <f>ULBoard!C13+Grambling!C13+LATech!C13+McNeese!C13+Nicholls!C13+NwSU!C13+SLU!C13+ULL!C13+ULM!C13+UNO!C13</f>
        <v>0</v>
      </c>
      <c r="D13" s="69">
        <f>ULBoard!D13+Grambling!D13+LATech!D13+McNeese!D13+Nicholls!D13+NwSU!D13+SLU!D13+ULL!D13+ULM!D13+UNO!D13</f>
        <v>0</v>
      </c>
      <c r="E13" s="69">
        <f t="shared" si="1"/>
        <v>0</v>
      </c>
      <c r="F13" s="70">
        <f t="shared" si="0"/>
        <v>0</v>
      </c>
      <c r="G13" s="69">
        <f>ULBoard!G13+Grambling!G13+LATech!G13+McNeese!G13+Nicholls!G13+NwSU!G13+SLU!G13+ULL!G13+ULM!G13+UNO!G13</f>
        <v>0</v>
      </c>
      <c r="H13" s="227"/>
    </row>
    <row r="14" spans="1:9" ht="15" customHeight="1" x14ac:dyDescent="0.25">
      <c r="A14" s="75" t="s">
        <v>18</v>
      </c>
      <c r="B14" s="69">
        <f>ULBoard!B14+Grambling!B14+LATech!B14+McNeese!B14+Nicholls!B14+NwSU!B14+SLU!B14+ULL!B14+ULM!B14+UNO!B14</f>
        <v>428916.25999999995</v>
      </c>
      <c r="C14" s="69">
        <f>ULBoard!C14+Grambling!C14+LATech!C14+McNeese!C14+Nicholls!C14+NwSU!C14+SLU!C14+ULL!C14+ULM!C14+UNO!C14</f>
        <v>491870</v>
      </c>
      <c r="D14" s="69">
        <f>ULBoard!D14+Grambling!D14+LATech!D14+McNeese!D14+Nicholls!D14+NwSU!D14+SLU!D14+ULL!D14+ULM!D14+UNO!D14</f>
        <v>236138</v>
      </c>
      <c r="E14" s="69">
        <f t="shared" si="1"/>
        <v>-255732</v>
      </c>
      <c r="F14" s="70">
        <f t="shared" si="0"/>
        <v>-0.51991786447638599</v>
      </c>
      <c r="G14" s="69">
        <f>ULBoard!G14+Grambling!G14+LATech!G14+McNeese!G14+Nicholls!G14+NwSU!G14+SLU!G14+ULL!G14+ULM!G14+UNO!G14</f>
        <v>236138</v>
      </c>
      <c r="H14" s="227"/>
    </row>
    <row r="15" spans="1:9" ht="15" customHeight="1" x14ac:dyDescent="0.25">
      <c r="A15" s="75" t="s">
        <v>19</v>
      </c>
      <c r="B15" s="69">
        <f>ULBoard!B15+Grambling!B15+LATech!B15+McNeese!B15+Nicholls!B15+NwSU!B15+SLU!B15+ULL!B15+ULM!B15+UNO!B15</f>
        <v>1591874</v>
      </c>
      <c r="C15" s="69">
        <f>ULBoard!C15+Grambling!C15+LATech!C15+McNeese!C15+Nicholls!C15+NwSU!C15+SLU!C15+ULL!C15+ULM!C15+UNO!C15</f>
        <v>1591874</v>
      </c>
      <c r="D15" s="69">
        <f>ULBoard!D15+Grambling!D15+LATech!D15+McNeese!D15+Nicholls!D15+NwSU!D15+SLU!D15+ULL!D15+ULM!D15+UNO!D15</f>
        <v>1634127</v>
      </c>
      <c r="E15" s="69">
        <f t="shared" si="1"/>
        <v>42253</v>
      </c>
      <c r="F15" s="70">
        <f t="shared" si="0"/>
        <v>2.6542929905256321E-2</v>
      </c>
      <c r="G15" s="69">
        <f>ULBoard!G15+Grambling!G15+LATech!G15+McNeese!G15+Nicholls!G15+NwSU!G15+SLU!G15+ULL!G15+ULM!G15+UNO!G15</f>
        <v>1634127</v>
      </c>
      <c r="H15" s="227"/>
    </row>
    <row r="16" spans="1:9" ht="15" customHeight="1" x14ac:dyDescent="0.25">
      <c r="A16" s="75" t="s">
        <v>20</v>
      </c>
      <c r="B16" s="69">
        <f>ULBoard!B16+Grambling!B16+LATech!B16+McNeese!B16+Nicholls!B16+NwSU!B16+SLU!B16+ULL!B16+ULM!B16+UNO!B16</f>
        <v>0</v>
      </c>
      <c r="C16" s="69">
        <f>ULBoard!C16+Grambling!C16+LATech!C16+McNeese!C16+Nicholls!C16+NwSU!C16+SLU!C16+ULL!C16+ULM!C16+UNO!C16</f>
        <v>0</v>
      </c>
      <c r="D16" s="69">
        <f>ULBoard!D16+Grambling!D16+LATech!D16+McNeese!D16+Nicholls!D16+NwSU!D16+SLU!D16+ULL!D16+ULM!D16+UNO!D16</f>
        <v>0</v>
      </c>
      <c r="E16" s="69">
        <f t="shared" si="1"/>
        <v>0</v>
      </c>
      <c r="F16" s="70">
        <f t="shared" si="0"/>
        <v>0</v>
      </c>
      <c r="G16" s="69">
        <f>ULBoard!G16+Grambling!G16+LATech!G16+McNeese!G16+Nicholls!G16+NwSU!G16+SLU!G16+ULL!G16+ULM!G16+UNO!G16</f>
        <v>0</v>
      </c>
      <c r="H16" s="227"/>
    </row>
    <row r="17" spans="1:8" ht="15" customHeight="1" x14ac:dyDescent="0.25">
      <c r="A17" s="75" t="s">
        <v>21</v>
      </c>
      <c r="B17" s="69">
        <f>ULBoard!B17+Grambling!B17+LATech!B17+McNeese!B17+Nicholls!B17+NwSU!B17+SLU!B17+ULL!B17+ULM!B17+UNO!B17</f>
        <v>0</v>
      </c>
      <c r="C17" s="69">
        <f>ULBoard!C17+Grambling!C17+LATech!C17+McNeese!C17+Nicholls!C17+NwSU!C17+SLU!C17+ULL!C17+ULM!C17+UNO!C17</f>
        <v>0</v>
      </c>
      <c r="D17" s="69">
        <f>ULBoard!D17+Grambling!D17+LATech!D17+McNeese!D17+Nicholls!D17+NwSU!D17+SLU!D17+ULL!D17+ULM!D17+UNO!D17</f>
        <v>0</v>
      </c>
      <c r="E17" s="69">
        <f t="shared" si="1"/>
        <v>0</v>
      </c>
      <c r="F17" s="70">
        <f t="shared" si="0"/>
        <v>0</v>
      </c>
      <c r="G17" s="69">
        <f>ULBoard!G17+Grambling!G17+LATech!G17+McNeese!G17+Nicholls!G17+NwSU!G17+SLU!G17+ULL!G17+ULM!G17+UNO!G17</f>
        <v>0</v>
      </c>
      <c r="H17" s="227"/>
    </row>
    <row r="18" spans="1:8" ht="15" customHeight="1" x14ac:dyDescent="0.25">
      <c r="A18" s="75" t="s">
        <v>22</v>
      </c>
      <c r="B18" s="69">
        <f>ULBoard!B18+Grambling!B18+LATech!B18+McNeese!B18+Nicholls!B18+NwSU!B18+SLU!B18+ULL!B18+ULM!B18+UNO!B18</f>
        <v>0</v>
      </c>
      <c r="C18" s="69">
        <f>ULBoard!C18+Grambling!C18+LATech!C18+McNeese!C18+Nicholls!C18+NwSU!C18+SLU!C18+ULL!C18+ULM!C18+UNO!C18</f>
        <v>0</v>
      </c>
      <c r="D18" s="69">
        <f>ULBoard!D18+Grambling!D18+LATech!D18+McNeese!D18+Nicholls!D18+NwSU!D18+SLU!D18+ULL!D18+ULM!D18+UNO!D18</f>
        <v>0</v>
      </c>
      <c r="E18" s="69">
        <f t="shared" si="1"/>
        <v>0</v>
      </c>
      <c r="F18" s="70">
        <f t="shared" si="0"/>
        <v>0</v>
      </c>
      <c r="G18" s="69">
        <f>ULBoard!G18+Grambling!G18+LATech!G18+McNeese!G18+Nicholls!G18+NwSU!G18+SLU!G18+ULL!G18+ULM!G18+UNO!G18</f>
        <v>0</v>
      </c>
      <c r="H18" s="227"/>
    </row>
    <row r="19" spans="1:8" ht="15" customHeight="1" x14ac:dyDescent="0.25">
      <c r="A19" s="75" t="s">
        <v>23</v>
      </c>
      <c r="B19" s="69">
        <f>ULBoard!B19+Grambling!B19+LATech!B19+McNeese!B19+Nicholls!B19+NwSU!B19+SLU!B19+ULL!B19+ULM!B19+UNO!B19</f>
        <v>0</v>
      </c>
      <c r="C19" s="69">
        <f>ULBoard!C19+Grambling!C19+LATech!C19+McNeese!C19+Nicholls!C19+NwSU!C19+SLU!C19+ULL!C19+ULM!C19+UNO!C19</f>
        <v>0</v>
      </c>
      <c r="D19" s="69">
        <f>ULBoard!D19+Grambling!D19+LATech!D19+McNeese!D19+Nicholls!D19+NwSU!D19+SLU!D19+ULL!D19+ULM!D19+UNO!D19</f>
        <v>0</v>
      </c>
      <c r="E19" s="69">
        <f t="shared" si="1"/>
        <v>0</v>
      </c>
      <c r="F19" s="70">
        <f t="shared" si="0"/>
        <v>0</v>
      </c>
      <c r="G19" s="69">
        <f>ULBoard!G19+Grambling!G19+LATech!G19+McNeese!G19+Nicholls!G19+NwSU!G19+SLU!G19+ULL!G19+ULM!G19+UNO!G19</f>
        <v>0</v>
      </c>
      <c r="H19" s="227"/>
    </row>
    <row r="20" spans="1:8" ht="15" customHeight="1" x14ac:dyDescent="0.25">
      <c r="A20" s="75" t="s">
        <v>24</v>
      </c>
      <c r="B20" s="69">
        <f>ULBoard!B20+Grambling!B20+LATech!B20+McNeese!B20+Nicholls!B20+NwSU!B20+SLU!B20+ULL!B20+ULM!B20+UNO!B20</f>
        <v>0</v>
      </c>
      <c r="C20" s="69">
        <f>ULBoard!C20+Grambling!C20+LATech!C20+McNeese!C20+Nicholls!C20+NwSU!C20+SLU!C20+ULL!C20+ULM!C20+UNO!C20</f>
        <v>0</v>
      </c>
      <c r="D20" s="69">
        <f>ULBoard!D20+Grambling!D20+LATech!D20+McNeese!D20+Nicholls!D20+NwSU!D20+SLU!D20+ULL!D20+ULM!D20+UNO!D20</f>
        <v>0</v>
      </c>
      <c r="E20" s="69">
        <f t="shared" si="1"/>
        <v>0</v>
      </c>
      <c r="F20" s="70">
        <f t="shared" si="0"/>
        <v>0</v>
      </c>
      <c r="G20" s="69">
        <f>ULBoard!G20+Grambling!G20+LATech!G20+McNeese!G20+Nicholls!G20+NwSU!G20+SLU!G20+ULL!G20+ULM!G20+UNO!G20</f>
        <v>0</v>
      </c>
      <c r="H20" s="227"/>
    </row>
    <row r="21" spans="1:8" ht="15" customHeight="1" x14ac:dyDescent="0.25">
      <c r="A21" s="75" t="s">
        <v>25</v>
      </c>
      <c r="B21" s="69">
        <f>ULBoard!B21+Grambling!B21+LATech!B21+McNeese!B21+Nicholls!B21+NwSU!B21+SLU!B21+ULL!B21+ULM!B21+UNO!B21</f>
        <v>0</v>
      </c>
      <c r="C21" s="69">
        <f>ULBoard!C21+Grambling!C21+LATech!C21+McNeese!C21+Nicholls!C21+NwSU!C21+SLU!C21+ULL!C21+ULM!C21+UNO!C21</f>
        <v>0</v>
      </c>
      <c r="D21" s="69">
        <f>ULBoard!D21+Grambling!D21+LATech!D21+McNeese!D21+Nicholls!D21+NwSU!D21+SLU!D21+ULL!D21+ULM!D21+UNO!D21</f>
        <v>0</v>
      </c>
      <c r="E21" s="69">
        <f t="shared" si="1"/>
        <v>0</v>
      </c>
      <c r="F21" s="70">
        <f t="shared" si="0"/>
        <v>0</v>
      </c>
      <c r="G21" s="69">
        <f>ULBoard!G21+Grambling!G21+LATech!G21+McNeese!G21+Nicholls!G21+NwSU!G21+SLU!G21+ULL!G21+ULM!G21+UNO!G21</f>
        <v>0</v>
      </c>
      <c r="H21" s="227"/>
    </row>
    <row r="22" spans="1:8" ht="15" customHeight="1" x14ac:dyDescent="0.25">
      <c r="A22" s="75" t="s">
        <v>26</v>
      </c>
      <c r="B22" s="69">
        <f>ULBoard!B22+Grambling!B22+LATech!B22+McNeese!B22+Nicholls!B22+NwSU!B22+SLU!B22+ULL!B22+ULM!B22+UNO!B22</f>
        <v>0</v>
      </c>
      <c r="C22" s="69">
        <f>ULBoard!C22+Grambling!C22+LATech!C22+McNeese!C22+Nicholls!C22+NwSU!C22+SLU!C22+ULL!C22+ULM!C22+UNO!C22</f>
        <v>0</v>
      </c>
      <c r="D22" s="69">
        <f>ULBoard!D22+Grambling!D22+LATech!D22+McNeese!D22+Nicholls!D22+NwSU!D22+SLU!D22+ULL!D22+ULM!D22+UNO!D22</f>
        <v>0</v>
      </c>
      <c r="E22" s="69">
        <f t="shared" si="1"/>
        <v>0</v>
      </c>
      <c r="F22" s="70">
        <f t="shared" si="0"/>
        <v>0</v>
      </c>
      <c r="G22" s="69">
        <f>ULBoard!G22+Grambling!G22+LATech!G22+McNeese!G22+Nicholls!G22+NwSU!G22+SLU!G22+ULL!G22+ULM!G22+UNO!G22</f>
        <v>0</v>
      </c>
      <c r="H22" s="227"/>
    </row>
    <row r="23" spans="1:8" ht="15" customHeight="1" x14ac:dyDescent="0.25">
      <c r="A23" s="76" t="s">
        <v>27</v>
      </c>
      <c r="B23" s="69">
        <f>ULBoard!B23+Grambling!B23+LATech!B23+McNeese!B23+Nicholls!B23+NwSU!B23+SLU!B23+ULL!B23+ULM!B23+UNO!B23</f>
        <v>0</v>
      </c>
      <c r="C23" s="69">
        <f>ULBoard!C23+Grambling!C23+LATech!C23+McNeese!C23+Nicholls!C23+NwSU!C23+SLU!C23+ULL!C23+ULM!C23+UNO!C23</f>
        <v>0</v>
      </c>
      <c r="D23" s="69">
        <f>ULBoard!D23+Grambling!D23+LATech!D23+McNeese!D23+Nicholls!D23+NwSU!D23+SLU!D23+ULL!D23+ULM!D23+UNO!D23</f>
        <v>0</v>
      </c>
      <c r="E23" s="69">
        <f t="shared" si="1"/>
        <v>0</v>
      </c>
      <c r="F23" s="70">
        <f t="shared" si="0"/>
        <v>0</v>
      </c>
      <c r="G23" s="69">
        <f>ULBoard!G23+Grambling!G23+LATech!G23+McNeese!G23+Nicholls!G23+NwSU!G23+SLU!G23+ULL!G23+ULM!G23+UNO!G23</f>
        <v>0</v>
      </c>
      <c r="H23" s="227"/>
    </row>
    <row r="24" spans="1:8" ht="15" customHeight="1" x14ac:dyDescent="0.25">
      <c r="A24" s="76" t="s">
        <v>28</v>
      </c>
      <c r="B24" s="69">
        <f>ULBoard!B24+Grambling!B24+LATech!B24+McNeese!B24+Nicholls!B24+NwSU!B24+SLU!B24+ULL!B24+ULM!B24+UNO!B24</f>
        <v>0</v>
      </c>
      <c r="C24" s="69">
        <f>ULBoard!C24+Grambling!C24+LATech!C24+McNeese!C24+Nicholls!C24+NwSU!C24+SLU!C24+ULL!C24+ULM!C24+UNO!C24</f>
        <v>0</v>
      </c>
      <c r="D24" s="69">
        <f>ULBoard!D24+Grambling!D24+LATech!D24+McNeese!D24+Nicholls!D24+NwSU!D24+SLU!D24+ULL!D24+ULM!D24+UNO!D24</f>
        <v>0</v>
      </c>
      <c r="E24" s="69">
        <f t="shared" si="1"/>
        <v>0</v>
      </c>
      <c r="F24" s="70">
        <f t="shared" si="0"/>
        <v>0</v>
      </c>
      <c r="G24" s="69">
        <f>ULBoard!G24+Grambling!G24+LATech!G24+McNeese!G24+Nicholls!G24+NwSU!G24+SLU!G24+ULL!G24+ULM!G24+UNO!G24</f>
        <v>0</v>
      </c>
      <c r="H24" s="227"/>
    </row>
    <row r="25" spans="1:8" ht="15" customHeight="1" x14ac:dyDescent="0.25">
      <c r="A25" s="76" t="s">
        <v>29</v>
      </c>
      <c r="B25" s="69">
        <f>ULBoard!B25+Grambling!B25+LATech!B25+McNeese!B25+Nicholls!B25+NwSU!B25+SLU!B25+ULL!B25+ULM!B25+UNO!B25</f>
        <v>0</v>
      </c>
      <c r="C25" s="69">
        <f>ULBoard!C25+Grambling!C25+LATech!C25+McNeese!C25+Nicholls!C25+NwSU!C25+SLU!C25+ULL!C25+ULM!C25+UNO!C25</f>
        <v>0</v>
      </c>
      <c r="D25" s="69">
        <f>ULBoard!D25+Grambling!D25+LATech!D25+McNeese!D25+Nicholls!D25+NwSU!D25+SLU!D25+ULL!D25+ULM!D25+UNO!D25</f>
        <v>0</v>
      </c>
      <c r="E25" s="69">
        <f t="shared" si="1"/>
        <v>0</v>
      </c>
      <c r="F25" s="70">
        <f t="shared" si="0"/>
        <v>0</v>
      </c>
      <c r="G25" s="69">
        <f>ULBoard!G25+Grambling!G25+LATech!G25+McNeese!G25+Nicholls!G25+NwSU!G25+SLU!G25+ULL!G25+ULM!G25+UNO!G25</f>
        <v>0</v>
      </c>
      <c r="H25" s="227"/>
    </row>
    <row r="26" spans="1:8" ht="15" customHeight="1" x14ac:dyDescent="0.25">
      <c r="A26" s="76" t="s">
        <v>30</v>
      </c>
      <c r="B26" s="69">
        <f>ULBoard!B26+Grambling!B26+LATech!B26+McNeese!B26+Nicholls!B26+NwSU!B26+SLU!B26+ULL!B26+ULM!B26+UNO!B26</f>
        <v>0</v>
      </c>
      <c r="C26" s="69">
        <f>ULBoard!C26+Grambling!C26+LATech!C26+McNeese!C26+Nicholls!C26+NwSU!C26+SLU!C26+ULL!C26+ULM!C26+UNO!C26</f>
        <v>0</v>
      </c>
      <c r="D26" s="69">
        <f>ULBoard!D26+Grambling!D26+LATech!D26+McNeese!D26+Nicholls!D26+NwSU!D26+SLU!D26+ULL!D26+ULM!D26+UNO!D26</f>
        <v>0</v>
      </c>
      <c r="E26" s="69">
        <f t="shared" si="1"/>
        <v>0</v>
      </c>
      <c r="F26" s="70">
        <f t="shared" si="0"/>
        <v>0</v>
      </c>
      <c r="G26" s="69">
        <f>ULBoard!G26+Grambling!G26+LATech!G26+McNeese!G26+Nicholls!G26+NwSU!G26+SLU!G26+ULL!G26+ULM!G26+UNO!G26</f>
        <v>0</v>
      </c>
      <c r="H26" s="227"/>
    </row>
    <row r="27" spans="1:8" ht="15" customHeight="1" x14ac:dyDescent="0.25">
      <c r="A27" s="76" t="s">
        <v>31</v>
      </c>
      <c r="B27" s="69">
        <f>ULBoard!B27+Grambling!B27+LATech!B27+McNeese!B27+Nicholls!B27+NwSU!B27+SLU!B27+ULL!B27+ULM!B27+UNO!B27</f>
        <v>0</v>
      </c>
      <c r="C27" s="69">
        <f>ULBoard!C27+Grambling!C27+LATech!C27+McNeese!C27+Nicholls!C27+NwSU!C27+SLU!C27+ULL!C27+ULM!C27+UNO!C27</f>
        <v>0</v>
      </c>
      <c r="D27" s="69">
        <f>ULBoard!D27+Grambling!D27+LATech!D27+McNeese!D27+Nicholls!D27+NwSU!D27+SLU!D27+ULL!D27+ULM!D27+UNO!D27</f>
        <v>0</v>
      </c>
      <c r="E27" s="69">
        <f t="shared" si="1"/>
        <v>0</v>
      </c>
      <c r="F27" s="70">
        <f t="shared" si="0"/>
        <v>0</v>
      </c>
      <c r="G27" s="69">
        <f>ULBoard!G27+Grambling!G27+LATech!G27+McNeese!G27+Nicholls!G27+NwSU!G27+SLU!G27+ULL!G27+ULM!G27+UNO!G27</f>
        <v>0</v>
      </c>
      <c r="H27" s="227"/>
    </row>
    <row r="28" spans="1:8" ht="15" customHeight="1" x14ac:dyDescent="0.25">
      <c r="A28" s="76" t="s">
        <v>87</v>
      </c>
      <c r="B28" s="69">
        <f>ULBoard!B28+Grambling!B28+LATech!B28+McNeese!B28+Nicholls!B28+NwSU!B28+SLU!B28+ULL!B28+ULM!B28+UNO!B28</f>
        <v>0</v>
      </c>
      <c r="C28" s="69">
        <f>ULBoard!C28+Grambling!C28+LATech!C28+McNeese!C28+Nicholls!C28+NwSU!C28+SLU!C28+ULL!C28+ULM!C28+UNO!C28</f>
        <v>0</v>
      </c>
      <c r="D28" s="69">
        <f>ULBoard!D28+Grambling!D28+LATech!D28+McNeese!D28+Nicholls!D28+NwSU!D28+SLU!D28+ULL!D28+ULM!D28+UNO!D28</f>
        <v>0</v>
      </c>
      <c r="E28" s="69">
        <f t="shared" si="1"/>
        <v>0</v>
      </c>
      <c r="F28" s="70">
        <f t="shared" si="0"/>
        <v>0</v>
      </c>
      <c r="G28" s="69">
        <f>ULBoard!G28+Grambling!G28+LATech!G28+McNeese!G28+Nicholls!G28+NwSU!G28+SLU!G28+ULL!G28+ULM!G28+UNO!G28</f>
        <v>0</v>
      </c>
      <c r="H28" s="227"/>
    </row>
    <row r="29" spans="1:8" ht="15" customHeight="1" x14ac:dyDescent="0.25">
      <c r="A29" s="76" t="s">
        <v>32</v>
      </c>
      <c r="B29" s="69">
        <f>ULBoard!B29+Grambling!B29+LATech!B29+McNeese!B29+Nicholls!B29+NwSU!B29+SLU!B29+ULL!B29+ULM!B29+UNO!B29</f>
        <v>0</v>
      </c>
      <c r="C29" s="69">
        <f>ULBoard!C29+Grambling!C29+LATech!C29+McNeese!C29+Nicholls!C29+NwSU!C29+SLU!C29+ULL!C29+ULM!C29+UNO!C29</f>
        <v>0</v>
      </c>
      <c r="D29" s="69">
        <f>ULBoard!D29+Grambling!D29+LATech!D29+McNeese!D29+Nicholls!D29+NwSU!D29+SLU!D29+ULL!D29+ULM!D29+UNO!D29</f>
        <v>0</v>
      </c>
      <c r="E29" s="69">
        <f t="shared" si="1"/>
        <v>0</v>
      </c>
      <c r="F29" s="70">
        <f t="shared" si="0"/>
        <v>0</v>
      </c>
      <c r="G29" s="69">
        <f>ULBoard!G29+Grambling!G29+LATech!G29+McNeese!G29+Nicholls!G29+NwSU!G29+SLU!G29+ULL!G29+ULM!G29+UNO!G29</f>
        <v>0</v>
      </c>
      <c r="H29" s="227"/>
    </row>
    <row r="30" spans="1:8" ht="15" customHeight="1" x14ac:dyDescent="0.25">
      <c r="A30" s="217" t="s">
        <v>201</v>
      </c>
      <c r="B30" s="69">
        <f>ULBoard!B30+Grambling!B30+LATech!B30+McNeese!B30+Nicholls!B30+NwSU!B30+SLU!B30+ULL!B30+ULM!B30+UNO!B30</f>
        <v>0</v>
      </c>
      <c r="C30" s="69">
        <f>ULBoard!C30+Grambling!C30+LATech!C30+McNeese!C30+Nicholls!C30+NwSU!C30+SLU!C30+ULL!C30+ULM!C30+UNO!C30</f>
        <v>0</v>
      </c>
      <c r="D30" s="69">
        <f>ULBoard!D30+Grambling!D30+LATech!D30+McNeese!D30+Nicholls!D30+NwSU!D30+SLU!D30+ULL!D30+ULM!D30+UNO!D30</f>
        <v>0</v>
      </c>
      <c r="E30" s="69">
        <f t="shared" si="1"/>
        <v>0</v>
      </c>
      <c r="F30" s="70">
        <f t="shared" si="0"/>
        <v>0</v>
      </c>
      <c r="G30" s="69">
        <f>ULBoard!G30+Grambling!G30+LATech!G30+McNeese!G30+Nicholls!G30+NwSU!G30+SLU!G30+ULL!G30+ULM!G30+UNO!G30</f>
        <v>0</v>
      </c>
      <c r="H30" s="227"/>
    </row>
    <row r="31" spans="1:8" ht="15" customHeight="1" x14ac:dyDescent="0.25">
      <c r="A31" s="76" t="s">
        <v>202</v>
      </c>
      <c r="B31" s="69">
        <f>ULBoard!B31+Grambling!B31+LATech!B31+McNeese!B31+Nicholls!B31+NwSU!B31+SLU!B31+ULL!B31+ULM!B31+UNO!B31</f>
        <v>0</v>
      </c>
      <c r="C31" s="69">
        <f>ULBoard!C31+Grambling!C31+LATech!C31+McNeese!C31+Nicholls!C31+NwSU!C31+SLU!C31+ULL!C31+ULM!C31+UNO!C31</f>
        <v>0</v>
      </c>
      <c r="D31" s="69">
        <f>ULBoard!D31+Grambling!D31+LATech!D31+McNeese!D31+Nicholls!D31+NwSU!D31+SLU!D31+ULL!D31+ULM!D31+UNO!D31</f>
        <v>0</v>
      </c>
      <c r="E31" s="69">
        <f t="shared" si="1"/>
        <v>0</v>
      </c>
      <c r="F31" s="70">
        <f t="shared" si="0"/>
        <v>0</v>
      </c>
      <c r="G31" s="69">
        <f>ULBoard!G31+Grambling!G31+LATech!G31+McNeese!G31+Nicholls!G31+NwSU!G31+SLU!G31+ULL!G31+ULM!G31+UNO!G31</f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f>ULBoard!B33+Grambling!B33+LATech!B33+McNeese!B33+Nicholls!B33+NwSU!B33+SLU!B33+ULL!B33+ULM!B33+UNO!B33</f>
        <v>0</v>
      </c>
      <c r="C33" s="69">
        <f>ULBoard!C33+Grambling!C33+LATech!C33+McNeese!C33+Nicholls!C33+NwSU!C33+SLU!C33+ULL!C33+ULM!C33+UNO!C33</f>
        <v>0</v>
      </c>
      <c r="D33" s="69">
        <f>ULBoard!D33+Grambling!D33+LATech!D33+McNeese!D33+Nicholls!D33+NwSU!D33+SLU!D33+ULL!D33+ULM!D33+UNO!D33</f>
        <v>0</v>
      </c>
      <c r="E33" s="69">
        <f>D33-C33</f>
        <v>0</v>
      </c>
      <c r="F33" s="70">
        <f>IF(ISBLANK(E33),"  ",IF(C33&gt;0,E33/C33,IF(E33&gt;0,1,0)))</f>
        <v>0</v>
      </c>
      <c r="G33" s="69">
        <f>ULBoard!G33+Grambling!G33+LATech!G33+McNeese!G33+Nicholls!G33+NwSU!G33+SLU!G33+ULL!G33+ULM!G33+UNO!G33</f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9">
        <f>ULBoard!B35+Grambling!B35+LATech!B35+McNeese!B35+Nicholls!B35+NwSU!B35+SLU!B35+ULL!B35+ULM!B35+UNO!B35</f>
        <v>0</v>
      </c>
      <c r="C35" s="69">
        <f>ULBoard!C35+Grambling!C35+LATech!C35+McNeese!C35+Nicholls!C35+NwSU!C35+SLU!C35+ULL!C35+ULM!C35+UNO!C35</f>
        <v>0</v>
      </c>
      <c r="D35" s="69">
        <f>ULBoard!D35+Grambling!D35+LATech!D35+McNeese!D35+Nicholls!D35+NwSU!D35+SLU!D35+ULL!D35+ULM!D35+UNO!D35</f>
        <v>0</v>
      </c>
      <c r="E35" s="69">
        <f>D35-C35</f>
        <v>0</v>
      </c>
      <c r="F35" s="70">
        <f>IF(ISBLANK(E35),"  ",IF(C35&gt;0,E35/C35,IF(E35&gt;0,1,0)))</f>
        <v>0</v>
      </c>
      <c r="G35" s="69">
        <f>ULBoard!G35+Grambling!G35+LATech!G35+McNeese!G35+Nicholls!G35+NwSU!G35+SLU!G35+ULL!G35+ULM!G35+UNO!G35</f>
        <v>0</v>
      </c>
      <c r="H35" s="227"/>
    </row>
    <row r="36" spans="1:13" ht="15" customHeight="1" x14ac:dyDescent="0.25">
      <c r="A36" s="75" t="s">
        <v>36</v>
      </c>
      <c r="B36" s="122"/>
      <c r="C36" s="122"/>
      <c r="D36" s="122"/>
      <c r="E36" s="72"/>
      <c r="F36" s="70" t="s">
        <v>37</v>
      </c>
      <c r="G36" s="122"/>
      <c r="H36" s="227"/>
      <c r="I36" s="139" t="s">
        <v>46</v>
      </c>
    </row>
    <row r="37" spans="1:13" s="124" customFormat="1" ht="15" customHeight="1" x14ac:dyDescent="0.25">
      <c r="A37" s="79" t="s">
        <v>38</v>
      </c>
      <c r="B37" s="123">
        <f>B35+B33+B10+B9+B8</f>
        <v>239300401</v>
      </c>
      <c r="C37" s="123">
        <f>C35+C33+C10+C9+C8</f>
        <v>241870808</v>
      </c>
      <c r="D37" s="123">
        <f>D35+D33+D10+D9+D8</f>
        <v>185427967.83000001</v>
      </c>
      <c r="E37" s="87">
        <f>D37-C37</f>
        <v>-56442840.169999987</v>
      </c>
      <c r="F37" s="81">
        <f>IF(ISBLANK(E37),"  ",IF(C37&gt;0,E37/C37,IF(E37&gt;0,1,0)))</f>
        <v>-0.23335945597039551</v>
      </c>
      <c r="G37" s="123">
        <f>G35+G33+G10+G9+G8</f>
        <v>185427967.83000001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f>ULBoard!B39+Grambling!B39+LATech!B39+McNeese!B39+Nicholls!B39+NwSU!B39+SLU!B39+ULL!B39+ULM!B39+UNO!B39</f>
        <v>0</v>
      </c>
      <c r="C39" s="69">
        <f>ULBoard!C39+Grambling!C39+LATech!C39+McNeese!C41+Nicholls!C39+NwSU!C39+SLU!C39+ULL!C39+ULM!C39+UNO!C39</f>
        <v>0</v>
      </c>
      <c r="D39" s="69">
        <f>ULBoard!D39+Grambling!D39+LATech!D39+McNeese!D41+Nicholls!D39+NwSU!D39+SLU!D39+ULL!D39+ULM!D39+UNO!D39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ULBoard!G39+Grambling!G39+LATech!G39+McNeese!G41+Nicholls!G39+NwSU!G39+SLU!G39+ULL!G39+ULM!G39+UNO!G39</f>
        <v>0</v>
      </c>
      <c r="H39" s="227"/>
    </row>
    <row r="40" spans="1:13" ht="15" customHeight="1" x14ac:dyDescent="0.25">
      <c r="A40" s="83" t="s">
        <v>41</v>
      </c>
      <c r="B40" s="69">
        <f>ULBoard!B40+Grambling!B40+LATech!B40+McNeese!B40+Nicholls!B40+NwSU!B40+SLU!B40+ULL!B40+ULM!B40+UNO!B40</f>
        <v>0</v>
      </c>
      <c r="C40" s="69">
        <f>ULBoard!C40+Grambling!C40+LATech!C40+McNeese!C42+Nicholls!C40+NwSU!C40+SLU!C40+ULL!C40+ULM!C40+UNO!C40</f>
        <v>0</v>
      </c>
      <c r="D40" s="69">
        <f>ULBoard!D40+Grambling!D40+LATech!D40+McNeese!D42+Nicholls!D40+NwSU!D40+SLU!D40+ULL!D40+ULM!D40+UNO!D40</f>
        <v>0</v>
      </c>
      <c r="E40" s="69">
        <f>D40-C40</f>
        <v>0</v>
      </c>
      <c r="F40" s="70">
        <f t="shared" si="2"/>
        <v>0</v>
      </c>
      <c r="G40" s="69">
        <f>ULBoard!G40+Grambling!G40+LATech!G40+McNeese!G42+Nicholls!G40+NwSU!G40+SLU!G40+ULL!G40+ULM!G40+UNO!G40</f>
        <v>0</v>
      </c>
      <c r="H40" s="227"/>
    </row>
    <row r="41" spans="1:13" ht="15" customHeight="1" x14ac:dyDescent="0.25">
      <c r="A41" s="83" t="s">
        <v>42</v>
      </c>
      <c r="B41" s="69">
        <f>ULBoard!B41+Grambling!B41+LATech!B41+McNeese!B41+Nicholls!B41+NwSU!B41+SLU!B41+ULL!B41+ULM!B41+UNO!B41</f>
        <v>47927353</v>
      </c>
      <c r="C41" s="69">
        <f>ULBoard!C41+Grambling!C41+LATech!C41+McNeese!C43+Nicholls!C41+NwSU!C41+SLU!C41+ULL!C41+ULM!C41+UNO!C41</f>
        <v>0</v>
      </c>
      <c r="D41" s="69">
        <f>ULBoard!D41+Grambling!D41+LATech!D41+McNeese!D43+Nicholls!D41+NwSU!D41+SLU!D41+ULL!D41+ULM!D41+UNO!D41</f>
        <v>0</v>
      </c>
      <c r="E41" s="69">
        <f t="shared" ref="E41:E44" si="3">D41-C41</f>
        <v>0</v>
      </c>
      <c r="F41" s="70">
        <f t="shared" si="2"/>
        <v>0</v>
      </c>
      <c r="G41" s="69">
        <f>ULBoard!G41+Grambling!G41+LATech!G41+McNeese!G43+Nicholls!G41+NwSU!G41+SLU!G41+ULL!G41+ULM!G41+UNO!G41</f>
        <v>0</v>
      </c>
      <c r="H41" s="227"/>
    </row>
    <row r="42" spans="1:13" ht="15" customHeight="1" x14ac:dyDescent="0.25">
      <c r="A42" s="83" t="s">
        <v>43</v>
      </c>
      <c r="B42" s="69">
        <f>ULBoard!B42+Grambling!B42+LATech!B42+McNeese!B42+Nicholls!B42+NwSU!B42+SLU!B42+ULL!B42+ULM!B42+UNO!B42</f>
        <v>0</v>
      </c>
      <c r="C42" s="69">
        <f>ULBoard!C42+Grambling!C42+LATech!C42+McNeese!C44+Nicholls!C42+NwSU!C42+SLU!C42+ULL!C42+ULM!C42+UNO!C42</f>
        <v>0</v>
      </c>
      <c r="D42" s="69">
        <f>ULBoard!D42+Grambling!D42+LATech!D42+McNeese!D44+Nicholls!D42+NwSU!D42+SLU!D42+ULL!D42+ULM!D42+UNO!D42</f>
        <v>0</v>
      </c>
      <c r="E42" s="69">
        <f t="shared" si="3"/>
        <v>0</v>
      </c>
      <c r="F42" s="70">
        <f t="shared" si="2"/>
        <v>0</v>
      </c>
      <c r="G42" s="69">
        <f>ULBoard!G42+Grambling!G42+LATech!G42+McNeese!G44+Nicholls!G42+NwSU!G42+SLU!G42+ULL!G42+ULM!G42+UNO!G42</f>
        <v>0</v>
      </c>
      <c r="H42" s="227"/>
    </row>
    <row r="43" spans="1:13" ht="15" customHeight="1" x14ac:dyDescent="0.25">
      <c r="A43" s="84" t="s">
        <v>44</v>
      </c>
      <c r="B43" s="69">
        <f>ULBoard!B43+Grambling!B43+LATech!B43+McNeese!B43+Nicholls!B43+NwSU!B43+SLU!B43+ULL!B43+ULM!B43+UNO!B43</f>
        <v>0</v>
      </c>
      <c r="C43" s="69">
        <f>ULBoard!C43+Grambling!C43+LATech!C43+McNeese!C45+Nicholls!C43+NwSU!C43+SLU!C43+ULL!C43+ULM!C43+UNO!C43</f>
        <v>0</v>
      </c>
      <c r="D43" s="69">
        <f>ULBoard!D43+Grambling!D43+LATech!D43+McNeese!D45+Nicholls!D43+NwSU!D43+SLU!D43+ULL!D43+ULM!D43+UNO!D43</f>
        <v>0</v>
      </c>
      <c r="E43" s="69">
        <f t="shared" si="3"/>
        <v>0</v>
      </c>
      <c r="F43" s="70">
        <f t="shared" si="2"/>
        <v>0</v>
      </c>
      <c r="G43" s="69">
        <f>ULBoard!G43+Grambling!G43+LATech!G43+McNeese!G45+Nicholls!G43+NwSU!G43+SLU!G43+ULL!G43+ULM!G43+UNO!G43</f>
        <v>0</v>
      </c>
      <c r="H43" s="227"/>
    </row>
    <row r="44" spans="1:13" s="124" customFormat="1" ht="15" customHeight="1" x14ac:dyDescent="0.25">
      <c r="A44" s="77" t="s">
        <v>45</v>
      </c>
      <c r="B44" s="87">
        <f>SUM(B39:B43)</f>
        <v>47927353</v>
      </c>
      <c r="C44" s="87">
        <f>SUM(C39:C43)</f>
        <v>0</v>
      </c>
      <c r="D44" s="87">
        <f>SUM(D39:D43)</f>
        <v>0</v>
      </c>
      <c r="E44" s="87">
        <f t="shared" si="3"/>
        <v>0</v>
      </c>
      <c r="F44" s="81">
        <f t="shared" si="2"/>
        <v>0</v>
      </c>
      <c r="G44" s="87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f>ULBoard!B46+Grambling!B46+LATech!B46+McNeese!B46+Nicholls!B46+NwSU!B46+SLU!B46+ULL!B46+ULM!B46+UNO!B46</f>
        <v>259923</v>
      </c>
      <c r="C46" s="87">
        <f>ULBoard!C46+Grambling!C46+LATech!C46+McNeese!C46+Nicholls!C46+NwSU!C46+SLU!C46+ULL!C46+ULM!C46+UNO!C46</f>
        <v>509923</v>
      </c>
      <c r="D46" s="87">
        <f>ULBoard!D46+Grambling!D46+LATech!D46+McNeese!D46+Nicholls!D46+NwSU!D46+SLU!D46+ULL!D46+ULM!D46+UNO!D46</f>
        <v>259923</v>
      </c>
      <c r="E46" s="87">
        <f>D46-C46</f>
        <v>-250000</v>
      </c>
      <c r="F46" s="81">
        <f>IF(ISBLANK(E46),"  ",IF(C46&gt;0,E46/C46,IF(E46&gt;0,1,0)))</f>
        <v>-0.49027009960327345</v>
      </c>
      <c r="G46" s="87">
        <f>ULBoard!G46+Grambling!G46+LATech!G46+McNeese!G46+Nicholls!G46+NwSU!G46+SLU!G46+ULL!G46+ULM!G46+UNO!G46</f>
        <v>259923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f>ULBoard!B48+Grambling!B48+LATech!B48+McNeese!B48+Nicholls!B48+NwSU!B48+SLU!B48+ULL!B48+ULM!B48+UNO!B48</f>
        <v>47927353</v>
      </c>
      <c r="C48" s="87">
        <f>ULBoard!C48+Grambling!C48+LATech!C48+McNeese!C48+Nicholls!C48+NwSU!C48+SLU!C48+ULL!C48+ULM!C48+UNO!C48</f>
        <v>47927355</v>
      </c>
      <c r="D48" s="87">
        <f>ULBoard!D48+Grambling!D48+LATech!D48+McNeese!D48+Nicholls!D48+NwSU!D48+SLU!D48+ULL!D48+ULM!D48+UNO!D48</f>
        <v>0</v>
      </c>
      <c r="E48" s="87">
        <f>D48-C48</f>
        <v>-47927355</v>
      </c>
      <c r="F48" s="81">
        <f>IF(ISBLANK(E48)," ",IF(C48&gt;0,E48/C48,IF(E48&gt;0,1,0)))</f>
        <v>-1</v>
      </c>
      <c r="G48" s="87">
        <f>ULBoard!G48+Grambling!G48+LATech!G48+McNeese!G48+Nicholls!G48+NwSU!G48+SLU!G48+ULL!G48+ULM!G48+UNO!G48</f>
        <v>47927355</v>
      </c>
      <c r="H48" s="228"/>
    </row>
    <row r="49" spans="1:9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9" s="124" customFormat="1" ht="15" customHeight="1" x14ac:dyDescent="0.25">
      <c r="A50" s="86" t="s">
        <v>48</v>
      </c>
      <c r="B50" s="87">
        <f>ULBoard!B50+Grambling!B50+LATech!B50+McNeese!B50+Nicholls!B50+NwSU!B50+SLU!B50+ULL!B50+ULM!B50+UNO!B50</f>
        <v>0</v>
      </c>
      <c r="C50" s="87">
        <f>ULBoard!C50+Grambling!C50+LATech!C50+McNeese!C50+Nicholls!C50+NwSU!C50+SLU!C50+ULL!C50+ULM!C50+UNO!C50</f>
        <v>0</v>
      </c>
      <c r="D50" s="87">
        <f>ULBoard!D50+Grambling!D50+LATech!D50+McNeese!D50+Nicholls!D50+NwSU!D50+SLU!D50+ULL!D50+ULM!D50+UNO!D50</f>
        <v>0</v>
      </c>
      <c r="E50" s="87">
        <f>D50-C50</f>
        <v>0</v>
      </c>
      <c r="F50" s="81">
        <f>IF(ISBLANK(E50),"  ",IF(C50&gt;0,E50/C50,IF(E50&gt;0,1,0)))</f>
        <v>0</v>
      </c>
      <c r="G50" s="87">
        <f>ULBoard!G50+Grambling!G50+LATech!G50+McNeese!G50+Nicholls!G50+NwSU!G50+SLU!G50+ULL!G50+ULM!G50+UNO!G50</f>
        <v>0</v>
      </c>
      <c r="H50" s="228"/>
    </row>
    <row r="51" spans="1:9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9" s="124" customFormat="1" ht="15" customHeight="1" x14ac:dyDescent="0.25">
      <c r="A52" s="77" t="s">
        <v>49</v>
      </c>
      <c r="B52" s="87">
        <f>ULBoard!B52+Grambling!B52+LATech!B52+McNeese!B52+Nicholls!B52+NwSU!B52+SLU!B52+ULL!B52+ULM!B52+UNO!B52</f>
        <v>637230127.02999997</v>
      </c>
      <c r="C52" s="87">
        <f>ULBoard!C52+Grambling!C52+LATech!C52+McNeese!C52+Nicholls!C52+NwSU!C52+SLU!C52+ULL!C52+ULM!C52+UNO!C52</f>
        <v>671283145</v>
      </c>
      <c r="D52" s="87">
        <f>ULBoard!D52+Grambling!D52+LATech!D52+McNeese!D52+Nicholls!D52+NwSU!D52+SLU!D52+ULL!D52+ULM!D52+UNO!D52</f>
        <v>672783145</v>
      </c>
      <c r="E52" s="87">
        <f>D52-C52</f>
        <v>1500000</v>
      </c>
      <c r="F52" s="81">
        <f>IF(ISBLANK(E52),"  ",IF(C52&gt;0,E52/C52,IF(E52&gt;0,1,0)))</f>
        <v>2.2345265349988791E-3</v>
      </c>
      <c r="G52" s="87">
        <f>ULBoard!G52+Grambling!G52+LATech!G52+McNeese!G52+Nicholls!G52+NwSU!G52+SLU!G52+ULL!G52+ULM!G52+UNO!G52</f>
        <v>672783145</v>
      </c>
      <c r="H52" s="228"/>
    </row>
    <row r="53" spans="1:9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9" s="124" customFormat="1" ht="15" customHeight="1" x14ac:dyDescent="0.25">
      <c r="A54" s="88" t="s">
        <v>50</v>
      </c>
      <c r="B54" s="87">
        <f>ULBoard!B54+Grambling!B54+LATech!B54+McNeese!B54+Nicholls!B54+NwSU!B54+SLU!B54+ULL!B54+ULM!B54+UNO!B54</f>
        <v>0</v>
      </c>
      <c r="C54" s="87">
        <f>ULBoard!C54+Grambling!C54+LATech!C54+McNeese!C54+Nicholls!C54+NwSU!C54+SLU!C54+ULL!C54+ULM!C54+UNO!C54</f>
        <v>0</v>
      </c>
      <c r="D54" s="87">
        <f>ULBoard!D54+Grambling!D54+LATech!D54+McNeese!D54+Nicholls!D54+NwSU!D54+SLU!D54+ULL!D54+ULM!D54+UNO!D54</f>
        <v>0</v>
      </c>
      <c r="E54" s="87">
        <f>D54-C54</f>
        <v>0</v>
      </c>
      <c r="F54" s="81">
        <f>IF(ISBLANK(E54),"  ",IF(C54&gt;0,E54/C54,IF(E54&gt;0,1,0)))</f>
        <v>0</v>
      </c>
      <c r="G54" s="87">
        <f>ULBoard!G54+Grambling!G54+LATech!G54+McNeese!G54+Nicholls!G54+NwSU!G54+SLU!G54+ULL!G54+ULM!G54+UNO!G54</f>
        <v>0</v>
      </c>
      <c r="H54" s="228"/>
    </row>
    <row r="55" spans="1:9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9" s="124" customFormat="1" ht="15" customHeight="1" x14ac:dyDescent="0.25">
      <c r="A56" s="77" t="s">
        <v>51</v>
      </c>
      <c r="B56" s="87">
        <f>ULBoard!B56+Grambling!B56+LATech!B56+McNeese!B56+Nicholls!B56+NwSU!B56+SLU!B56+ULL!B56+ULM!B56+UNO!B56</f>
        <v>0</v>
      </c>
      <c r="C56" s="87">
        <f>ULBoard!C56+Grambling!C56+LATech!C56+McNeese!C56+Nicholls!C56+NwSU!C56+SLU!C56+ULL!C56+ULM!C56+UNO!C56</f>
        <v>0</v>
      </c>
      <c r="D56" s="87">
        <f>ULBoard!D56+Grambling!D56+LATech!D56+McNeese!D56+Nicholls!D56+NwSU!D56+SLU!D56+ULL!D56+ULM!D56+UNO!D56</f>
        <v>0</v>
      </c>
      <c r="E56" s="87">
        <f>D56-C56</f>
        <v>0</v>
      </c>
      <c r="F56" s="81">
        <f>IF(ISBLANK(E56),"  ",IF(C56&gt;0,E56/C56,IF(E56&gt;0,1,0)))</f>
        <v>0</v>
      </c>
      <c r="G56" s="87">
        <f>ULBoard!G56+Grambling!G56+LATech!G56+McNeese!G56+Nicholls!G56+NwSU!G56+SLU!G56+ULL!G56+ULM!G56+UNO!G56</f>
        <v>0</v>
      </c>
      <c r="H56" s="228"/>
    </row>
    <row r="57" spans="1:9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9" s="124" customFormat="1" ht="15" customHeight="1" x14ac:dyDescent="0.25">
      <c r="A58" s="91" t="s">
        <v>52</v>
      </c>
      <c r="B58" s="87">
        <f>B56+B54+B52+B50+B48+B46+-B44+B37</f>
        <v>876790451.02999997</v>
      </c>
      <c r="C58" s="87">
        <f>C56+C54+C52+C50+C48+C46+-C44+C37</f>
        <v>961591231</v>
      </c>
      <c r="D58" s="87">
        <f>D56+D54+D52+D50+D48+D46+-D44+D37</f>
        <v>858471035.83000004</v>
      </c>
      <c r="E58" s="87">
        <f>D58-C58</f>
        <v>-103120195.16999996</v>
      </c>
      <c r="F58" s="81">
        <f>IF(ISBLANK(E58),"  ",IF(C58&gt;0,E58/C58,IF(E58&gt;0,1,0)))</f>
        <v>-0.10723911766828494</v>
      </c>
      <c r="G58" s="87">
        <f>G56+G54+G52+G50+G48+G46+-G44+G37</f>
        <v>906398390.83000004</v>
      </c>
      <c r="H58" s="228"/>
    </row>
    <row r="59" spans="1:9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9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9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9" ht="15" customHeight="1" x14ac:dyDescent="0.25">
      <c r="A62" s="73" t="s">
        <v>54</v>
      </c>
      <c r="B62" s="69">
        <f>ULBoard!B62+Grambling!B62+LATech!B62+McNeese!B62+Nicholls!B62+NwSU!B62+SLU!B62+ULL!B62+ULM!B62+UNO!B62</f>
        <v>353463791.73000002</v>
      </c>
      <c r="C62" s="69">
        <f>ULBoard!C62+Grambling!C62+LATech!C62+McNeese!C62+Nicholls!C62+NwSU!C62+SLU!C62+ULL!C62+ULM!C62+UNO!C62</f>
        <v>415341915</v>
      </c>
      <c r="D62" s="69">
        <f>ULBoard!D62+Grambling!D62+LATech!D62+McNeese!D62+Nicholls!D62+NwSU!D62+SLU!D62+ULL!D62+ULM!D62+UNO!D62</f>
        <v>347739577.86000001</v>
      </c>
      <c r="E62" s="69">
        <f>D62-C62</f>
        <v>-67602337.139999986</v>
      </c>
      <c r="F62" s="70">
        <f t="shared" ref="F62:F75" si="4">IF(ISBLANK(E62),"  ",IF(C62&gt;0,E62/C62,IF(E62&gt;0,1,0)))</f>
        <v>-0.16276309878332407</v>
      </c>
      <c r="G62" s="69">
        <f>ULBoard!G62+Grambling!G62+LATech!G62+McNeese!G62+Nicholls!G62+NwSU!G62+SLU!G62+ULL!G62+ULM!G62+UNO!G62</f>
        <v>378017661.86000001</v>
      </c>
      <c r="H62" s="227"/>
    </row>
    <row r="63" spans="1:9" ht="15" customHeight="1" x14ac:dyDescent="0.25">
      <c r="A63" s="75" t="s">
        <v>55</v>
      </c>
      <c r="B63" s="69">
        <f>ULBoard!B63+Grambling!B63+LATech!B63+McNeese!B63+Nicholls!B63+NwSU!B63+SLU!B63+ULL!B63+ULM!B63+UNO!B63</f>
        <v>39646220.420000002</v>
      </c>
      <c r="C63" s="69">
        <f>ULBoard!C63+Grambling!C63+LATech!C63+McNeese!C63+Nicholls!C63+NwSU!C63+SLU!C63+ULL!C63+ULM!C63+UNO!C63</f>
        <v>41286748</v>
      </c>
      <c r="D63" s="69">
        <f>ULBoard!D63+Grambling!D63+LATech!D63+McNeese!D63+Nicholls!D63+NwSU!D63+SLU!D63+ULL!D63+ULM!D63+UNO!D63</f>
        <v>40347823.149999999</v>
      </c>
      <c r="E63" s="69">
        <f>D63-C63</f>
        <v>-938924.85000000149</v>
      </c>
      <c r="F63" s="70">
        <f t="shared" si="4"/>
        <v>-2.2741554989993435E-2</v>
      </c>
      <c r="G63" s="69">
        <f>ULBoard!G63+Grambling!G63+LATech!G63+McNeese!G63+Nicholls!G63+NwSU!G63+SLU!G63+ULL!G63+ULM!G63+UNO!G63</f>
        <v>40347823.149999999</v>
      </c>
      <c r="H63" s="227"/>
      <c r="I63" s="139" t="s">
        <v>125</v>
      </c>
    </row>
    <row r="64" spans="1:9" ht="15" customHeight="1" x14ac:dyDescent="0.25">
      <c r="A64" s="75" t="s">
        <v>56</v>
      </c>
      <c r="B64" s="69">
        <f>ULBoard!B64+Grambling!B64+LATech!B64+McNeese!B64+Nicholls!B64+NwSU!B64+SLU!B64+ULL!B64+ULM!B64+UNO!B64</f>
        <v>2452763.17</v>
      </c>
      <c r="C64" s="69">
        <f>ULBoard!C64+Grambling!C64+LATech!C64+McNeese!C64+Nicholls!C64+NwSU!C64+SLU!C64+ULL!C64+ULM!C64+UNO!C64</f>
        <v>2794689</v>
      </c>
      <c r="D64" s="69">
        <f>ULBoard!D64+Grambling!D64+LATech!D64+McNeese!D64+Nicholls!D64+NwSU!D64+SLU!D64+ULL!D64+ULM!D64+UNO!D64</f>
        <v>2336745.2960000001</v>
      </c>
      <c r="E64" s="69">
        <f t="shared" ref="E64:E75" si="5">D64-C64</f>
        <v>-457943.70399999991</v>
      </c>
      <c r="F64" s="70">
        <f t="shared" si="4"/>
        <v>-0.16386213421242932</v>
      </c>
      <c r="G64" s="69">
        <f>ULBoard!G64+Grambling!G64+LATech!G64+McNeese!G64+Nicholls!G64+NwSU!G64+SLU!G64+ULL!G64+ULM!G64+UNO!G64</f>
        <v>2336745.2960000001</v>
      </c>
      <c r="H64" s="227"/>
      <c r="I64" s="139" t="s">
        <v>46</v>
      </c>
    </row>
    <row r="65" spans="1:9" ht="15" customHeight="1" x14ac:dyDescent="0.25">
      <c r="A65" s="75" t="s">
        <v>57</v>
      </c>
      <c r="B65" s="69">
        <f>ULBoard!B65+Grambling!B65+LATech!B65+McNeese!B65+Nicholls!B65+NwSU!B65+SLU!B65+ULL!B65+ULM!B65+UNO!B65</f>
        <v>79879199.190000013</v>
      </c>
      <c r="C65" s="69">
        <f>ULBoard!C65+Grambling!C65+LATech!C65+McNeese!C65+Nicholls!C65+NwSU!C65+SLU!C65+ULL!C65+ULM!C65+UNO!C65</f>
        <v>84014393</v>
      </c>
      <c r="D65" s="69">
        <f>ULBoard!D65+Grambling!D65+LATech!D65+McNeese!D65+Nicholls!D65+NwSU!D65+SLU!D65+ULL!D65+ULM!D65+UNO!D65</f>
        <v>79941842.320000008</v>
      </c>
      <c r="E65" s="69">
        <f t="shared" si="5"/>
        <v>-4072550.6799999923</v>
      </c>
      <c r="F65" s="70">
        <f t="shared" si="4"/>
        <v>-4.8474440325956915E-2</v>
      </c>
      <c r="G65" s="69">
        <f>ULBoard!G65+Grambling!G65+LATech!G65+McNeese!G65+Nicholls!G65+NwSU!G65+SLU!G65+ULL!G65+ULM!G65+UNO!G65</f>
        <v>79941843.320000008</v>
      </c>
      <c r="H65" s="227"/>
    </row>
    <row r="66" spans="1:9" ht="15" customHeight="1" x14ac:dyDescent="0.25">
      <c r="A66" s="75" t="s">
        <v>58</v>
      </c>
      <c r="B66" s="69">
        <f>ULBoard!B66+Grambling!B66+LATech!B66+McNeese!B66+Nicholls!B66+NwSU!B66+SLU!B66+ULL!B66+ULM!B66+UNO!B66</f>
        <v>47619506.789999999</v>
      </c>
      <c r="C66" s="69">
        <f>ULBoard!C66+Grambling!C66+LATech!C66+McNeese!C66+Nicholls!C66+NwSU!C66+SLU!C66+ULL!C66+ULM!C66+UNO!C66</f>
        <v>50576048</v>
      </c>
      <c r="D66" s="69">
        <f>ULBoard!D66+Grambling!D66+LATech!D66+McNeese!D66+Nicholls!D66+NwSU!D66+SLU!D66+ULL!D66+ULM!D66+UNO!D66</f>
        <v>50411701.43</v>
      </c>
      <c r="E66" s="69">
        <f t="shared" si="5"/>
        <v>-164346.5700000003</v>
      </c>
      <c r="F66" s="70">
        <f t="shared" si="4"/>
        <v>-3.249494108357385E-3</v>
      </c>
      <c r="G66" s="69">
        <f>ULBoard!G66+Grambling!G66+LATech!G66+McNeese!G66+Nicholls!G66+NwSU!G66+SLU!G66+ULL!G66+ULM!G66+UNO!G66</f>
        <v>50411701.43</v>
      </c>
      <c r="H66" s="227"/>
    </row>
    <row r="67" spans="1:9" ht="15" customHeight="1" x14ac:dyDescent="0.25">
      <c r="A67" s="75" t="s">
        <v>59</v>
      </c>
      <c r="B67" s="69">
        <f>ULBoard!B67+Grambling!B67+LATech!B67+McNeese!B67+Nicholls!B67+NwSU!B67+SLU!B67+ULL!B67+ULM!B67+UNO!B67</f>
        <v>128341506.45999999</v>
      </c>
      <c r="C67" s="69">
        <f>ULBoard!C67+Grambling!C67+LATech!C67+McNeese!C67+Nicholls!C67+NwSU!C67+SLU!C67+ULL!C67+ULM!C67+UNO!C67</f>
        <v>137513610</v>
      </c>
      <c r="D67" s="69">
        <f>ULBoard!D67+Grambling!D67+LATech!D67+McNeese!D67+Nicholls!D67+NwSU!D67+SLU!D67+ULL!D67+ULM!D67+UNO!D67</f>
        <v>131791446.22999999</v>
      </c>
      <c r="E67" s="69">
        <f t="shared" si="5"/>
        <v>-5722163.7700000107</v>
      </c>
      <c r="F67" s="70">
        <f t="shared" si="4"/>
        <v>-4.1611617715512021E-2</v>
      </c>
      <c r="G67" s="69">
        <f>ULBoard!G67+Grambling!G67+LATech!G67+McNeese!G67+Nicholls!G67+NwSU!G67+SLU!G67+ULL!G67+ULM!G67+UNO!G67</f>
        <v>132083735.22999999</v>
      </c>
      <c r="H67" s="227"/>
    </row>
    <row r="68" spans="1:9" ht="15" customHeight="1" x14ac:dyDescent="0.25">
      <c r="A68" s="75" t="s">
        <v>60</v>
      </c>
      <c r="B68" s="69">
        <f>ULBoard!B68+Grambling!B68+LATech!B68+McNeese!B68+Nicholls!B68+NwSU!B68+SLU!B68+ULL!B68+ULM!B68+UNO!B68</f>
        <v>116230736.81999999</v>
      </c>
      <c r="C68" s="69">
        <f>ULBoard!C68+Grambling!C68+LATech!C68+McNeese!C68+Nicholls!C68+NwSU!C68+SLU!C68+ULL!C68+ULM!C68+UNO!C68</f>
        <v>118557884</v>
      </c>
      <c r="D68" s="69">
        <f>ULBoard!D68+Grambling!D68+LATech!D68+McNeese!D68+Nicholls!D68+NwSU!D68+SLU!D68+ULL!D68+ULM!D68+UNO!D68</f>
        <v>102185718.91</v>
      </c>
      <c r="E68" s="69">
        <f t="shared" si="5"/>
        <v>-16372165.090000004</v>
      </c>
      <c r="F68" s="70">
        <f t="shared" si="4"/>
        <v>-0.13809427545113748</v>
      </c>
      <c r="G68" s="69">
        <f>ULBoard!G68+Grambling!G68+LATech!G68+McNeese!G68+Nicholls!G68+NwSU!G68+SLU!G68+ULL!G68+ULM!G68+UNO!G68</f>
        <v>113659923.91</v>
      </c>
      <c r="H68" s="227"/>
    </row>
    <row r="69" spans="1:9" ht="15" customHeight="1" x14ac:dyDescent="0.25">
      <c r="A69" s="75" t="s">
        <v>61</v>
      </c>
      <c r="B69" s="69">
        <f>ULBoard!B69+Grambling!B69+LATech!B69+McNeese!B69+Nicholls!B69+NwSU!B69+SLU!B69+ULL!B69+ULM!B69+UNO!B69</f>
        <v>80938934.340000004</v>
      </c>
      <c r="C69" s="69">
        <f>ULBoard!C69+Grambling!C69+LATech!C69+McNeese!C69+Nicholls!C69+NwSU!C69+SLU!C69+ULL!C69+ULM!C69+UNO!C69</f>
        <v>82696106</v>
      </c>
      <c r="D69" s="69">
        <f>ULBoard!D69+Grambling!D69+LATech!D69+McNeese!D69+Nicholls!D69+NwSU!D69+SLU!D69+ULL!D69+ULM!D69+UNO!D69</f>
        <v>79768486.480000004</v>
      </c>
      <c r="E69" s="69">
        <f t="shared" si="5"/>
        <v>-2927619.5199999958</v>
      </c>
      <c r="F69" s="70">
        <f t="shared" si="4"/>
        <v>-3.5402144811993878E-2</v>
      </c>
      <c r="G69" s="69">
        <f>ULBoard!G69+Grambling!G69+LATech!G69+McNeese!G69+Nicholls!G69+NwSU!G69+SLU!G69+ULL!G69+ULM!G69+UNO!G69</f>
        <v>82191006.480000004</v>
      </c>
      <c r="H69" s="227"/>
    </row>
    <row r="70" spans="1:9" s="124" customFormat="1" ht="15" customHeight="1" x14ac:dyDescent="0.25">
      <c r="A70" s="94" t="s">
        <v>62</v>
      </c>
      <c r="B70" s="87">
        <f>ULBoard!B70+Grambling!B70+LATech!B70+McNeese!B70+Nicholls!B70+NwSU!B70+SLU!B70+ULL!B70+ULM!B70+UNO!B70</f>
        <v>848572658.91999996</v>
      </c>
      <c r="C70" s="87">
        <f>SUM(C62:C69)</f>
        <v>932781393</v>
      </c>
      <c r="D70" s="87">
        <f>SUM(D62:D69)</f>
        <v>834523341.676</v>
      </c>
      <c r="E70" s="87">
        <f t="shared" si="5"/>
        <v>-98258051.324000001</v>
      </c>
      <c r="F70" s="81">
        <f t="shared" si="4"/>
        <v>-0.10533877718978041</v>
      </c>
      <c r="G70" s="87">
        <f>SUM(G62:G69)</f>
        <v>878990440.676</v>
      </c>
      <c r="H70" s="228"/>
    </row>
    <row r="71" spans="1:9" ht="15" customHeight="1" x14ac:dyDescent="0.25">
      <c r="A71" s="75" t="s">
        <v>63</v>
      </c>
      <c r="B71" s="69">
        <f>ULBoard!B71+Grambling!B71+LATech!B71+McNeese!B71+Nicholls!B71+NwSU!B71+SLU!B71+ULL!B71+ULM!B71+UNO!B71</f>
        <v>0</v>
      </c>
      <c r="C71" s="69">
        <f>ULBoard!C71+Grambling!C71+LATech!C71+McNeese!C71+Nicholls!C71+NwSU!C71+SLU!C71+ULL!C71+ULM!C71+UNO!C71</f>
        <v>0</v>
      </c>
      <c r="D71" s="69">
        <f>ULBoard!D71+Grambling!D71+LATech!D71+McNeese!D71+Nicholls!D71+NwSU!D71+SLU!D71+ULL!D71+ULM!D71+UNO!D71</f>
        <v>0</v>
      </c>
      <c r="E71" s="69">
        <f t="shared" si="5"/>
        <v>0</v>
      </c>
      <c r="F71" s="70">
        <f t="shared" si="4"/>
        <v>0</v>
      </c>
      <c r="G71" s="69">
        <f>ULBoard!G71+Grambling!G71+LATech!G71+McNeese!G71+Nicholls!G71+NwSU!G71+SLU!G71+ULL!G71+ULM!G71+UNO!G71</f>
        <v>0</v>
      </c>
      <c r="H71" s="227"/>
    </row>
    <row r="72" spans="1:9" ht="15" customHeight="1" x14ac:dyDescent="0.25">
      <c r="A72" s="75" t="s">
        <v>64</v>
      </c>
      <c r="B72" s="69">
        <f>ULBoard!B72+Grambling!B72+LATech!B72+McNeese!B72+Nicholls!B72+NwSU!B72+SLU!B72+ULL!B72+ULM!B72+UNO!B72</f>
        <v>-10711.270000000019</v>
      </c>
      <c r="C72" s="69">
        <f>ULBoard!C72+Grambling!C72+LATech!C72+McNeese!C72+Nicholls!C72+NwSU!C72+SLU!C72+ULL!C72+ULM!C72+UNO!C72</f>
        <v>2188738</v>
      </c>
      <c r="D72" s="69">
        <f>ULBoard!D72+Grambling!D72+LATech!D72+McNeese!D72+Nicholls!D72+NwSU!D72+SLU!D72+ULL!D72+ULM!D72+UNO!D72</f>
        <v>2415098</v>
      </c>
      <c r="E72" s="69">
        <f t="shared" si="5"/>
        <v>226360</v>
      </c>
      <c r="F72" s="70">
        <f t="shared" si="4"/>
        <v>0.10342032714742468</v>
      </c>
      <c r="G72" s="69">
        <f>ULBoard!G72+Grambling!G72+LATech!G72+McNeese!G72+Nicholls!G72+NwSU!G72+SLU!G72+ULL!G72+ULM!G72+UNO!G72</f>
        <v>2415098</v>
      </c>
      <c r="H72" s="227"/>
      <c r="I72" s="187"/>
    </row>
    <row r="73" spans="1:9" ht="15" customHeight="1" x14ac:dyDescent="0.25">
      <c r="A73" s="75" t="s">
        <v>65</v>
      </c>
      <c r="B73" s="69">
        <f>ULBoard!B73+Grambling!B73+LATech!B73+McNeese!B73+Nicholls!B73+NwSU!B73+SLU!B73+ULL!B73+ULM!B73+UNO!B73</f>
        <v>25838680.420000002</v>
      </c>
      <c r="C73" s="69">
        <f>ULBoard!C73+Grambling!C73+LATech!C73+McNeese!C73+Nicholls!C73+NwSU!C73+SLU!C73+ULL!C73+ULM!C73+UNO!C73</f>
        <v>23262889</v>
      </c>
      <c r="D73" s="69">
        <f>ULBoard!D73+Grambling!D73+LATech!D73+McNeese!D73+Nicholls!D73+NwSU!D73+SLU!D73+ULL!D73+ULM!D73+UNO!D73</f>
        <v>19310451</v>
      </c>
      <c r="E73" s="69">
        <f t="shared" si="5"/>
        <v>-3952438</v>
      </c>
      <c r="F73" s="70">
        <f t="shared" si="4"/>
        <v>-0.16990314487594382</v>
      </c>
      <c r="G73" s="69">
        <f>ULBoard!G73+Grambling!G73+LATech!G73+McNeese!G73+Nicholls!G73+NwSU!G73+SLU!G73+ULL!G73+ULM!G73+UNO!G73</f>
        <v>19310451</v>
      </c>
      <c r="H73" s="227"/>
    </row>
    <row r="74" spans="1:9" ht="15" customHeight="1" x14ac:dyDescent="0.25">
      <c r="A74" s="75" t="s">
        <v>66</v>
      </c>
      <c r="B74" s="69">
        <f>ULBoard!B74+Grambling!B74+LATech!B74+McNeese!B74+Nicholls!B74+NwSU!B74+SLU!B74+ULL!B74+ULM!B74+UNO!B74</f>
        <v>2389822.9</v>
      </c>
      <c r="C74" s="69">
        <f>ULBoard!C74+Grambling!C74+LATech!C74+McNeese!C74+Nicholls!C74+NwSU!C74+SLU!C74+ULL!C74+ULM!C74+UNO!C74</f>
        <v>3358211</v>
      </c>
      <c r="D74" s="69">
        <f>ULBoard!D74+Grambling!D74+LATech!D74+McNeese!D74+Nicholls!D74+NwSU!D74+SLU!D74+ULL!D74+ULM!D74+UNO!D74</f>
        <v>2222145</v>
      </c>
      <c r="E74" s="69">
        <f t="shared" si="5"/>
        <v>-1136066</v>
      </c>
      <c r="F74" s="70">
        <f t="shared" si="4"/>
        <v>-0.33829500290482045</v>
      </c>
      <c r="G74" s="69">
        <f>ULBoard!G74+Grambling!G74+LATech!G74+McNeese!G74+Nicholls!G74+NwSU!G74+SLU!G74+ULL!G74+ULM!G74+UNO!G74</f>
        <v>5682402</v>
      </c>
      <c r="H74" s="227"/>
    </row>
    <row r="75" spans="1:9" s="124" customFormat="1" ht="15" customHeight="1" x14ac:dyDescent="0.25">
      <c r="A75" s="95" t="s">
        <v>67</v>
      </c>
      <c r="B75" s="87">
        <f>ULBoard!B75+Grambling!B75+LATech!B75+McNeese!B75+Nicholls!B75+NwSU!B75+SLU!B75+ULL!B75+ULM!B75+UNO!B75</f>
        <v>876790450.96999991</v>
      </c>
      <c r="C75" s="87">
        <f>SUM(C70:C74)</f>
        <v>961591231</v>
      </c>
      <c r="D75" s="87">
        <f>SUM(D70:D74)</f>
        <v>858471035.676</v>
      </c>
      <c r="E75" s="87">
        <f t="shared" si="5"/>
        <v>-103120195.324</v>
      </c>
      <c r="F75" s="81">
        <f t="shared" si="4"/>
        <v>-0.10723911782843619</v>
      </c>
      <c r="G75" s="87">
        <f>SUM(G70:G74)</f>
        <v>906398391.676</v>
      </c>
      <c r="H75" s="228"/>
    </row>
    <row r="76" spans="1:9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9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9" ht="15" customHeight="1" x14ac:dyDescent="0.25">
      <c r="A78" s="73" t="s">
        <v>69</v>
      </c>
      <c r="B78" s="69">
        <f>ULBoard!B78+Grambling!B78+LATech!B78+McNeese!B78+Nicholls!B78+NwSU!B78+SLU!B78+ULL!B78+ULM!B78+UNO!B78</f>
        <v>427940473.00999999</v>
      </c>
      <c r="C78" s="69">
        <f>ULBoard!C78+Grambling!C78+LATech!C78+McNeese!C78+Nicholls!C78+NwSU!C78+SLU!C78+ULL!C78+ULM!C78+UNO!C78</f>
        <v>469565376</v>
      </c>
      <c r="D78" s="69">
        <f>ULBoard!D78+Grambling!D78+LATech!D78+McNeese!D78+Nicholls!D78+NwSU!D78+SLU!D78+ULL!D78+ULM!D78+UNO!D78</f>
        <v>422474085.93000001</v>
      </c>
      <c r="E78" s="69">
        <f>D78-C78</f>
        <v>-47091290.069999993</v>
      </c>
      <c r="F78" s="70">
        <f t="shared" ref="F78:F96" si="6">IF(ISBLANK(E78),"  ",IF(C78&gt;0,E78/C78,IF(E78&gt;0,1,0)))</f>
        <v>-0.10028697275584474</v>
      </c>
      <c r="G78" s="69">
        <f>ULBoard!G78+Grambling!G78+LATech!G78+McNeese!G78+Nicholls!G78+NwSU!G78+SLU!G78+ULL!G78+ULM!G78+UNO!G78</f>
        <v>445891245.93000001</v>
      </c>
      <c r="H78" s="227"/>
    </row>
    <row r="79" spans="1:9" ht="15" customHeight="1" x14ac:dyDescent="0.25">
      <c r="A79" s="75" t="s">
        <v>70</v>
      </c>
      <c r="B79" s="69">
        <f>ULBoard!B79+Grambling!B79+LATech!B79+McNeese!B79+Nicholls!B79+NwSU!B79+SLU!B79+ULL!B79+ULM!B79+UNO!B79</f>
        <v>9412190.9100000001</v>
      </c>
      <c r="C79" s="69">
        <f>ULBoard!C79+Grambling!C79+LATech!C79+McNeese!C79+Nicholls!C79+NwSU!C79+SLU!C79+ULL!C79+ULM!C79+UNO!C79</f>
        <v>11093587</v>
      </c>
      <c r="D79" s="69">
        <f>ULBoard!D79+Grambling!D79+LATech!D79+McNeese!D79+Nicholls!D79+NwSU!D79+SLU!D79+ULL!D79+ULM!D79+UNO!D79</f>
        <v>10471694.296</v>
      </c>
      <c r="E79" s="69">
        <f>D79-C79</f>
        <v>-621892.70399999991</v>
      </c>
      <c r="F79" s="70">
        <f t="shared" si="6"/>
        <v>-5.6058757550646147E-2</v>
      </c>
      <c r="G79" s="69">
        <f>ULBoard!G79+Grambling!G79+LATech!G79+McNeese!G79+Nicholls!G79+NwSU!G79+SLU!G79+ULL!G79+ULM!G79+UNO!G79</f>
        <v>10471694.296</v>
      </c>
      <c r="H79" s="227"/>
    </row>
    <row r="80" spans="1:9" ht="15" customHeight="1" x14ac:dyDescent="0.25">
      <c r="A80" s="75" t="s">
        <v>71</v>
      </c>
      <c r="B80" s="69">
        <f>ULBoard!B80+Grambling!B80+LATech!B80+McNeese!B80+Nicholls!B80+NwSU!B80+SLU!B80+ULL!B80+ULM!B80+UNO!B80</f>
        <v>185145101.21999997</v>
      </c>
      <c r="C80" s="69">
        <f>ULBoard!C80+Grambling!C80+LATech!C80+McNeese!C80+Nicholls!C80+NwSU!C80+SLU!C80+ULL!C80+ULM!C80+UNO!C80</f>
        <v>203391406</v>
      </c>
      <c r="D80" s="69">
        <f>ULBoard!D80+Grambling!D80+LATech!D80+McNeese!D80+Nicholls!D80+NwSU!D80+SLU!D80+ULL!D80+ULM!D80+UNO!D80</f>
        <v>186163969.06999999</v>
      </c>
      <c r="E80" s="69">
        <f t="shared" ref="E80:E95" si="7">D80-C80</f>
        <v>-17227436.930000007</v>
      </c>
      <c r="F80" s="70">
        <f t="shared" si="6"/>
        <v>-8.4700908798476998E-2</v>
      </c>
      <c r="G80" s="69">
        <f>ULBoard!G80+Grambling!G80+LATech!G80+McNeese!G80+Nicholls!G80+NwSU!G80+SLU!G80+ULL!G80+ULM!G80+UNO!G80</f>
        <v>193024894.06999999</v>
      </c>
      <c r="H80" s="227"/>
    </row>
    <row r="81" spans="1:8" s="124" customFormat="1" ht="15" customHeight="1" x14ac:dyDescent="0.25">
      <c r="A81" s="94" t="s">
        <v>72</v>
      </c>
      <c r="B81" s="87">
        <f>ULBoard!B81+Grambling!B81+LATech!B81+McNeese!B81+Nicholls!B81+NwSU!B81+SLU!B81+ULL!B81+ULM!B81+UNO!B81</f>
        <v>622497765.1400001</v>
      </c>
      <c r="C81" s="87">
        <f>SUM(C78:C80)</f>
        <v>684050369</v>
      </c>
      <c r="D81" s="87">
        <f>SUM(D78:D80)</f>
        <v>619109749.296</v>
      </c>
      <c r="E81" s="87">
        <f t="shared" si="7"/>
        <v>-64940619.703999996</v>
      </c>
      <c r="F81" s="81">
        <f t="shared" si="6"/>
        <v>-9.4935435527847792E-2</v>
      </c>
      <c r="G81" s="87">
        <f>SUM(G78:G80)</f>
        <v>649387834.296</v>
      </c>
      <c r="H81" s="228"/>
    </row>
    <row r="82" spans="1:8" ht="15" customHeight="1" x14ac:dyDescent="0.25">
      <c r="A82" s="75" t="s">
        <v>73</v>
      </c>
      <c r="B82" s="69">
        <f>ULBoard!B82+Grambling!B82+LATech!B82+McNeese!B82+Nicholls!B82+NwSU!B82+SLU!B82+ULL!B82+ULM!B82+UNO!B82</f>
        <v>2734524.9299999997</v>
      </c>
      <c r="C82" s="69">
        <f>ULBoard!C82+Grambling!C82+LATech!C82+McNeese!C82+Nicholls!C82+NwSU!C82+SLU!C82+ULL!C82+ULM!C82+UNO!C82</f>
        <v>4416437</v>
      </c>
      <c r="D82" s="69">
        <f>ULBoard!D82+Grambling!D82+LATech!D82+McNeese!D82+Nicholls!D82+NwSU!D82+SLU!D82+ULL!D82+ULM!D82+UNO!D82</f>
        <v>3055415.4</v>
      </c>
      <c r="E82" s="69">
        <f t="shared" si="7"/>
        <v>-1361021.6</v>
      </c>
      <c r="F82" s="70">
        <f t="shared" si="6"/>
        <v>-0.3081718588989269</v>
      </c>
      <c r="G82" s="69">
        <f>ULBoard!G82+Grambling!G82+LATech!G82+McNeese!G82+Nicholls!G82+NwSU!G82+SLU!G82+ULL!G82+ULM!G82+UNO!G82</f>
        <v>3105415.4</v>
      </c>
      <c r="H82" s="227"/>
    </row>
    <row r="83" spans="1:8" ht="15" customHeight="1" x14ac:dyDescent="0.25">
      <c r="A83" s="75" t="s">
        <v>74</v>
      </c>
      <c r="B83" s="69">
        <f>ULBoard!B83+Grambling!B83+LATech!B83+McNeese!B83+Nicholls!B83+NwSU!B83+SLU!B83+ULL!B83+ULM!B83+UNO!B83</f>
        <v>69377787.930000007</v>
      </c>
      <c r="C83" s="69">
        <f>ULBoard!C83+Grambling!C83+LATech!C83+McNeese!C83+Nicholls!C83+NwSU!C83+SLU!C83+ULL!C83+ULM!C83+UNO!C83</f>
        <v>74314357</v>
      </c>
      <c r="D83" s="69">
        <f>ULBoard!D83+Grambling!D83+LATech!D83+McNeese!D83+Nicholls!D83+NwSU!D83+SLU!D83+ULL!D83+ULM!D83+UNO!D83</f>
        <v>69263675.939999998</v>
      </c>
      <c r="E83" s="69">
        <f t="shared" si="7"/>
        <v>-5050681.0600000024</v>
      </c>
      <c r="F83" s="70">
        <f t="shared" si="6"/>
        <v>-6.7963732230099258E-2</v>
      </c>
      <c r="G83" s="69">
        <f>ULBoard!G83+Grambling!G83+LATech!G83+McNeese!G83+Nicholls!G83+NwSU!G83+SLU!G83+ULL!G83+ULM!G83+UNO!G83</f>
        <v>71686195.939999998</v>
      </c>
      <c r="H83" s="227"/>
    </row>
    <row r="84" spans="1:8" ht="15" customHeight="1" x14ac:dyDescent="0.25">
      <c r="A84" s="75" t="s">
        <v>75</v>
      </c>
      <c r="B84" s="69">
        <f>ULBoard!B84+Grambling!B84+LATech!B84+McNeese!B84+Nicholls!B84+NwSU!B84+SLU!B84+ULL!B84+ULM!B84+UNO!B84</f>
        <v>10570772.98</v>
      </c>
      <c r="C84" s="69">
        <f>ULBoard!C84+Grambling!C84+LATech!C84+McNeese!C84+Nicholls!C84+NwSU!C84+SLU!C84+ULL!C84+ULM!C84+UNO!C84</f>
        <v>14016082</v>
      </c>
      <c r="D84" s="69">
        <f>ULBoard!D84+Grambling!D84+LATech!D84+McNeese!D84+Nicholls!D84+NwSU!D84+SLU!D84+ULL!D84+ULM!D84+UNO!D84</f>
        <v>12241738.720000001</v>
      </c>
      <c r="E84" s="69">
        <f t="shared" si="7"/>
        <v>-1774343.2799999993</v>
      </c>
      <c r="F84" s="70">
        <f t="shared" si="6"/>
        <v>-0.12659338608321494</v>
      </c>
      <c r="G84" s="69">
        <f>ULBoard!G84+Grambling!G84+LATech!G84+McNeese!G84+Nicholls!G84+NwSU!G84+SLU!G84+ULL!G84+ULM!G84+UNO!G84</f>
        <v>12241738.720000001</v>
      </c>
      <c r="H84" s="227"/>
    </row>
    <row r="85" spans="1:8" s="124" customFormat="1" ht="15" customHeight="1" x14ac:dyDescent="0.25">
      <c r="A85" s="78" t="s">
        <v>76</v>
      </c>
      <c r="B85" s="87">
        <f>ULBoard!B85+Grambling!B85+LATech!B85+McNeese!B85+Nicholls!B85+NwSU!B85+SLU!B85+ULL!B85+ULM!B85+UNO!B85</f>
        <v>82683085.840000004</v>
      </c>
      <c r="C85" s="87">
        <f>SUM(C82:C84)</f>
        <v>92746876</v>
      </c>
      <c r="D85" s="87">
        <f>SUM(D82:D84)</f>
        <v>84560830.060000002</v>
      </c>
      <c r="E85" s="87">
        <f t="shared" si="7"/>
        <v>-8186045.9399999976</v>
      </c>
      <c r="F85" s="81">
        <f t="shared" si="6"/>
        <v>-8.8262228260928138E-2</v>
      </c>
      <c r="G85" s="87">
        <f>SUM(G82:G84)</f>
        <v>87033350.060000002</v>
      </c>
      <c r="H85" s="228"/>
    </row>
    <row r="86" spans="1:8" ht="15" customHeight="1" x14ac:dyDescent="0.25">
      <c r="A86" s="75" t="s">
        <v>77</v>
      </c>
      <c r="B86" s="69">
        <f>ULBoard!B86+Grambling!B86+LATech!B86+McNeese!B86+Nicholls!B86+NwSU!B86+SLU!B86+ULL!B86+ULM!B86+UNO!B86</f>
        <v>8007491.1600000001</v>
      </c>
      <c r="C86" s="69">
        <f>ULBoard!C86+Grambling!C86+LATech!C86+McNeese!C86+Nicholls!C86+NwSU!C86+SLU!C86+ULL!C86+ULM!C86+UNO!C86</f>
        <v>8783953</v>
      </c>
      <c r="D86" s="69">
        <f>ULBoard!D86+Grambling!D86+LATech!D86+McNeese!D86+Nicholls!D86+NwSU!D86+SLU!D86+ULL!D86+ULM!D86+UNO!D86</f>
        <v>7806091.46</v>
      </c>
      <c r="E86" s="69">
        <f t="shared" si="7"/>
        <v>-977861.54</v>
      </c>
      <c r="F86" s="70">
        <f t="shared" si="6"/>
        <v>-0.11132363071614797</v>
      </c>
      <c r="G86" s="69">
        <f>ULBoard!G86+Grambling!G86+LATech!G86+McNeese!G86+Nicholls!G86+NwSU!G86+SLU!G86+ULL!G86+ULM!G86+UNO!G86</f>
        <v>7856091.46</v>
      </c>
      <c r="H86" s="227"/>
    </row>
    <row r="87" spans="1:8" ht="15" customHeight="1" x14ac:dyDescent="0.25">
      <c r="A87" s="75" t="s">
        <v>78</v>
      </c>
      <c r="B87" s="69">
        <f>ULBoard!B87+Grambling!B87+LATech!B87+McNeese!B87+Nicholls!B87+NwSU!B87+SLU!B87+ULL!B87+ULM!B87+UNO!B87</f>
        <v>152000707.83999997</v>
      </c>
      <c r="C87" s="69">
        <f>ULBoard!C87+Grambling!C87+LATech!C87+McNeese!C87+Nicholls!C87+NwSU!C87+SLU!C87+ULL!C87+ULM!C87+UNO!C87</f>
        <v>160513337</v>
      </c>
      <c r="D87" s="69">
        <f>ULBoard!D87+Grambling!D87+LATech!D87+McNeese!D87+Nicholls!D87+NwSU!D87+SLU!D87+ULL!D87+ULM!D87+UNO!D87</f>
        <v>132772119.97</v>
      </c>
      <c r="E87" s="69">
        <f t="shared" si="7"/>
        <v>-27741217.030000001</v>
      </c>
      <c r="F87" s="70">
        <f t="shared" si="6"/>
        <v>-0.17282811228328024</v>
      </c>
      <c r="G87" s="69">
        <f>ULBoard!G87+Grambling!G87+LATech!G87+McNeese!G87+Nicholls!G87+NwSU!G87+SLU!G87+ULL!G87+ULM!G87+UNO!G87</f>
        <v>147898870.97</v>
      </c>
      <c r="H87" s="227"/>
    </row>
    <row r="88" spans="1:8" ht="15" customHeight="1" x14ac:dyDescent="0.25">
      <c r="A88" s="75" t="s">
        <v>79</v>
      </c>
      <c r="B88" s="69">
        <f>ULBoard!B88+Grambling!B88+LATech!B88+McNeese!B88+Nicholls!B88+NwSU!B88+SLU!B88+ULL!B88+ULM!B88+UNO!B88</f>
        <v>0</v>
      </c>
      <c r="C88" s="69">
        <f>ULBoard!C88+Grambling!C88+LATech!C88+McNeese!C88+Nicholls!C88+NwSU!C88+SLU!C88+ULL!C88+ULM!C88+UNO!C88</f>
        <v>0</v>
      </c>
      <c r="D88" s="69">
        <f>ULBoard!D88+Grambling!D88+LATech!D88+McNeese!D88+Nicholls!D88+NwSU!D88+SLU!D88+ULL!D88+ULM!D88+UNO!D88</f>
        <v>0</v>
      </c>
      <c r="E88" s="69">
        <f t="shared" si="7"/>
        <v>0</v>
      </c>
      <c r="F88" s="70">
        <f t="shared" si="6"/>
        <v>0</v>
      </c>
      <c r="G88" s="69">
        <f>ULBoard!G88+Grambling!G88+LATech!G88+McNeese!G88+Nicholls!G88+NwSU!G88+SLU!G88+ULL!G88+ULM!G88+UNO!G88</f>
        <v>0</v>
      </c>
      <c r="H88" s="227"/>
    </row>
    <row r="89" spans="1:8" ht="15" customHeight="1" x14ac:dyDescent="0.25">
      <c r="A89" s="75" t="s">
        <v>80</v>
      </c>
      <c r="B89" s="69">
        <f>ULBoard!B89+Grambling!B89+LATech!B89+McNeese!B89+Nicholls!B89+NwSU!B89+SLU!B89+ULL!B89+ULM!B89+UNO!B89</f>
        <v>3322986.6</v>
      </c>
      <c r="C89" s="69">
        <f>ULBoard!C89+Grambling!C89+LATech!C89+McNeese!C89+Nicholls!C89+NwSU!C89+SLU!C89+ULL!C89+ULM!C89+UNO!C89</f>
        <v>6755669</v>
      </c>
      <c r="D89" s="69">
        <f>ULBoard!D89+Grambling!D89+LATech!D89+McNeese!D89+Nicholls!D89+NwSU!D89+SLU!D89+ULL!D89+ULM!D89+UNO!D89</f>
        <v>6071510</v>
      </c>
      <c r="E89" s="69">
        <f t="shared" si="7"/>
        <v>-684159</v>
      </c>
      <c r="F89" s="70">
        <f t="shared" si="6"/>
        <v>-0.10127183555026156</v>
      </c>
      <c r="G89" s="69">
        <f>ULBoard!G89+Grambling!G89+LATech!G89+McNeese!G89+Nicholls!G89+NwSU!G89+SLU!G89+ULL!G89+ULM!G89+UNO!G89</f>
        <v>6071510</v>
      </c>
      <c r="H89" s="227"/>
    </row>
    <row r="90" spans="1:8" s="124" customFormat="1" ht="15" customHeight="1" x14ac:dyDescent="0.25">
      <c r="A90" s="78" t="s">
        <v>81</v>
      </c>
      <c r="B90" s="87">
        <f>ULBoard!B90+Grambling!B90+LATech!B90+McNeese!B90+Nicholls!B90+NwSU!B90+SLU!B90+ULL!B90+ULM!B90+UNO!B90</f>
        <v>163331185.60000002</v>
      </c>
      <c r="C90" s="87">
        <f>SUM(C86:C89)</f>
        <v>176052959</v>
      </c>
      <c r="D90" s="87">
        <f>SUM(D86:D89)</f>
        <v>146649721.43000001</v>
      </c>
      <c r="E90" s="87">
        <f t="shared" si="7"/>
        <v>-29403237.569999993</v>
      </c>
      <c r="F90" s="81">
        <f t="shared" si="6"/>
        <v>-0.16701359486948467</v>
      </c>
      <c r="G90" s="87">
        <f>SUM(G86:G89)</f>
        <v>161826472.43000001</v>
      </c>
      <c r="H90" s="228"/>
    </row>
    <row r="91" spans="1:8" ht="15" customHeight="1" x14ac:dyDescent="0.25">
      <c r="A91" s="75" t="s">
        <v>82</v>
      </c>
      <c r="B91" s="69">
        <f>ULBoard!B91+Grambling!B91+LATech!B91+McNeese!B91+Nicholls!B91+NwSU!B91+SLU!B91+ULL!B91+ULM!B91+UNO!B91</f>
        <v>3875607.3200000003</v>
      </c>
      <c r="C91" s="69">
        <f>ULBoard!C91+Grambling!C91+LATech!C91+McNeese!C91+Nicholls!C91+NwSU!C91+SLU!C91+ULL!C91+ULM!C91+UNO!C91</f>
        <v>4964833</v>
      </c>
      <c r="D91" s="69">
        <f>ULBoard!D91+Grambling!D91+LATech!D91+McNeese!D91+Nicholls!D91+NwSU!D91+SLU!D91+ULL!D91+ULM!D91+UNO!D91</f>
        <v>4917227.68</v>
      </c>
      <c r="E91" s="69">
        <f t="shared" si="7"/>
        <v>-47605.320000000298</v>
      </c>
      <c r="F91" s="70">
        <f t="shared" si="6"/>
        <v>-9.5885037825039227E-3</v>
      </c>
      <c r="G91" s="69">
        <f>ULBoard!G91+Grambling!G91+LATech!G91+McNeese!G91+Nicholls!G91+NwSU!G91+SLU!G91+ULL!G91+ULM!G91+UNO!G91</f>
        <v>4917227.68</v>
      </c>
      <c r="H91" s="227"/>
    </row>
    <row r="92" spans="1:8" ht="15" customHeight="1" x14ac:dyDescent="0.25">
      <c r="A92" s="75" t="s">
        <v>83</v>
      </c>
      <c r="B92" s="69">
        <f>ULBoard!B92+Grambling!B92+LATech!B92+McNeese!B92+Nicholls!B92+NwSU!B92+SLU!B92+ULL!B92+ULM!B92+UNO!B92</f>
        <v>4092053.8400000003</v>
      </c>
      <c r="C92" s="69">
        <f>ULBoard!C92+Grambling!C92+LATech!C92+McNeese!C92+Nicholls!C92+NwSU!C92+SLU!C92+ULL!C92+ULM!C92+UNO!C92</f>
        <v>3595019</v>
      </c>
      <c r="D92" s="69">
        <f>ULBoard!D92+Grambling!D92+LATech!D92+McNeese!D92+Nicholls!D92+NwSU!D92+SLU!D92+ULL!D92+ULM!D92+UNO!D92</f>
        <v>3089441.21</v>
      </c>
      <c r="E92" s="69">
        <f t="shared" si="7"/>
        <v>-505577.79000000004</v>
      </c>
      <c r="F92" s="70">
        <f t="shared" si="6"/>
        <v>-0.14063285618240126</v>
      </c>
      <c r="G92" s="69">
        <f>ULBoard!G92+Grambling!G92+LATech!G92+McNeese!G92+Nicholls!G92+NwSU!G92+SLU!G92+ULL!G92+ULM!G92+UNO!G92</f>
        <v>3089441.21</v>
      </c>
      <c r="H92" s="227"/>
    </row>
    <row r="93" spans="1:8" ht="15" customHeight="1" x14ac:dyDescent="0.25">
      <c r="A93" s="83" t="s">
        <v>84</v>
      </c>
      <c r="B93" s="69">
        <f>ULBoard!B93+Grambling!B93+LATech!B93+McNeese!B93+Nicholls!B93+NwSU!B93+SLU!B93+ULL!B93+ULM!B93+UNO!B93</f>
        <v>310753.23</v>
      </c>
      <c r="C93" s="69">
        <f>ULBoard!C93+Grambling!C93+LATech!C93+McNeese!C93+Nicholls!C93+NwSU!C93+SLU!C93+ULL!C93+ULM!C93+UNO!C93</f>
        <v>181175</v>
      </c>
      <c r="D93" s="69">
        <f>ULBoard!D93+Grambling!D93+LATech!D93+McNeese!D93+Nicholls!D93+NwSU!D93+SLU!D93+ULL!D93+ULM!D93+UNO!D93</f>
        <v>144066</v>
      </c>
      <c r="E93" s="69">
        <f t="shared" si="7"/>
        <v>-37109</v>
      </c>
      <c r="F93" s="70">
        <f t="shared" si="6"/>
        <v>-0.20482406513039877</v>
      </c>
      <c r="G93" s="69">
        <f>ULBoard!G93+Grambling!G93+LATech!G93+McNeese!G93+Nicholls!G93+NwSU!G93+SLU!G93+ULL!G93+ULM!G93+UNO!G93</f>
        <v>144066</v>
      </c>
      <c r="H93" s="227"/>
    </row>
    <row r="94" spans="1:8" s="124" customFormat="1" ht="15" customHeight="1" x14ac:dyDescent="0.25">
      <c r="A94" s="97" t="s">
        <v>85</v>
      </c>
      <c r="B94" s="87">
        <f>ULBoard!B94+Grambling!B94+LATech!B94+McNeese!B94+Nicholls!B94+NwSU!B94+SLU!B94+ULL!B94+ULM!B94+UNO!B94</f>
        <v>8278414.3900000006</v>
      </c>
      <c r="C94" s="87">
        <f>SUM(C91:C93)</f>
        <v>8741027</v>
      </c>
      <c r="D94" s="87">
        <f>SUM(D91:D93)</f>
        <v>8150734.8899999997</v>
      </c>
      <c r="E94" s="87">
        <f t="shared" si="7"/>
        <v>-590292.11000000034</v>
      </c>
      <c r="F94" s="81">
        <f t="shared" si="6"/>
        <v>-6.7531207717354075E-2</v>
      </c>
      <c r="G94" s="87">
        <f>SUM(G91:G93)</f>
        <v>8150734.8899999997</v>
      </c>
      <c r="H94" s="228"/>
    </row>
    <row r="95" spans="1:8" ht="15" customHeight="1" x14ac:dyDescent="0.25">
      <c r="A95" s="83" t="s">
        <v>86</v>
      </c>
      <c r="B95" s="69">
        <f>ULBoard!B95+Grambling!B95+LATech!B95+McNeese!B95+Nicholls!B95+NwSU!B95+SLU!B95+ULL!B95+ULM!B95+UNO!B95</f>
        <v>0</v>
      </c>
      <c r="C95" s="69">
        <f>ULBoard!C95+Grambling!C95+LATech!C95+McNeese!C95+Nicholls!C95+NwSU!C95+SLU!C95+ULL!C95+ULM!C95+UNO!C95</f>
        <v>0</v>
      </c>
      <c r="D95" s="69">
        <f>ULBoard!D95+Grambling!D95+LATech!D95+McNeese!D95+Nicholls!D95+NwSU!D95+SLU!D95+ULL!D95+ULM!D95+UNO!D95</f>
        <v>0</v>
      </c>
      <c r="E95" s="69">
        <f t="shared" si="7"/>
        <v>0</v>
      </c>
      <c r="F95" s="70">
        <f t="shared" si="6"/>
        <v>0</v>
      </c>
      <c r="G95" s="69">
        <f>ULBoard!G95+Grambling!G95+LATech!G95+McNeese!G95+Nicholls!G95+NwSU!G95+SLU!G95+ULL!G95+ULM!G95+UNO!G95</f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ULBoard!B96+Grambling!B96+LATech!B96+McNeese!B96+Nicholls!B96+NwSU!B96+SLU!B96+ULL!B96+ULM!B96+UNO!B96</f>
        <v>876790450.96999991</v>
      </c>
      <c r="C96" s="196">
        <f>C95+C94+C90+C85+C81</f>
        <v>961591231</v>
      </c>
      <c r="D96" s="196">
        <f>D95+D94+D90+D85+D81</f>
        <v>858471035.676</v>
      </c>
      <c r="E96" s="197">
        <f>D96-C96</f>
        <v>-103120195.324</v>
      </c>
      <c r="F96" s="198">
        <f t="shared" si="6"/>
        <v>-0.10723911782843619</v>
      </c>
      <c r="G96" s="196">
        <f>G95+G94+G90+G85+G81</f>
        <v>906398391.676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" t="s">
        <v>197</v>
      </c>
    </row>
    <row r="99" spans="1:9" x14ac:dyDescent="0.25">
      <c r="A99" s="1" t="s">
        <v>190</v>
      </c>
    </row>
  </sheetData>
  <mergeCells count="1">
    <mergeCell ref="G2:G3"/>
  </mergeCells>
  <hyperlinks>
    <hyperlink ref="I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39" customWidth="1"/>
    <col min="2" max="5" width="23.7109375" style="187" customWidth="1"/>
    <col min="6" max="6" width="23.7109375" style="188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115</v>
      </c>
      <c r="F1" s="50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143" t="s">
        <v>4</v>
      </c>
      <c r="B4" s="144" t="s">
        <v>5</v>
      </c>
      <c r="C4" s="145" t="s">
        <v>6</v>
      </c>
      <c r="D4" s="145" t="s">
        <v>6</v>
      </c>
      <c r="E4" s="145" t="s">
        <v>7</v>
      </c>
      <c r="F4" s="146" t="s">
        <v>8</v>
      </c>
      <c r="G4" s="145" t="s">
        <v>210</v>
      </c>
      <c r="H4" s="229"/>
    </row>
    <row r="5" spans="1:9" s="140" customFormat="1" ht="15" customHeight="1" x14ac:dyDescent="0.25">
      <c r="A5" s="147"/>
      <c r="B5" s="148" t="s">
        <v>192</v>
      </c>
      <c r="C5" s="148" t="s">
        <v>198</v>
      </c>
      <c r="D5" s="148" t="s">
        <v>199</v>
      </c>
      <c r="E5" s="148" t="s">
        <v>192</v>
      </c>
      <c r="F5" s="149" t="s">
        <v>9</v>
      </c>
      <c r="G5" s="148" t="s">
        <v>211</v>
      </c>
      <c r="H5" s="230"/>
    </row>
    <row r="6" spans="1:9" ht="15" customHeight="1" x14ac:dyDescent="0.25">
      <c r="A6" s="150" t="s">
        <v>10</v>
      </c>
      <c r="B6" s="151"/>
      <c r="C6" s="151"/>
      <c r="D6" s="151"/>
      <c r="E6" s="151"/>
      <c r="F6" s="152"/>
      <c r="G6" s="151"/>
      <c r="H6" s="185"/>
    </row>
    <row r="7" spans="1:9" ht="15" customHeight="1" x14ac:dyDescent="0.25">
      <c r="A7" s="150" t="s">
        <v>11</v>
      </c>
      <c r="B7" s="151"/>
      <c r="C7" s="151"/>
      <c r="D7" s="151"/>
      <c r="E7" s="151"/>
      <c r="F7" s="153"/>
      <c r="G7" s="151"/>
      <c r="H7" s="185"/>
    </row>
    <row r="8" spans="1:9" ht="15" customHeight="1" x14ac:dyDescent="0.25">
      <c r="A8" s="154" t="s">
        <v>12</v>
      </c>
      <c r="B8" s="155">
        <v>1035004</v>
      </c>
      <c r="C8" s="155">
        <v>1035004</v>
      </c>
      <c r="D8" s="155">
        <v>1001967</v>
      </c>
      <c r="E8" s="155">
        <f>D8-C8</f>
        <v>-33037</v>
      </c>
      <c r="F8" s="156">
        <f t="shared" ref="F8:F31" si="0">IF(ISBLANK(E8),"  ",IF(C8&gt;0,E8/C8,IF(E8&gt;0,1,0)))</f>
        <v>-3.1919683402189751E-2</v>
      </c>
      <c r="G8" s="155">
        <v>1001967</v>
      </c>
      <c r="H8" s="185"/>
    </row>
    <row r="9" spans="1:9" ht="15" customHeight="1" x14ac:dyDescent="0.25">
      <c r="A9" s="154" t="s">
        <v>13</v>
      </c>
      <c r="B9" s="155">
        <v>0</v>
      </c>
      <c r="C9" s="155">
        <v>0</v>
      </c>
      <c r="D9" s="155">
        <v>0</v>
      </c>
      <c r="E9" s="155">
        <f t="shared" ref="E9:E31" si="1">D9-C9</f>
        <v>0</v>
      </c>
      <c r="F9" s="156">
        <f t="shared" si="0"/>
        <v>0</v>
      </c>
      <c r="G9" s="155">
        <v>0</v>
      </c>
      <c r="H9" s="185"/>
    </row>
    <row r="10" spans="1:9" ht="15" customHeight="1" x14ac:dyDescent="0.25">
      <c r="A10" s="157" t="s">
        <v>14</v>
      </c>
      <c r="B10" s="158">
        <v>0</v>
      </c>
      <c r="C10" s="158">
        <v>0</v>
      </c>
      <c r="D10" s="158">
        <v>0</v>
      </c>
      <c r="E10" s="155">
        <f t="shared" si="1"/>
        <v>0</v>
      </c>
      <c r="F10" s="156">
        <f t="shared" si="0"/>
        <v>0</v>
      </c>
      <c r="G10" s="158">
        <v>0</v>
      </c>
      <c r="H10" s="185"/>
    </row>
    <row r="11" spans="1:9" ht="15" customHeight="1" x14ac:dyDescent="0.25">
      <c r="A11" s="159" t="s">
        <v>15</v>
      </c>
      <c r="B11" s="160">
        <v>0</v>
      </c>
      <c r="C11" s="160">
        <v>0</v>
      </c>
      <c r="D11" s="160">
        <v>0</v>
      </c>
      <c r="E11" s="155">
        <f t="shared" si="1"/>
        <v>0</v>
      </c>
      <c r="F11" s="156">
        <f t="shared" si="0"/>
        <v>0</v>
      </c>
      <c r="G11" s="160">
        <v>0</v>
      </c>
      <c r="H11" s="185"/>
    </row>
    <row r="12" spans="1:9" ht="15" customHeight="1" x14ac:dyDescent="0.25">
      <c r="A12" s="161" t="s">
        <v>16</v>
      </c>
      <c r="B12" s="160">
        <v>0</v>
      </c>
      <c r="C12" s="160">
        <v>0</v>
      </c>
      <c r="D12" s="160">
        <v>0</v>
      </c>
      <c r="E12" s="155">
        <f t="shared" si="1"/>
        <v>0</v>
      </c>
      <c r="F12" s="156">
        <f t="shared" si="0"/>
        <v>0</v>
      </c>
      <c r="G12" s="160">
        <v>0</v>
      </c>
      <c r="H12" s="185"/>
    </row>
    <row r="13" spans="1:9" ht="15" customHeight="1" x14ac:dyDescent="0.25">
      <c r="A13" s="161" t="s">
        <v>17</v>
      </c>
      <c r="B13" s="160">
        <v>0</v>
      </c>
      <c r="C13" s="160">
        <v>0</v>
      </c>
      <c r="D13" s="160">
        <v>0</v>
      </c>
      <c r="E13" s="155">
        <f t="shared" si="1"/>
        <v>0</v>
      </c>
      <c r="F13" s="156">
        <f t="shared" si="0"/>
        <v>0</v>
      </c>
      <c r="G13" s="160">
        <v>0</v>
      </c>
      <c r="H13" s="185"/>
    </row>
    <row r="14" spans="1:9" ht="15" customHeight="1" x14ac:dyDescent="0.25">
      <c r="A14" s="161" t="s">
        <v>18</v>
      </c>
      <c r="B14" s="160">
        <v>0</v>
      </c>
      <c r="C14" s="160">
        <v>0</v>
      </c>
      <c r="D14" s="160">
        <v>0</v>
      </c>
      <c r="E14" s="155">
        <f t="shared" si="1"/>
        <v>0</v>
      </c>
      <c r="F14" s="156">
        <f t="shared" si="0"/>
        <v>0</v>
      </c>
      <c r="G14" s="160">
        <v>0</v>
      </c>
      <c r="H14" s="185"/>
    </row>
    <row r="15" spans="1:9" ht="15" customHeight="1" x14ac:dyDescent="0.25">
      <c r="A15" s="161" t="s">
        <v>19</v>
      </c>
      <c r="B15" s="160">
        <v>0</v>
      </c>
      <c r="C15" s="160">
        <v>0</v>
      </c>
      <c r="D15" s="160">
        <v>0</v>
      </c>
      <c r="E15" s="155">
        <f t="shared" si="1"/>
        <v>0</v>
      </c>
      <c r="F15" s="156">
        <f t="shared" si="0"/>
        <v>0</v>
      </c>
      <c r="G15" s="160">
        <v>0</v>
      </c>
      <c r="H15" s="185"/>
    </row>
    <row r="16" spans="1:9" ht="15" customHeight="1" x14ac:dyDescent="0.25">
      <c r="A16" s="161" t="s">
        <v>20</v>
      </c>
      <c r="B16" s="160">
        <v>0</v>
      </c>
      <c r="C16" s="160">
        <v>0</v>
      </c>
      <c r="D16" s="160">
        <v>0</v>
      </c>
      <c r="E16" s="155">
        <f t="shared" si="1"/>
        <v>0</v>
      </c>
      <c r="F16" s="156">
        <f t="shared" si="0"/>
        <v>0</v>
      </c>
      <c r="G16" s="160">
        <v>0</v>
      </c>
      <c r="H16" s="185"/>
    </row>
    <row r="17" spans="1:8" ht="15" customHeight="1" x14ac:dyDescent="0.25">
      <c r="A17" s="161" t="s">
        <v>21</v>
      </c>
      <c r="B17" s="160">
        <v>0</v>
      </c>
      <c r="C17" s="160">
        <v>0</v>
      </c>
      <c r="D17" s="160">
        <v>0</v>
      </c>
      <c r="E17" s="155">
        <f t="shared" si="1"/>
        <v>0</v>
      </c>
      <c r="F17" s="156">
        <f t="shared" si="0"/>
        <v>0</v>
      </c>
      <c r="G17" s="160">
        <v>0</v>
      </c>
      <c r="H17" s="185"/>
    </row>
    <row r="18" spans="1:8" ht="15" customHeight="1" x14ac:dyDescent="0.25">
      <c r="A18" s="161" t="s">
        <v>22</v>
      </c>
      <c r="B18" s="160">
        <v>0</v>
      </c>
      <c r="C18" s="160">
        <v>0</v>
      </c>
      <c r="D18" s="160">
        <v>0</v>
      </c>
      <c r="E18" s="155">
        <f t="shared" si="1"/>
        <v>0</v>
      </c>
      <c r="F18" s="156">
        <f t="shared" si="0"/>
        <v>0</v>
      </c>
      <c r="G18" s="160">
        <v>0</v>
      </c>
      <c r="H18" s="185"/>
    </row>
    <row r="19" spans="1:8" ht="15" customHeight="1" x14ac:dyDescent="0.25">
      <c r="A19" s="161" t="s">
        <v>23</v>
      </c>
      <c r="B19" s="160">
        <v>0</v>
      </c>
      <c r="C19" s="160">
        <v>0</v>
      </c>
      <c r="D19" s="160">
        <v>0</v>
      </c>
      <c r="E19" s="155">
        <f t="shared" si="1"/>
        <v>0</v>
      </c>
      <c r="F19" s="156">
        <f t="shared" si="0"/>
        <v>0</v>
      </c>
      <c r="G19" s="160">
        <v>0</v>
      </c>
      <c r="H19" s="185"/>
    </row>
    <row r="20" spans="1:8" ht="15" customHeight="1" x14ac:dyDescent="0.25">
      <c r="A20" s="161" t="s">
        <v>24</v>
      </c>
      <c r="B20" s="160">
        <v>0</v>
      </c>
      <c r="C20" s="160">
        <v>0</v>
      </c>
      <c r="D20" s="160">
        <v>0</v>
      </c>
      <c r="E20" s="155">
        <f t="shared" si="1"/>
        <v>0</v>
      </c>
      <c r="F20" s="156">
        <f t="shared" si="0"/>
        <v>0</v>
      </c>
      <c r="G20" s="160">
        <v>0</v>
      </c>
      <c r="H20" s="185"/>
    </row>
    <row r="21" spans="1:8" ht="15" customHeight="1" x14ac:dyDescent="0.25">
      <c r="A21" s="161" t="s">
        <v>25</v>
      </c>
      <c r="B21" s="160">
        <v>0</v>
      </c>
      <c r="C21" s="160">
        <v>0</v>
      </c>
      <c r="D21" s="160">
        <v>0</v>
      </c>
      <c r="E21" s="155">
        <f t="shared" si="1"/>
        <v>0</v>
      </c>
      <c r="F21" s="156">
        <f t="shared" si="0"/>
        <v>0</v>
      </c>
      <c r="G21" s="160">
        <v>0</v>
      </c>
      <c r="H21" s="185"/>
    </row>
    <row r="22" spans="1:8" ht="15" customHeight="1" x14ac:dyDescent="0.25">
      <c r="A22" s="161" t="s">
        <v>26</v>
      </c>
      <c r="B22" s="160">
        <v>0</v>
      </c>
      <c r="C22" s="160">
        <v>0</v>
      </c>
      <c r="D22" s="160">
        <v>0</v>
      </c>
      <c r="E22" s="155">
        <f t="shared" si="1"/>
        <v>0</v>
      </c>
      <c r="F22" s="156">
        <f t="shared" si="0"/>
        <v>0</v>
      </c>
      <c r="G22" s="160">
        <v>0</v>
      </c>
      <c r="H22" s="185"/>
    </row>
    <row r="23" spans="1:8" ht="15" customHeight="1" x14ac:dyDescent="0.25">
      <c r="A23" s="162" t="s">
        <v>27</v>
      </c>
      <c r="B23" s="160">
        <v>0</v>
      </c>
      <c r="C23" s="160">
        <v>0</v>
      </c>
      <c r="D23" s="160">
        <v>0</v>
      </c>
      <c r="E23" s="155">
        <f t="shared" si="1"/>
        <v>0</v>
      </c>
      <c r="F23" s="156">
        <f t="shared" si="0"/>
        <v>0</v>
      </c>
      <c r="G23" s="160">
        <v>0</v>
      </c>
      <c r="H23" s="185"/>
    </row>
    <row r="24" spans="1:8" ht="15" customHeight="1" x14ac:dyDescent="0.25">
      <c r="A24" s="162" t="s">
        <v>28</v>
      </c>
      <c r="B24" s="160">
        <v>0</v>
      </c>
      <c r="C24" s="160">
        <v>0</v>
      </c>
      <c r="D24" s="160">
        <v>0</v>
      </c>
      <c r="E24" s="155">
        <f t="shared" si="1"/>
        <v>0</v>
      </c>
      <c r="F24" s="156">
        <f t="shared" si="0"/>
        <v>0</v>
      </c>
      <c r="G24" s="160">
        <v>0</v>
      </c>
      <c r="H24" s="185"/>
    </row>
    <row r="25" spans="1:8" ht="15" customHeight="1" x14ac:dyDescent="0.25">
      <c r="A25" s="162" t="s">
        <v>29</v>
      </c>
      <c r="B25" s="160">
        <v>0</v>
      </c>
      <c r="C25" s="160">
        <v>0</v>
      </c>
      <c r="D25" s="160">
        <v>0</v>
      </c>
      <c r="E25" s="155">
        <f t="shared" si="1"/>
        <v>0</v>
      </c>
      <c r="F25" s="156">
        <f t="shared" si="0"/>
        <v>0</v>
      </c>
      <c r="G25" s="160">
        <v>0</v>
      </c>
      <c r="H25" s="185"/>
    </row>
    <row r="26" spans="1:8" ht="15" customHeight="1" x14ac:dyDescent="0.25">
      <c r="A26" s="162" t="s">
        <v>30</v>
      </c>
      <c r="B26" s="160">
        <v>0</v>
      </c>
      <c r="C26" s="160">
        <v>0</v>
      </c>
      <c r="D26" s="160">
        <v>0</v>
      </c>
      <c r="E26" s="155">
        <f t="shared" si="1"/>
        <v>0</v>
      </c>
      <c r="F26" s="156">
        <f t="shared" si="0"/>
        <v>0</v>
      </c>
      <c r="G26" s="160">
        <v>0</v>
      </c>
      <c r="H26" s="185"/>
    </row>
    <row r="27" spans="1:8" ht="15" customHeight="1" x14ac:dyDescent="0.25">
      <c r="A27" s="162" t="s">
        <v>31</v>
      </c>
      <c r="B27" s="160">
        <v>0</v>
      </c>
      <c r="C27" s="160">
        <v>0</v>
      </c>
      <c r="D27" s="160">
        <v>0</v>
      </c>
      <c r="E27" s="155">
        <f t="shared" si="1"/>
        <v>0</v>
      </c>
      <c r="F27" s="156">
        <f t="shared" si="0"/>
        <v>0</v>
      </c>
      <c r="G27" s="160">
        <v>0</v>
      </c>
      <c r="H27" s="185"/>
    </row>
    <row r="28" spans="1:8" ht="15" customHeight="1" x14ac:dyDescent="0.25">
      <c r="A28" s="162" t="s">
        <v>87</v>
      </c>
      <c r="B28" s="160">
        <v>0</v>
      </c>
      <c r="C28" s="160">
        <v>0</v>
      </c>
      <c r="D28" s="160">
        <v>0</v>
      </c>
      <c r="E28" s="155">
        <f t="shared" si="1"/>
        <v>0</v>
      </c>
      <c r="F28" s="156">
        <f t="shared" si="0"/>
        <v>0</v>
      </c>
      <c r="G28" s="160">
        <v>0</v>
      </c>
      <c r="H28" s="185"/>
    </row>
    <row r="29" spans="1:8" ht="15" customHeight="1" x14ac:dyDescent="0.25">
      <c r="A29" s="162" t="s">
        <v>32</v>
      </c>
      <c r="B29" s="160">
        <v>0</v>
      </c>
      <c r="C29" s="160">
        <v>0</v>
      </c>
      <c r="D29" s="160">
        <v>0</v>
      </c>
      <c r="E29" s="155">
        <f t="shared" si="1"/>
        <v>0</v>
      </c>
      <c r="F29" s="156">
        <f t="shared" si="0"/>
        <v>0</v>
      </c>
      <c r="G29" s="160">
        <v>0</v>
      </c>
      <c r="H29" s="185"/>
    </row>
    <row r="30" spans="1:8" ht="15" customHeight="1" x14ac:dyDescent="0.25">
      <c r="A30" s="219" t="s">
        <v>201</v>
      </c>
      <c r="B30" s="160">
        <v>0</v>
      </c>
      <c r="C30" s="160">
        <v>0</v>
      </c>
      <c r="D30" s="160">
        <v>0</v>
      </c>
      <c r="E30" s="155">
        <f t="shared" si="1"/>
        <v>0</v>
      </c>
      <c r="F30" s="156">
        <f t="shared" si="0"/>
        <v>0</v>
      </c>
      <c r="G30" s="160">
        <v>0</v>
      </c>
      <c r="H30" s="185"/>
    </row>
    <row r="31" spans="1:8" ht="15" customHeight="1" x14ac:dyDescent="0.25">
      <c r="A31" s="162" t="s">
        <v>202</v>
      </c>
      <c r="B31" s="160">
        <v>0</v>
      </c>
      <c r="C31" s="160">
        <v>0</v>
      </c>
      <c r="D31" s="160">
        <v>0</v>
      </c>
      <c r="E31" s="155">
        <f t="shared" si="1"/>
        <v>0</v>
      </c>
      <c r="F31" s="156">
        <f t="shared" si="0"/>
        <v>0</v>
      </c>
      <c r="G31" s="160">
        <v>0</v>
      </c>
      <c r="H31" s="185"/>
    </row>
    <row r="32" spans="1:8" ht="15" customHeight="1" x14ac:dyDescent="0.25">
      <c r="A32" s="163" t="s">
        <v>33</v>
      </c>
      <c r="B32" s="160"/>
      <c r="C32" s="160"/>
      <c r="D32" s="160"/>
      <c r="E32" s="160"/>
      <c r="F32" s="152"/>
      <c r="G32" s="160"/>
      <c r="H32" s="185"/>
    </row>
    <row r="33" spans="1:13" ht="15" customHeight="1" x14ac:dyDescent="0.25">
      <c r="A33" s="159" t="s">
        <v>34</v>
      </c>
      <c r="B33" s="155">
        <v>0</v>
      </c>
      <c r="C33" s="155">
        <v>0</v>
      </c>
      <c r="D33" s="155">
        <v>0</v>
      </c>
      <c r="E33" s="155">
        <f>D33-C33</f>
        <v>0</v>
      </c>
      <c r="F33" s="156">
        <f>IF(ISBLANK(E33),"  ",IF(C33&gt;0,E33/C33,IF(E33&gt;0,1,0)))</f>
        <v>0</v>
      </c>
      <c r="G33" s="155">
        <v>0</v>
      </c>
      <c r="H33" s="185"/>
    </row>
    <row r="34" spans="1:13" ht="15" customHeight="1" x14ac:dyDescent="0.25">
      <c r="A34" s="164" t="s">
        <v>35</v>
      </c>
      <c r="B34" s="160"/>
      <c r="C34" s="160"/>
      <c r="D34" s="160"/>
      <c r="E34" s="160"/>
      <c r="F34" s="152"/>
      <c r="G34" s="160"/>
      <c r="H34" s="185"/>
    </row>
    <row r="35" spans="1:13" ht="15" customHeight="1" x14ac:dyDescent="0.25">
      <c r="A35" s="159" t="s">
        <v>34</v>
      </c>
      <c r="B35" s="151">
        <v>0</v>
      </c>
      <c r="C35" s="151">
        <v>0</v>
      </c>
      <c r="D35" s="151">
        <v>0</v>
      </c>
      <c r="E35" s="155">
        <f>D35-C35</f>
        <v>0</v>
      </c>
      <c r="F35" s="156">
        <f>IF(ISBLANK(E35),"  ",IF(C35&gt;0,E35/C35,IF(E35&gt;0,1,0)))</f>
        <v>0</v>
      </c>
      <c r="G35" s="151">
        <v>0</v>
      </c>
      <c r="H35" s="185"/>
    </row>
    <row r="36" spans="1:13" ht="15" customHeight="1" x14ac:dyDescent="0.25">
      <c r="A36" s="161" t="s">
        <v>36</v>
      </c>
      <c r="B36" s="160"/>
      <c r="C36" s="160"/>
      <c r="D36" s="160"/>
      <c r="E36" s="158"/>
      <c r="F36" s="156" t="str">
        <f>IF(ISBLANK(E36),"  ",IF(C36&gt;0,E36/C36,IF(E36&gt;0,1,0)))</f>
        <v xml:space="preserve">  </v>
      </c>
      <c r="G36" s="160"/>
      <c r="H36" s="185"/>
    </row>
    <row r="37" spans="1:13" s="124" customFormat="1" ht="15" customHeight="1" x14ac:dyDescent="0.25">
      <c r="A37" s="165" t="s">
        <v>38</v>
      </c>
      <c r="B37" s="166">
        <f>SUM(B8,B9,B10,B33,B35)</f>
        <v>1035004</v>
      </c>
      <c r="C37" s="166">
        <f t="shared" ref="C37:D37" si="2">SUM(C8,C9,C10,C33,C35)</f>
        <v>1035004</v>
      </c>
      <c r="D37" s="166">
        <f t="shared" si="2"/>
        <v>1001967</v>
      </c>
      <c r="E37" s="166">
        <f>D37-C37</f>
        <v>-33037</v>
      </c>
      <c r="F37" s="167">
        <f>IF(ISBLANK(E37),"  ",IF(C37&gt;0,E37/C37,IF(E37&gt;0,1,0)))</f>
        <v>-3.1919683402189751E-2</v>
      </c>
      <c r="G37" s="166">
        <f>SUM(G8,G9,G10,G33,G35)</f>
        <v>1001967</v>
      </c>
      <c r="H37" s="215"/>
    </row>
    <row r="38" spans="1:13" ht="15" customHeight="1" x14ac:dyDescent="0.25">
      <c r="A38" s="163" t="s">
        <v>39</v>
      </c>
      <c r="B38" s="160"/>
      <c r="C38" s="160"/>
      <c r="D38" s="160"/>
      <c r="E38" s="160"/>
      <c r="F38" s="152"/>
      <c r="G38" s="160"/>
      <c r="H38" s="185"/>
    </row>
    <row r="39" spans="1:13" ht="15" customHeight="1" x14ac:dyDescent="0.25">
      <c r="A39" s="168" t="s">
        <v>40</v>
      </c>
      <c r="B39" s="155">
        <v>0</v>
      </c>
      <c r="C39" s="155">
        <v>0</v>
      </c>
      <c r="D39" s="155">
        <v>0</v>
      </c>
      <c r="E39" s="155">
        <f>D39-C39</f>
        <v>0</v>
      </c>
      <c r="F39" s="156">
        <f t="shared" ref="F39:F44" si="3">IF(ISBLANK(E39),"  ",IF(C39&gt;0,E39/C39,IF(E39&gt;0,1,0)))</f>
        <v>0</v>
      </c>
      <c r="G39" s="155">
        <v>0</v>
      </c>
      <c r="H39" s="185"/>
    </row>
    <row r="40" spans="1:13" ht="15" customHeight="1" x14ac:dyDescent="0.25">
      <c r="A40" s="169" t="s">
        <v>41</v>
      </c>
      <c r="B40" s="155">
        <v>0</v>
      </c>
      <c r="C40" s="155">
        <v>0</v>
      </c>
      <c r="D40" s="155">
        <v>0</v>
      </c>
      <c r="E40" s="155">
        <f t="shared" ref="E40:E44" si="4">D40-C40</f>
        <v>0</v>
      </c>
      <c r="F40" s="156">
        <f t="shared" si="3"/>
        <v>0</v>
      </c>
      <c r="G40" s="155">
        <v>0</v>
      </c>
      <c r="H40" s="185"/>
    </row>
    <row r="41" spans="1:13" ht="15" customHeight="1" x14ac:dyDescent="0.25">
      <c r="A41" s="169" t="s">
        <v>42</v>
      </c>
      <c r="B41" s="155">
        <v>0</v>
      </c>
      <c r="C41" s="155">
        <v>0</v>
      </c>
      <c r="D41" s="155">
        <v>0</v>
      </c>
      <c r="E41" s="155">
        <f t="shared" si="4"/>
        <v>0</v>
      </c>
      <c r="F41" s="156">
        <f t="shared" si="3"/>
        <v>0</v>
      </c>
      <c r="G41" s="155">
        <v>0</v>
      </c>
      <c r="H41" s="185"/>
    </row>
    <row r="42" spans="1:13" ht="15" customHeight="1" x14ac:dyDescent="0.25">
      <c r="A42" s="169" t="s">
        <v>43</v>
      </c>
      <c r="B42" s="155">
        <v>0</v>
      </c>
      <c r="C42" s="155">
        <v>0</v>
      </c>
      <c r="D42" s="155">
        <v>0</v>
      </c>
      <c r="E42" s="155">
        <f t="shared" si="4"/>
        <v>0</v>
      </c>
      <c r="F42" s="156">
        <f t="shared" si="3"/>
        <v>0</v>
      </c>
      <c r="G42" s="155">
        <v>0</v>
      </c>
      <c r="H42" s="185"/>
    </row>
    <row r="43" spans="1:13" ht="15" customHeight="1" x14ac:dyDescent="0.25">
      <c r="A43" s="170" t="s">
        <v>44</v>
      </c>
      <c r="B43" s="155">
        <v>0</v>
      </c>
      <c r="C43" s="155">
        <v>0</v>
      </c>
      <c r="D43" s="155">
        <v>0</v>
      </c>
      <c r="E43" s="155">
        <f t="shared" si="4"/>
        <v>0</v>
      </c>
      <c r="F43" s="156">
        <f t="shared" si="3"/>
        <v>0</v>
      </c>
      <c r="G43" s="155">
        <v>0</v>
      </c>
      <c r="H43" s="185"/>
    </row>
    <row r="44" spans="1:13" s="124" customFormat="1" ht="15" customHeight="1" x14ac:dyDescent="0.25">
      <c r="A44" s="163" t="s">
        <v>45</v>
      </c>
      <c r="B44" s="171">
        <v>0</v>
      </c>
      <c r="C44" s="171">
        <v>0</v>
      </c>
      <c r="D44" s="171">
        <v>0</v>
      </c>
      <c r="E44" s="173">
        <f t="shared" si="4"/>
        <v>0</v>
      </c>
      <c r="F44" s="167">
        <f t="shared" si="3"/>
        <v>0</v>
      </c>
      <c r="G44" s="171">
        <v>0</v>
      </c>
      <c r="H44" s="215"/>
      <c r="M44" s="124" t="s">
        <v>46</v>
      </c>
    </row>
    <row r="45" spans="1:13" ht="15" customHeight="1" x14ac:dyDescent="0.25">
      <c r="A45" s="161" t="s">
        <v>46</v>
      </c>
      <c r="B45" s="160"/>
      <c r="C45" s="160"/>
      <c r="D45" s="160"/>
      <c r="E45" s="160"/>
      <c r="F45" s="152"/>
      <c r="G45" s="160"/>
      <c r="H45" s="185"/>
    </row>
    <row r="46" spans="1:13" s="124" customFormat="1" ht="15" customHeight="1" x14ac:dyDescent="0.25">
      <c r="A46" s="172" t="s">
        <v>47</v>
      </c>
      <c r="B46" s="173">
        <v>0</v>
      </c>
      <c r="C46" s="173">
        <v>0</v>
      </c>
      <c r="D46" s="173">
        <v>0</v>
      </c>
      <c r="E46" s="173">
        <f>D46-C46</f>
        <v>0</v>
      </c>
      <c r="F46" s="167">
        <f>IF(ISBLANK(E46),"  ",IF(C46&gt;0,E46/C46,IF(E46&gt;0,1,0)))</f>
        <v>0</v>
      </c>
      <c r="G46" s="173">
        <v>0</v>
      </c>
      <c r="H46" s="215"/>
    </row>
    <row r="47" spans="1:13" ht="15" customHeight="1" x14ac:dyDescent="0.25">
      <c r="A47" s="161" t="s">
        <v>46</v>
      </c>
      <c r="B47" s="166"/>
      <c r="C47" s="166"/>
      <c r="D47" s="166"/>
      <c r="E47" s="160"/>
      <c r="F47" s="152"/>
      <c r="G47" s="166"/>
      <c r="H47" s="215"/>
    </row>
    <row r="48" spans="1:13" ht="15" customHeight="1" x14ac:dyDescent="0.25">
      <c r="A48" s="172" t="s">
        <v>200</v>
      </c>
      <c r="B48" s="173">
        <v>0</v>
      </c>
      <c r="C48" s="173">
        <v>0</v>
      </c>
      <c r="D48" s="173">
        <v>0</v>
      </c>
      <c r="E48" s="173">
        <f>D48-C48</f>
        <v>0</v>
      </c>
      <c r="F48" s="167">
        <f>IF(ISBLANK(E48)," ",IF(C48&gt;0,E48/C48,IF(E48&gt;0,1,0)))</f>
        <v>0</v>
      </c>
      <c r="G48" s="173">
        <v>0</v>
      </c>
      <c r="H48" s="215"/>
    </row>
    <row r="49" spans="1:8" ht="15" customHeight="1" x14ac:dyDescent="0.25">
      <c r="A49" s="159"/>
      <c r="B49" s="151"/>
      <c r="C49" s="151"/>
      <c r="D49" s="151"/>
      <c r="E49" s="151"/>
      <c r="F49" s="153"/>
      <c r="G49" s="151"/>
      <c r="H49" s="185"/>
    </row>
    <row r="50" spans="1:8" s="124" customFormat="1" ht="15" customHeight="1" x14ac:dyDescent="0.25">
      <c r="A50" s="172" t="s">
        <v>48</v>
      </c>
      <c r="B50" s="173">
        <v>0</v>
      </c>
      <c r="C50" s="173">
        <v>0</v>
      </c>
      <c r="D50" s="173">
        <v>0</v>
      </c>
      <c r="E50" s="173">
        <f>D50-C50</f>
        <v>0</v>
      </c>
      <c r="F50" s="167">
        <f>IF(ISBLANK(E50),"  ",IF(C50&gt;0,E50/C50,IF(E50&gt;0,1,0)))</f>
        <v>0</v>
      </c>
      <c r="G50" s="173">
        <v>0</v>
      </c>
      <c r="H50" s="215"/>
    </row>
    <row r="51" spans="1:8" ht="15" customHeight="1" x14ac:dyDescent="0.25">
      <c r="A51" s="161" t="s">
        <v>46</v>
      </c>
      <c r="B51" s="160"/>
      <c r="C51" s="160"/>
      <c r="D51" s="160"/>
      <c r="E51" s="160"/>
      <c r="F51" s="152"/>
      <c r="G51" s="160"/>
      <c r="H51" s="185"/>
    </row>
    <row r="52" spans="1:8" s="124" customFormat="1" ht="15" customHeight="1" x14ac:dyDescent="0.25">
      <c r="A52" s="163" t="s">
        <v>49</v>
      </c>
      <c r="B52" s="171">
        <v>2777316</v>
      </c>
      <c r="C52" s="171">
        <v>2814000</v>
      </c>
      <c r="D52" s="171">
        <v>2814000</v>
      </c>
      <c r="E52" s="171">
        <f>D52-C52</f>
        <v>0</v>
      </c>
      <c r="F52" s="167">
        <f>IF(ISBLANK(E52),"  ",IF(C52&gt;0,E52/C52,IF(E52&gt;0,1,0)))</f>
        <v>0</v>
      </c>
      <c r="G52" s="171">
        <v>2814000</v>
      </c>
      <c r="H52" s="215"/>
    </row>
    <row r="53" spans="1:8" ht="15" customHeight="1" x14ac:dyDescent="0.25">
      <c r="A53" s="161" t="s">
        <v>46</v>
      </c>
      <c r="B53" s="160"/>
      <c r="C53" s="160"/>
      <c r="D53" s="160"/>
      <c r="E53" s="160"/>
      <c r="F53" s="152"/>
      <c r="G53" s="160"/>
      <c r="H53" s="185"/>
    </row>
    <row r="54" spans="1:8" s="124" customFormat="1" ht="15" customHeight="1" x14ac:dyDescent="0.25">
      <c r="A54" s="174" t="s">
        <v>50</v>
      </c>
      <c r="B54" s="175">
        <v>0</v>
      </c>
      <c r="C54" s="175">
        <v>0</v>
      </c>
      <c r="D54" s="175">
        <v>0</v>
      </c>
      <c r="E54" s="175">
        <f>D54-C54</f>
        <v>0</v>
      </c>
      <c r="F54" s="167">
        <f>IF(ISBLANK(E54),"  ",IF(C54&gt;0,E54/C54,IF(E54&gt;0,1,0)))</f>
        <v>0</v>
      </c>
      <c r="G54" s="175">
        <v>0</v>
      </c>
      <c r="H54" s="215"/>
    </row>
    <row r="55" spans="1:8" ht="15" customHeight="1" x14ac:dyDescent="0.25">
      <c r="A55" s="163"/>
      <c r="B55" s="151"/>
      <c r="C55" s="151"/>
      <c r="D55" s="151"/>
      <c r="E55" s="151"/>
      <c r="F55" s="176"/>
      <c r="G55" s="151"/>
      <c r="H55" s="185"/>
    </row>
    <row r="56" spans="1:8" s="124" customFormat="1" ht="15" customHeight="1" x14ac:dyDescent="0.25">
      <c r="A56" s="163" t="s">
        <v>51</v>
      </c>
      <c r="B56" s="171">
        <v>0</v>
      </c>
      <c r="C56" s="171">
        <v>0</v>
      </c>
      <c r="D56" s="171">
        <v>0</v>
      </c>
      <c r="E56" s="175">
        <f>D56-C56</f>
        <v>0</v>
      </c>
      <c r="F56" s="167">
        <f>IF(ISBLANK(E56),"  ",IF(C56&gt;0,E56/C56,IF(E56&gt;0,1,0)))</f>
        <v>0</v>
      </c>
      <c r="G56" s="171">
        <v>0</v>
      </c>
      <c r="H56" s="215"/>
    </row>
    <row r="57" spans="1:8" ht="15" customHeight="1" x14ac:dyDescent="0.25">
      <c r="A57" s="161"/>
      <c r="B57" s="160"/>
      <c r="C57" s="160"/>
      <c r="D57" s="160"/>
      <c r="E57" s="160"/>
      <c r="F57" s="152"/>
      <c r="G57" s="160"/>
      <c r="H57" s="185"/>
    </row>
    <row r="58" spans="1:8" s="124" customFormat="1" ht="15" customHeight="1" x14ac:dyDescent="0.25">
      <c r="A58" s="177" t="s">
        <v>52</v>
      </c>
      <c r="B58" s="171">
        <v>3812320</v>
      </c>
      <c r="C58" s="171">
        <v>3849004</v>
      </c>
      <c r="D58" s="171">
        <v>3815967</v>
      </c>
      <c r="E58" s="171">
        <f>D58-C58</f>
        <v>-33037</v>
      </c>
      <c r="F58" s="167">
        <f>IF(ISBLANK(E58),"  ",IF(C58&gt;0,E58/C58,IF(E58&gt;0,1,0)))</f>
        <v>-8.5832594614087179E-3</v>
      </c>
      <c r="G58" s="171">
        <v>3815967</v>
      </c>
      <c r="H58" s="215"/>
    </row>
    <row r="59" spans="1:8" ht="15" customHeight="1" x14ac:dyDescent="0.25">
      <c r="A59" s="178"/>
      <c r="B59" s="160"/>
      <c r="C59" s="160"/>
      <c r="D59" s="160"/>
      <c r="E59" s="160"/>
      <c r="F59" s="152" t="s">
        <v>46</v>
      </c>
      <c r="G59" s="160"/>
      <c r="H59" s="185"/>
    </row>
    <row r="60" spans="1:8" ht="15" customHeight="1" x14ac:dyDescent="0.25">
      <c r="A60" s="179"/>
      <c r="B60" s="151"/>
      <c r="C60" s="151"/>
      <c r="D60" s="151"/>
      <c r="E60" s="151"/>
      <c r="F60" s="153" t="s">
        <v>46</v>
      </c>
      <c r="G60" s="151"/>
      <c r="H60" s="185"/>
    </row>
    <row r="61" spans="1:8" ht="15" customHeight="1" x14ac:dyDescent="0.25">
      <c r="A61" s="177" t="s">
        <v>53</v>
      </c>
      <c r="B61" s="151"/>
      <c r="C61" s="151"/>
      <c r="D61" s="151"/>
      <c r="E61" s="151"/>
      <c r="F61" s="153"/>
      <c r="G61" s="151"/>
      <c r="H61" s="185"/>
    </row>
    <row r="62" spans="1:8" ht="15" customHeight="1" x14ac:dyDescent="0.25">
      <c r="A62" s="159" t="s">
        <v>54</v>
      </c>
      <c r="B62" s="151">
        <v>0</v>
      </c>
      <c r="C62" s="151">
        <v>0</v>
      </c>
      <c r="D62" s="151">
        <v>0</v>
      </c>
      <c r="E62" s="151">
        <f>D62-C62</f>
        <v>0</v>
      </c>
      <c r="F62" s="156">
        <f t="shared" ref="F62:F75" si="5">IF(ISBLANK(E62),"  ",IF(C62&gt;0,E62/C62,IF(E62&gt;0,1,0)))</f>
        <v>0</v>
      </c>
      <c r="G62" s="151">
        <v>0</v>
      </c>
      <c r="H62" s="185"/>
    </row>
    <row r="63" spans="1:8" ht="15" customHeight="1" x14ac:dyDescent="0.25">
      <c r="A63" s="161" t="s">
        <v>55</v>
      </c>
      <c r="B63" s="160">
        <v>0</v>
      </c>
      <c r="C63" s="160">
        <v>0</v>
      </c>
      <c r="D63" s="160">
        <v>0</v>
      </c>
      <c r="E63" s="160">
        <f>D63-C63</f>
        <v>0</v>
      </c>
      <c r="F63" s="156">
        <f t="shared" si="5"/>
        <v>0</v>
      </c>
      <c r="G63" s="160">
        <v>0</v>
      </c>
      <c r="H63" s="185"/>
    </row>
    <row r="64" spans="1:8" ht="15" customHeight="1" x14ac:dyDescent="0.25">
      <c r="A64" s="161" t="s">
        <v>56</v>
      </c>
      <c r="B64" s="160">
        <v>0</v>
      </c>
      <c r="C64" s="160">
        <v>0</v>
      </c>
      <c r="D64" s="160">
        <v>0</v>
      </c>
      <c r="E64" s="160">
        <f t="shared" ref="E64:E75" si="6">D64-C64</f>
        <v>0</v>
      </c>
      <c r="F64" s="156">
        <f t="shared" si="5"/>
        <v>0</v>
      </c>
      <c r="G64" s="160">
        <v>0</v>
      </c>
      <c r="H64" s="185"/>
    </row>
    <row r="65" spans="1:8" ht="15" customHeight="1" x14ac:dyDescent="0.25">
      <c r="A65" s="161" t="s">
        <v>57</v>
      </c>
      <c r="B65" s="160">
        <v>0</v>
      </c>
      <c r="C65" s="160">
        <v>0</v>
      </c>
      <c r="D65" s="160">
        <v>0</v>
      </c>
      <c r="E65" s="160">
        <f t="shared" si="6"/>
        <v>0</v>
      </c>
      <c r="F65" s="156">
        <f t="shared" si="5"/>
        <v>0</v>
      </c>
      <c r="G65" s="160">
        <v>0</v>
      </c>
      <c r="H65" s="185"/>
    </row>
    <row r="66" spans="1:8" ht="15" customHeight="1" x14ac:dyDescent="0.25">
      <c r="A66" s="161" t="s">
        <v>58</v>
      </c>
      <c r="B66" s="160">
        <v>0</v>
      </c>
      <c r="C66" s="160">
        <v>0</v>
      </c>
      <c r="D66" s="160">
        <v>0</v>
      </c>
      <c r="E66" s="160">
        <f t="shared" si="6"/>
        <v>0</v>
      </c>
      <c r="F66" s="156">
        <f t="shared" si="5"/>
        <v>0</v>
      </c>
      <c r="G66" s="160">
        <v>0</v>
      </c>
      <c r="H66" s="185"/>
    </row>
    <row r="67" spans="1:8" ht="15" customHeight="1" x14ac:dyDescent="0.25">
      <c r="A67" s="161" t="s">
        <v>59</v>
      </c>
      <c r="B67" s="160">
        <v>3812320</v>
      </c>
      <c r="C67" s="160">
        <v>3849004</v>
      </c>
      <c r="D67" s="160">
        <v>3815967</v>
      </c>
      <c r="E67" s="160">
        <f t="shared" si="6"/>
        <v>-33037</v>
      </c>
      <c r="F67" s="156">
        <f t="shared" si="5"/>
        <v>-8.5832594614087179E-3</v>
      </c>
      <c r="G67" s="160">
        <v>3815967</v>
      </c>
      <c r="H67" s="185"/>
    </row>
    <row r="68" spans="1:8" ht="15" customHeight="1" x14ac:dyDescent="0.25">
      <c r="A68" s="161" t="s">
        <v>60</v>
      </c>
      <c r="B68" s="160">
        <v>0</v>
      </c>
      <c r="C68" s="160">
        <v>0</v>
      </c>
      <c r="D68" s="160">
        <v>0</v>
      </c>
      <c r="E68" s="160">
        <f t="shared" si="6"/>
        <v>0</v>
      </c>
      <c r="F68" s="156">
        <f t="shared" si="5"/>
        <v>0</v>
      </c>
      <c r="G68" s="160">
        <v>0</v>
      </c>
      <c r="H68" s="185"/>
    </row>
    <row r="69" spans="1:8" ht="15" customHeight="1" x14ac:dyDescent="0.25">
      <c r="A69" s="161" t="s">
        <v>61</v>
      </c>
      <c r="B69" s="160">
        <v>0</v>
      </c>
      <c r="C69" s="160">
        <v>0</v>
      </c>
      <c r="D69" s="160">
        <v>0</v>
      </c>
      <c r="E69" s="160">
        <f t="shared" si="6"/>
        <v>0</v>
      </c>
      <c r="F69" s="156">
        <f t="shared" si="5"/>
        <v>0</v>
      </c>
      <c r="G69" s="160">
        <v>0</v>
      </c>
      <c r="H69" s="185"/>
    </row>
    <row r="70" spans="1:8" s="124" customFormat="1" ht="15" customHeight="1" x14ac:dyDescent="0.25">
      <c r="A70" s="180" t="s">
        <v>62</v>
      </c>
      <c r="B70" s="166">
        <v>3812320</v>
      </c>
      <c r="C70" s="166">
        <v>3849004</v>
      </c>
      <c r="D70" s="166">
        <v>3815967</v>
      </c>
      <c r="E70" s="160">
        <f t="shared" si="6"/>
        <v>-33037</v>
      </c>
      <c r="F70" s="167">
        <f t="shared" si="5"/>
        <v>-8.5832594614087179E-3</v>
      </c>
      <c r="G70" s="166">
        <v>3815967</v>
      </c>
      <c r="H70" s="215"/>
    </row>
    <row r="71" spans="1:8" ht="15" customHeight="1" x14ac:dyDescent="0.25">
      <c r="A71" s="161" t="s">
        <v>63</v>
      </c>
      <c r="B71" s="160">
        <v>0</v>
      </c>
      <c r="C71" s="160">
        <v>0</v>
      </c>
      <c r="D71" s="160">
        <v>0</v>
      </c>
      <c r="E71" s="160">
        <f t="shared" si="6"/>
        <v>0</v>
      </c>
      <c r="F71" s="156">
        <f t="shared" si="5"/>
        <v>0</v>
      </c>
      <c r="G71" s="160">
        <v>0</v>
      </c>
      <c r="H71" s="185"/>
    </row>
    <row r="72" spans="1:8" ht="15" customHeight="1" x14ac:dyDescent="0.25">
      <c r="A72" s="161" t="s">
        <v>64</v>
      </c>
      <c r="B72" s="160">
        <v>0</v>
      </c>
      <c r="C72" s="160">
        <v>0</v>
      </c>
      <c r="D72" s="160">
        <v>0</v>
      </c>
      <c r="E72" s="160">
        <f t="shared" si="6"/>
        <v>0</v>
      </c>
      <c r="F72" s="156">
        <f t="shared" si="5"/>
        <v>0</v>
      </c>
      <c r="G72" s="160">
        <v>0</v>
      </c>
      <c r="H72" s="185"/>
    </row>
    <row r="73" spans="1:8" ht="15" customHeight="1" x14ac:dyDescent="0.25">
      <c r="A73" s="161" t="s">
        <v>65</v>
      </c>
      <c r="B73" s="160">
        <v>0</v>
      </c>
      <c r="C73" s="160">
        <v>0</v>
      </c>
      <c r="D73" s="160">
        <v>0</v>
      </c>
      <c r="E73" s="160">
        <f t="shared" si="6"/>
        <v>0</v>
      </c>
      <c r="F73" s="156">
        <f t="shared" si="5"/>
        <v>0</v>
      </c>
      <c r="G73" s="160">
        <v>0</v>
      </c>
      <c r="H73" s="185"/>
    </row>
    <row r="74" spans="1:8" ht="15" customHeight="1" x14ac:dyDescent="0.25">
      <c r="A74" s="161" t="s">
        <v>66</v>
      </c>
      <c r="B74" s="160">
        <v>0</v>
      </c>
      <c r="C74" s="160">
        <v>0</v>
      </c>
      <c r="D74" s="160">
        <v>0</v>
      </c>
      <c r="E74" s="160">
        <f t="shared" si="6"/>
        <v>0</v>
      </c>
      <c r="F74" s="156">
        <f t="shared" si="5"/>
        <v>0</v>
      </c>
      <c r="G74" s="160">
        <v>0</v>
      </c>
      <c r="H74" s="185"/>
    </row>
    <row r="75" spans="1:8" s="124" customFormat="1" ht="15" customHeight="1" x14ac:dyDescent="0.25">
      <c r="A75" s="181" t="s">
        <v>67</v>
      </c>
      <c r="B75" s="182">
        <v>3812320</v>
      </c>
      <c r="C75" s="182">
        <v>3849004</v>
      </c>
      <c r="D75" s="182">
        <v>3815967</v>
      </c>
      <c r="E75" s="234">
        <f t="shared" si="6"/>
        <v>-33037</v>
      </c>
      <c r="F75" s="167">
        <f t="shared" si="5"/>
        <v>-8.5832594614087179E-3</v>
      </c>
      <c r="G75" s="182">
        <v>3815967</v>
      </c>
      <c r="H75" s="215"/>
    </row>
    <row r="76" spans="1:8" ht="15" customHeight="1" x14ac:dyDescent="0.25">
      <c r="A76" s="179"/>
      <c r="B76" s="151"/>
      <c r="C76" s="151"/>
      <c r="D76" s="151"/>
      <c r="E76" s="151"/>
      <c r="F76" s="153"/>
      <c r="G76" s="151"/>
      <c r="H76" s="185"/>
    </row>
    <row r="77" spans="1:8" ht="15" customHeight="1" x14ac:dyDescent="0.25">
      <c r="A77" s="177" t="s">
        <v>68</v>
      </c>
      <c r="B77" s="151"/>
      <c r="C77" s="151"/>
      <c r="D77" s="151"/>
      <c r="E77" s="151"/>
      <c r="F77" s="153"/>
      <c r="G77" s="151"/>
      <c r="H77" s="185"/>
    </row>
    <row r="78" spans="1:8" ht="15" customHeight="1" x14ac:dyDescent="0.25">
      <c r="A78" s="159" t="s">
        <v>69</v>
      </c>
      <c r="B78" s="155">
        <v>2064785</v>
      </c>
      <c r="C78" s="155">
        <v>2064786</v>
      </c>
      <c r="D78" s="155">
        <v>2011000</v>
      </c>
      <c r="E78" s="151">
        <f>D78-C78</f>
        <v>-53786</v>
      </c>
      <c r="F78" s="156">
        <f t="shared" ref="F78:F96" si="7">IF(ISBLANK(E78),"  ",IF(C78&gt;0,E78/C78,IF(E78&gt;0,1,0)))</f>
        <v>-2.604918863262343E-2</v>
      </c>
      <c r="G78" s="155">
        <v>2011000</v>
      </c>
      <c r="H78" s="185"/>
    </row>
    <row r="79" spans="1:8" ht="15" customHeight="1" x14ac:dyDescent="0.25">
      <c r="A79" s="161" t="s">
        <v>70</v>
      </c>
      <c r="B79" s="158">
        <v>2570</v>
      </c>
      <c r="C79" s="158">
        <v>2571</v>
      </c>
      <c r="D79" s="158">
        <v>500</v>
      </c>
      <c r="E79" s="160">
        <f>D79-C79</f>
        <v>-2071</v>
      </c>
      <c r="F79" s="156">
        <f t="shared" si="7"/>
        <v>-0.80552314274601322</v>
      </c>
      <c r="G79" s="158">
        <v>500</v>
      </c>
      <c r="H79" s="185"/>
    </row>
    <row r="80" spans="1:8" ht="15" customHeight="1" x14ac:dyDescent="0.25">
      <c r="A80" s="161" t="s">
        <v>71</v>
      </c>
      <c r="B80" s="151">
        <v>806901</v>
      </c>
      <c r="C80" s="151">
        <v>806901</v>
      </c>
      <c r="D80" s="151">
        <v>785100</v>
      </c>
      <c r="E80" s="160">
        <f t="shared" ref="E80:E95" si="8">D80-C80</f>
        <v>-21801</v>
      </c>
      <c r="F80" s="156">
        <f t="shared" si="7"/>
        <v>-2.7018184386932226E-2</v>
      </c>
      <c r="G80" s="151">
        <v>785100</v>
      </c>
      <c r="H80" s="185"/>
    </row>
    <row r="81" spans="1:8" s="124" customFormat="1" ht="15" customHeight="1" x14ac:dyDescent="0.25">
      <c r="A81" s="180" t="s">
        <v>72</v>
      </c>
      <c r="B81" s="182">
        <v>2874256</v>
      </c>
      <c r="C81" s="182">
        <v>2874258</v>
      </c>
      <c r="D81" s="182">
        <v>2796600</v>
      </c>
      <c r="E81" s="166">
        <f t="shared" si="8"/>
        <v>-77658</v>
      </c>
      <c r="F81" s="167">
        <f t="shared" si="7"/>
        <v>-2.7018451370753774E-2</v>
      </c>
      <c r="G81" s="182">
        <v>2796600</v>
      </c>
      <c r="H81" s="215"/>
    </row>
    <row r="82" spans="1:8" ht="15" customHeight="1" x14ac:dyDescent="0.25">
      <c r="A82" s="161" t="s">
        <v>73</v>
      </c>
      <c r="B82" s="158">
        <v>48522</v>
      </c>
      <c r="C82" s="158">
        <v>55000</v>
      </c>
      <c r="D82" s="158">
        <v>55000</v>
      </c>
      <c r="E82" s="160">
        <f t="shared" si="8"/>
        <v>0</v>
      </c>
      <c r="F82" s="156">
        <f t="shared" si="7"/>
        <v>0</v>
      </c>
      <c r="G82" s="158">
        <v>55000</v>
      </c>
      <c r="H82" s="185"/>
    </row>
    <row r="83" spans="1:8" ht="15" customHeight="1" x14ac:dyDescent="0.25">
      <c r="A83" s="161" t="s">
        <v>74</v>
      </c>
      <c r="B83" s="155">
        <v>177905</v>
      </c>
      <c r="C83" s="155">
        <v>185233</v>
      </c>
      <c r="D83" s="155">
        <v>228000</v>
      </c>
      <c r="E83" s="160">
        <f t="shared" si="8"/>
        <v>42767</v>
      </c>
      <c r="F83" s="156">
        <f t="shared" si="7"/>
        <v>0.23088218621951812</v>
      </c>
      <c r="G83" s="155">
        <v>228000</v>
      </c>
      <c r="H83" s="185"/>
    </row>
    <row r="84" spans="1:8" ht="15" customHeight="1" x14ac:dyDescent="0.25">
      <c r="A84" s="161" t="s">
        <v>75</v>
      </c>
      <c r="B84" s="151">
        <v>8819</v>
      </c>
      <c r="C84" s="151">
        <v>15500</v>
      </c>
      <c r="D84" s="151">
        <v>15500</v>
      </c>
      <c r="E84" s="160">
        <f t="shared" si="8"/>
        <v>0</v>
      </c>
      <c r="F84" s="156">
        <f t="shared" si="7"/>
        <v>0</v>
      </c>
      <c r="G84" s="151">
        <v>15500</v>
      </c>
      <c r="H84" s="185"/>
    </row>
    <row r="85" spans="1:8" s="124" customFormat="1" ht="15" customHeight="1" x14ac:dyDescent="0.25">
      <c r="A85" s="164" t="s">
        <v>76</v>
      </c>
      <c r="B85" s="182">
        <v>235246</v>
      </c>
      <c r="C85" s="182">
        <v>255733</v>
      </c>
      <c r="D85" s="182">
        <v>298500</v>
      </c>
      <c r="E85" s="166">
        <f t="shared" si="8"/>
        <v>42767</v>
      </c>
      <c r="F85" s="167">
        <f t="shared" si="7"/>
        <v>0.16723301255606432</v>
      </c>
      <c r="G85" s="182">
        <v>298500</v>
      </c>
      <c r="H85" s="215"/>
    </row>
    <row r="86" spans="1:8" ht="15" customHeight="1" x14ac:dyDescent="0.25">
      <c r="A86" s="161" t="s">
        <v>77</v>
      </c>
      <c r="B86" s="151">
        <v>312381</v>
      </c>
      <c r="C86" s="151">
        <v>312382</v>
      </c>
      <c r="D86" s="151">
        <v>315867</v>
      </c>
      <c r="E86" s="160">
        <f t="shared" si="8"/>
        <v>3485</v>
      </c>
      <c r="F86" s="156">
        <f t="shared" si="7"/>
        <v>1.1156212585872426E-2</v>
      </c>
      <c r="G86" s="151">
        <v>315867</v>
      </c>
      <c r="H86" s="185"/>
    </row>
    <row r="87" spans="1:8" ht="15" customHeight="1" x14ac:dyDescent="0.25">
      <c r="A87" s="161" t="s">
        <v>78</v>
      </c>
      <c r="B87" s="160">
        <v>0</v>
      </c>
      <c r="C87" s="160">
        <v>0</v>
      </c>
      <c r="D87" s="160">
        <v>0</v>
      </c>
      <c r="E87" s="160">
        <f t="shared" si="8"/>
        <v>0</v>
      </c>
      <c r="F87" s="156">
        <f t="shared" si="7"/>
        <v>0</v>
      </c>
      <c r="G87" s="160">
        <v>0</v>
      </c>
      <c r="H87" s="185"/>
    </row>
    <row r="88" spans="1:8" ht="15" customHeight="1" x14ac:dyDescent="0.25">
      <c r="A88" s="161" t="s">
        <v>79</v>
      </c>
      <c r="B88" s="160">
        <v>0</v>
      </c>
      <c r="C88" s="160">
        <v>0</v>
      </c>
      <c r="D88" s="160">
        <v>0</v>
      </c>
      <c r="E88" s="160">
        <f t="shared" si="8"/>
        <v>0</v>
      </c>
      <c r="F88" s="156">
        <f t="shared" si="7"/>
        <v>0</v>
      </c>
      <c r="G88" s="160">
        <v>0</v>
      </c>
      <c r="H88" s="185"/>
    </row>
    <row r="89" spans="1:8" ht="15" customHeight="1" x14ac:dyDescent="0.25">
      <c r="A89" s="161" t="s">
        <v>80</v>
      </c>
      <c r="B89" s="160">
        <v>381459</v>
      </c>
      <c r="C89" s="160">
        <v>381631</v>
      </c>
      <c r="D89" s="160">
        <v>380000</v>
      </c>
      <c r="E89" s="160">
        <f t="shared" si="8"/>
        <v>-1631</v>
      </c>
      <c r="F89" s="156">
        <f t="shared" si="7"/>
        <v>-4.2737618275244934E-3</v>
      </c>
      <c r="G89" s="160">
        <v>380000</v>
      </c>
      <c r="H89" s="185"/>
    </row>
    <row r="90" spans="1:8" s="124" customFormat="1" ht="15" customHeight="1" x14ac:dyDescent="0.25">
      <c r="A90" s="164" t="s">
        <v>81</v>
      </c>
      <c r="B90" s="166">
        <v>693840</v>
      </c>
      <c r="C90" s="166">
        <v>694013</v>
      </c>
      <c r="D90" s="166">
        <v>695867</v>
      </c>
      <c r="E90" s="166">
        <f t="shared" si="8"/>
        <v>1854</v>
      </c>
      <c r="F90" s="167">
        <f t="shared" si="7"/>
        <v>2.6714196996309868E-3</v>
      </c>
      <c r="G90" s="166">
        <v>695867</v>
      </c>
      <c r="H90" s="215"/>
    </row>
    <row r="91" spans="1:8" ht="15" customHeight="1" x14ac:dyDescent="0.25">
      <c r="A91" s="161" t="s">
        <v>82</v>
      </c>
      <c r="B91" s="160">
        <v>8978</v>
      </c>
      <c r="C91" s="160">
        <v>25000</v>
      </c>
      <c r="D91" s="160">
        <v>25000</v>
      </c>
      <c r="E91" s="160">
        <f t="shared" si="8"/>
        <v>0</v>
      </c>
      <c r="F91" s="156">
        <f t="shared" si="7"/>
        <v>0</v>
      </c>
      <c r="G91" s="160">
        <v>25000</v>
      </c>
      <c r="H91" s="185"/>
    </row>
    <row r="92" spans="1:8" ht="15" customHeight="1" x14ac:dyDescent="0.25">
      <c r="A92" s="161" t="s">
        <v>83</v>
      </c>
      <c r="B92" s="160">
        <v>0</v>
      </c>
      <c r="C92" s="160">
        <v>0</v>
      </c>
      <c r="D92" s="160">
        <v>0</v>
      </c>
      <c r="E92" s="160">
        <f t="shared" si="8"/>
        <v>0</v>
      </c>
      <c r="F92" s="156">
        <f t="shared" si="7"/>
        <v>0</v>
      </c>
      <c r="G92" s="160">
        <v>0</v>
      </c>
      <c r="H92" s="185"/>
    </row>
    <row r="93" spans="1:8" ht="15" customHeight="1" x14ac:dyDescent="0.25">
      <c r="A93" s="169" t="s">
        <v>84</v>
      </c>
      <c r="B93" s="160">
        <v>0</v>
      </c>
      <c r="C93" s="160">
        <v>0</v>
      </c>
      <c r="D93" s="160">
        <v>0</v>
      </c>
      <c r="E93" s="160">
        <f t="shared" si="8"/>
        <v>0</v>
      </c>
      <c r="F93" s="156">
        <f t="shared" si="7"/>
        <v>0</v>
      </c>
      <c r="G93" s="160">
        <v>0</v>
      </c>
      <c r="H93" s="185"/>
    </row>
    <row r="94" spans="1:8" s="124" customFormat="1" ht="15" customHeight="1" x14ac:dyDescent="0.25">
      <c r="A94" s="183" t="s">
        <v>85</v>
      </c>
      <c r="B94" s="182">
        <v>8978</v>
      </c>
      <c r="C94" s="182">
        <v>25000</v>
      </c>
      <c r="D94" s="182">
        <v>25000</v>
      </c>
      <c r="E94" s="160">
        <f t="shared" si="8"/>
        <v>0</v>
      </c>
      <c r="F94" s="167">
        <f t="shared" si="7"/>
        <v>0</v>
      </c>
      <c r="G94" s="182">
        <v>25000</v>
      </c>
      <c r="H94" s="215"/>
    </row>
    <row r="95" spans="1:8" ht="15" customHeight="1" x14ac:dyDescent="0.25">
      <c r="A95" s="169" t="s">
        <v>86</v>
      </c>
      <c r="B95" s="160">
        <v>0</v>
      </c>
      <c r="C95" s="160">
        <v>0</v>
      </c>
      <c r="D95" s="160">
        <v>0</v>
      </c>
      <c r="E95" s="160">
        <f t="shared" si="8"/>
        <v>0</v>
      </c>
      <c r="F95" s="156">
        <f t="shared" si="7"/>
        <v>0</v>
      </c>
      <c r="G95" s="160">
        <v>0</v>
      </c>
      <c r="H95" s="185"/>
    </row>
    <row r="96" spans="1:8" s="124" customFormat="1" ht="15" customHeight="1" thickBot="1" x14ac:dyDescent="0.3">
      <c r="A96" s="203" t="s">
        <v>67</v>
      </c>
      <c r="B96" s="204">
        <v>3812320</v>
      </c>
      <c r="C96" s="204">
        <v>3849004</v>
      </c>
      <c r="D96" s="204">
        <v>3815967</v>
      </c>
      <c r="E96" s="204">
        <f>D96-C96</f>
        <v>-33037</v>
      </c>
      <c r="F96" s="205">
        <f t="shared" si="7"/>
        <v>-8.5832594614087179E-3</v>
      </c>
      <c r="G96" s="204">
        <v>3815967</v>
      </c>
      <c r="H96" s="215"/>
    </row>
    <row r="97" spans="1:9" ht="15" customHeight="1" thickTop="1" x14ac:dyDescent="0.25">
      <c r="A97" s="184"/>
      <c r="B97" s="185"/>
      <c r="C97" s="185"/>
      <c r="D97" s="185"/>
      <c r="E97" s="185"/>
      <c r="F97" s="186" t="s">
        <v>46</v>
      </c>
      <c r="G97" s="142"/>
      <c r="H97" s="142"/>
      <c r="I97" s="142"/>
    </row>
    <row r="98" spans="1:9" x14ac:dyDescent="0.25">
      <c r="A98" s="139" t="s">
        <v>197</v>
      </c>
    </row>
    <row r="99" spans="1:9" x14ac:dyDescent="0.25">
      <c r="A99" s="139" t="s">
        <v>190</v>
      </c>
    </row>
  </sheetData>
  <mergeCells count="1">
    <mergeCell ref="G2:G3"/>
  </mergeCells>
  <hyperlinks>
    <hyperlink ref="I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" sqref="I2"/>
    </sheetView>
  </sheetViews>
  <sheetFormatPr defaultColWidth="9.140625" defaultRowHeight="15" x14ac:dyDescent="0.25"/>
  <cols>
    <col min="1" max="1" width="66.5703125" customWidth="1"/>
    <col min="2" max="5" width="23.7109375" style="293" customWidth="1"/>
    <col min="6" max="6" width="23.7109375" style="245" customWidth="1"/>
    <col min="7" max="7" width="27.140625" bestFit="1" customWidth="1"/>
    <col min="8" max="8" width="7.7109375" customWidth="1"/>
    <col min="9" max="9" width="11.5703125" customWidth="1"/>
  </cols>
  <sheetData>
    <row r="1" spans="1:9" ht="19.5" customHeight="1" thickBot="1" x14ac:dyDescent="0.35">
      <c r="A1" s="241" t="s">
        <v>0</v>
      </c>
      <c r="B1" s="242"/>
      <c r="C1" s="242"/>
      <c r="D1" s="243" t="s">
        <v>1</v>
      </c>
      <c r="E1" s="244" t="s">
        <v>96</v>
      </c>
      <c r="F1" s="40"/>
      <c r="G1" s="245"/>
      <c r="H1" s="245"/>
    </row>
    <row r="2" spans="1:9" ht="19.5" customHeight="1" thickBot="1" x14ac:dyDescent="0.3">
      <c r="A2" s="241" t="s">
        <v>2</v>
      </c>
      <c r="B2" s="242"/>
      <c r="C2" s="242"/>
      <c r="D2" s="242"/>
      <c r="E2" s="242"/>
      <c r="F2" s="246"/>
      <c r="G2" s="306" t="s">
        <v>212</v>
      </c>
      <c r="I2" s="209" t="s">
        <v>187</v>
      </c>
    </row>
    <row r="3" spans="1:9" ht="19.5" customHeight="1" thickBot="1" x14ac:dyDescent="0.3">
      <c r="A3" s="247" t="s">
        <v>3</v>
      </c>
      <c r="B3" s="248"/>
      <c r="C3" s="248"/>
      <c r="D3" s="248"/>
      <c r="E3" s="248"/>
      <c r="F3" s="249"/>
      <c r="G3" s="307"/>
    </row>
    <row r="4" spans="1:9" ht="15" customHeight="1" thickTop="1" x14ac:dyDescent="0.25">
      <c r="A4" s="250" t="s">
        <v>4</v>
      </c>
      <c r="B4" s="251" t="s">
        <v>5</v>
      </c>
      <c r="C4" s="252" t="s">
        <v>6</v>
      </c>
      <c r="D4" s="252" t="s">
        <v>6</v>
      </c>
      <c r="E4" s="252" t="s">
        <v>7</v>
      </c>
      <c r="F4" s="253" t="s">
        <v>8</v>
      </c>
      <c r="G4" s="252" t="s">
        <v>210</v>
      </c>
      <c r="H4" s="254"/>
    </row>
    <row r="5" spans="1:9" s="259" customFormat="1" ht="15" customHeight="1" x14ac:dyDescent="0.25">
      <c r="A5" s="255"/>
      <c r="B5" s="256" t="s">
        <v>192</v>
      </c>
      <c r="C5" s="256" t="s">
        <v>198</v>
      </c>
      <c r="D5" s="256" t="s">
        <v>199</v>
      </c>
      <c r="E5" s="256" t="s">
        <v>192</v>
      </c>
      <c r="F5" s="257" t="s">
        <v>9</v>
      </c>
      <c r="G5" s="256" t="s">
        <v>211</v>
      </c>
      <c r="H5" s="258"/>
    </row>
    <row r="6" spans="1:9" ht="15" customHeight="1" x14ac:dyDescent="0.25">
      <c r="A6" s="260" t="s">
        <v>10</v>
      </c>
      <c r="B6" s="261"/>
      <c r="C6" s="261"/>
      <c r="D6" s="261"/>
      <c r="E6" s="261"/>
      <c r="F6" s="262"/>
      <c r="G6" s="261"/>
      <c r="H6" s="263"/>
    </row>
    <row r="7" spans="1:9" ht="15" customHeight="1" x14ac:dyDescent="0.25">
      <c r="A7" s="260" t="s">
        <v>11</v>
      </c>
      <c r="B7" s="261"/>
      <c r="C7" s="261"/>
      <c r="D7" s="261"/>
      <c r="E7" s="261"/>
      <c r="F7" s="264"/>
      <c r="G7" s="261"/>
      <c r="H7" s="263"/>
    </row>
    <row r="8" spans="1:9" ht="15" customHeight="1" x14ac:dyDescent="0.25">
      <c r="A8" s="265" t="s">
        <v>12</v>
      </c>
      <c r="B8" s="266">
        <v>14052455</v>
      </c>
      <c r="C8" s="266">
        <v>14052455</v>
      </c>
      <c r="D8" s="266">
        <v>10644878</v>
      </c>
      <c r="E8" s="266">
        <f>D8-C8</f>
        <v>-3407577</v>
      </c>
      <c r="F8" s="267">
        <f t="shared" ref="F8:F31" si="0">IF(ISBLANK(E8),"  ",IF(C8&gt;0,E8/C8,IF(E8&gt;0,1,0)))</f>
        <v>-0.24248979982501279</v>
      </c>
      <c r="G8" s="266">
        <f>10644878</f>
        <v>10644878</v>
      </c>
      <c r="H8" s="263"/>
    </row>
    <row r="9" spans="1:9" ht="15" customHeight="1" x14ac:dyDescent="0.25">
      <c r="A9" s="265" t="s">
        <v>13</v>
      </c>
      <c r="B9" s="266">
        <v>0</v>
      </c>
      <c r="C9" s="266">
        <v>0</v>
      </c>
      <c r="D9" s="266">
        <v>0</v>
      </c>
      <c r="E9" s="266">
        <f t="shared" ref="E9:E31" si="1">D9-C9</f>
        <v>0</v>
      </c>
      <c r="F9" s="267">
        <f t="shared" si="0"/>
        <v>0</v>
      </c>
      <c r="G9" s="266">
        <v>0</v>
      </c>
      <c r="H9" s="263"/>
    </row>
    <row r="10" spans="1:9" ht="15" customHeight="1" x14ac:dyDescent="0.25">
      <c r="A10" s="268" t="s">
        <v>14</v>
      </c>
      <c r="B10" s="269">
        <v>875747.97</v>
      </c>
      <c r="C10" s="269">
        <v>1040456</v>
      </c>
      <c r="D10" s="269">
        <v>891293</v>
      </c>
      <c r="E10" s="266">
        <f t="shared" si="1"/>
        <v>-149163</v>
      </c>
      <c r="F10" s="267">
        <f t="shared" si="0"/>
        <v>-0.1433631023320544</v>
      </c>
      <c r="G10" s="269">
        <v>891293</v>
      </c>
      <c r="H10" s="263"/>
    </row>
    <row r="11" spans="1:9" ht="15" customHeight="1" x14ac:dyDescent="0.25">
      <c r="A11" s="270" t="s">
        <v>15</v>
      </c>
      <c r="B11" s="271">
        <v>0</v>
      </c>
      <c r="C11" s="271">
        <v>0</v>
      </c>
      <c r="D11" s="271">
        <v>0</v>
      </c>
      <c r="E11" s="266">
        <f t="shared" si="1"/>
        <v>0</v>
      </c>
      <c r="F11" s="267">
        <f t="shared" si="0"/>
        <v>0</v>
      </c>
      <c r="G11" s="271">
        <v>0</v>
      </c>
      <c r="H11" s="263"/>
    </row>
    <row r="12" spans="1:9" ht="15" customHeight="1" x14ac:dyDescent="0.25">
      <c r="A12" s="272" t="s">
        <v>16</v>
      </c>
      <c r="B12" s="271">
        <v>875747.97</v>
      </c>
      <c r="C12" s="271">
        <v>1040456</v>
      </c>
      <c r="D12" s="271">
        <v>891293</v>
      </c>
      <c r="E12" s="266">
        <f t="shared" si="1"/>
        <v>-149163</v>
      </c>
      <c r="F12" s="267">
        <f t="shared" si="0"/>
        <v>-0.1433631023320544</v>
      </c>
      <c r="G12" s="271">
        <v>891293</v>
      </c>
      <c r="H12" s="263"/>
    </row>
    <row r="13" spans="1:9" ht="15" customHeight="1" x14ac:dyDescent="0.25">
      <c r="A13" s="272" t="s">
        <v>17</v>
      </c>
      <c r="B13" s="271">
        <v>0</v>
      </c>
      <c r="C13" s="271">
        <v>0</v>
      </c>
      <c r="D13" s="271">
        <v>0</v>
      </c>
      <c r="E13" s="266">
        <f t="shared" si="1"/>
        <v>0</v>
      </c>
      <c r="F13" s="267">
        <f t="shared" si="0"/>
        <v>0</v>
      </c>
      <c r="G13" s="271">
        <v>0</v>
      </c>
      <c r="H13" s="263"/>
    </row>
    <row r="14" spans="1:9" ht="15" customHeight="1" x14ac:dyDescent="0.25">
      <c r="A14" s="272" t="s">
        <v>18</v>
      </c>
      <c r="B14" s="271">
        <v>0</v>
      </c>
      <c r="C14" s="271">
        <v>0</v>
      </c>
      <c r="D14" s="271">
        <v>0</v>
      </c>
      <c r="E14" s="266">
        <f t="shared" si="1"/>
        <v>0</v>
      </c>
      <c r="F14" s="267">
        <f t="shared" si="0"/>
        <v>0</v>
      </c>
      <c r="G14" s="271">
        <v>0</v>
      </c>
      <c r="H14" s="263"/>
    </row>
    <row r="15" spans="1:9" ht="15" customHeight="1" x14ac:dyDescent="0.25">
      <c r="A15" s="272" t="s">
        <v>19</v>
      </c>
      <c r="B15" s="271">
        <v>0</v>
      </c>
      <c r="C15" s="271">
        <v>0</v>
      </c>
      <c r="D15" s="271">
        <v>0</v>
      </c>
      <c r="E15" s="266">
        <f t="shared" si="1"/>
        <v>0</v>
      </c>
      <c r="F15" s="267">
        <f t="shared" si="0"/>
        <v>0</v>
      </c>
      <c r="G15" s="271">
        <v>0</v>
      </c>
      <c r="H15" s="263"/>
    </row>
    <row r="16" spans="1:9" ht="15" customHeight="1" x14ac:dyDescent="0.25">
      <c r="A16" s="272" t="s">
        <v>20</v>
      </c>
      <c r="B16" s="271">
        <v>0</v>
      </c>
      <c r="C16" s="271">
        <v>0</v>
      </c>
      <c r="D16" s="271">
        <v>0</v>
      </c>
      <c r="E16" s="266">
        <f t="shared" si="1"/>
        <v>0</v>
      </c>
      <c r="F16" s="267">
        <f t="shared" si="0"/>
        <v>0</v>
      </c>
      <c r="G16" s="271">
        <v>0</v>
      </c>
      <c r="H16" s="263"/>
    </row>
    <row r="17" spans="1:8" ht="15" customHeight="1" x14ac:dyDescent="0.25">
      <c r="A17" s="272" t="s">
        <v>21</v>
      </c>
      <c r="B17" s="271">
        <v>0</v>
      </c>
      <c r="C17" s="271">
        <v>0</v>
      </c>
      <c r="D17" s="271">
        <v>0</v>
      </c>
      <c r="E17" s="266">
        <f t="shared" si="1"/>
        <v>0</v>
      </c>
      <c r="F17" s="267">
        <f t="shared" si="0"/>
        <v>0</v>
      </c>
      <c r="G17" s="271">
        <v>0</v>
      </c>
      <c r="H17" s="263"/>
    </row>
    <row r="18" spans="1:8" ht="15" customHeight="1" x14ac:dyDescent="0.25">
      <c r="A18" s="272" t="s">
        <v>22</v>
      </c>
      <c r="B18" s="271">
        <v>0</v>
      </c>
      <c r="C18" s="271">
        <v>0</v>
      </c>
      <c r="D18" s="271">
        <v>0</v>
      </c>
      <c r="E18" s="266">
        <f t="shared" si="1"/>
        <v>0</v>
      </c>
      <c r="F18" s="267">
        <f t="shared" si="0"/>
        <v>0</v>
      </c>
      <c r="G18" s="271">
        <v>0</v>
      </c>
      <c r="H18" s="263"/>
    </row>
    <row r="19" spans="1:8" ht="15" customHeight="1" x14ac:dyDescent="0.25">
      <c r="A19" s="272" t="s">
        <v>23</v>
      </c>
      <c r="B19" s="271">
        <v>0</v>
      </c>
      <c r="C19" s="271">
        <v>0</v>
      </c>
      <c r="D19" s="271">
        <v>0</v>
      </c>
      <c r="E19" s="266">
        <f t="shared" si="1"/>
        <v>0</v>
      </c>
      <c r="F19" s="267">
        <f t="shared" si="0"/>
        <v>0</v>
      </c>
      <c r="G19" s="271">
        <v>0</v>
      </c>
      <c r="H19" s="263"/>
    </row>
    <row r="20" spans="1:8" ht="15" customHeight="1" x14ac:dyDescent="0.25">
      <c r="A20" s="272" t="s">
        <v>24</v>
      </c>
      <c r="B20" s="271">
        <v>0</v>
      </c>
      <c r="C20" s="271">
        <v>0</v>
      </c>
      <c r="D20" s="271">
        <v>0</v>
      </c>
      <c r="E20" s="266">
        <f t="shared" si="1"/>
        <v>0</v>
      </c>
      <c r="F20" s="267">
        <f t="shared" si="0"/>
        <v>0</v>
      </c>
      <c r="G20" s="271">
        <v>0</v>
      </c>
      <c r="H20" s="263"/>
    </row>
    <row r="21" spans="1:8" ht="15" customHeight="1" x14ac:dyDescent="0.25">
      <c r="A21" s="272" t="s">
        <v>25</v>
      </c>
      <c r="B21" s="271">
        <v>0</v>
      </c>
      <c r="C21" s="271">
        <v>0</v>
      </c>
      <c r="D21" s="271">
        <v>0</v>
      </c>
      <c r="E21" s="266">
        <f t="shared" si="1"/>
        <v>0</v>
      </c>
      <c r="F21" s="267">
        <f t="shared" si="0"/>
        <v>0</v>
      </c>
      <c r="G21" s="271">
        <v>0</v>
      </c>
      <c r="H21" s="263"/>
    </row>
    <row r="22" spans="1:8" ht="15" customHeight="1" x14ac:dyDescent="0.25">
      <c r="A22" s="272" t="s">
        <v>26</v>
      </c>
      <c r="B22" s="271">
        <v>0</v>
      </c>
      <c r="C22" s="271">
        <v>0</v>
      </c>
      <c r="D22" s="271">
        <v>0</v>
      </c>
      <c r="E22" s="266">
        <f t="shared" si="1"/>
        <v>0</v>
      </c>
      <c r="F22" s="267">
        <f t="shared" si="0"/>
        <v>0</v>
      </c>
      <c r="G22" s="271">
        <v>0</v>
      </c>
      <c r="H22" s="263"/>
    </row>
    <row r="23" spans="1:8" ht="15" customHeight="1" x14ac:dyDescent="0.25">
      <c r="A23" s="273" t="s">
        <v>27</v>
      </c>
      <c r="B23" s="271">
        <v>0</v>
      </c>
      <c r="C23" s="271">
        <v>0</v>
      </c>
      <c r="D23" s="271">
        <v>0</v>
      </c>
      <c r="E23" s="266">
        <f t="shared" si="1"/>
        <v>0</v>
      </c>
      <c r="F23" s="267">
        <f t="shared" si="0"/>
        <v>0</v>
      </c>
      <c r="G23" s="271">
        <v>0</v>
      </c>
      <c r="H23" s="263"/>
    </row>
    <row r="24" spans="1:8" ht="15" customHeight="1" x14ac:dyDescent="0.25">
      <c r="A24" s="273" t="s">
        <v>28</v>
      </c>
      <c r="B24" s="271">
        <v>0</v>
      </c>
      <c r="C24" s="271">
        <v>0</v>
      </c>
      <c r="D24" s="271">
        <v>0</v>
      </c>
      <c r="E24" s="266">
        <f t="shared" si="1"/>
        <v>0</v>
      </c>
      <c r="F24" s="267">
        <f t="shared" si="0"/>
        <v>0</v>
      </c>
      <c r="G24" s="271">
        <v>0</v>
      </c>
      <c r="H24" s="263"/>
    </row>
    <row r="25" spans="1:8" ht="15" customHeight="1" x14ac:dyDescent="0.25">
      <c r="A25" s="273" t="s">
        <v>29</v>
      </c>
      <c r="B25" s="271">
        <v>0</v>
      </c>
      <c r="C25" s="271">
        <v>0</v>
      </c>
      <c r="D25" s="271">
        <v>0</v>
      </c>
      <c r="E25" s="266">
        <f t="shared" si="1"/>
        <v>0</v>
      </c>
      <c r="F25" s="267">
        <f t="shared" si="0"/>
        <v>0</v>
      </c>
      <c r="G25" s="271">
        <v>0</v>
      </c>
      <c r="H25" s="263"/>
    </row>
    <row r="26" spans="1:8" ht="15" customHeight="1" x14ac:dyDescent="0.25">
      <c r="A26" s="273" t="s">
        <v>30</v>
      </c>
      <c r="B26" s="271">
        <v>0</v>
      </c>
      <c r="C26" s="271">
        <v>0</v>
      </c>
      <c r="D26" s="271">
        <v>0</v>
      </c>
      <c r="E26" s="266">
        <f t="shared" si="1"/>
        <v>0</v>
      </c>
      <c r="F26" s="267">
        <f t="shared" si="0"/>
        <v>0</v>
      </c>
      <c r="G26" s="271">
        <v>0</v>
      </c>
      <c r="H26" s="263"/>
    </row>
    <row r="27" spans="1:8" ht="15" customHeight="1" x14ac:dyDescent="0.25">
      <c r="A27" s="273" t="s">
        <v>31</v>
      </c>
      <c r="B27" s="271">
        <v>0</v>
      </c>
      <c r="C27" s="271">
        <v>0</v>
      </c>
      <c r="D27" s="271">
        <v>0</v>
      </c>
      <c r="E27" s="266">
        <f t="shared" si="1"/>
        <v>0</v>
      </c>
      <c r="F27" s="267">
        <f t="shared" si="0"/>
        <v>0</v>
      </c>
      <c r="G27" s="271">
        <v>0</v>
      </c>
      <c r="H27" s="263"/>
    </row>
    <row r="28" spans="1:8" ht="15" customHeight="1" x14ac:dyDescent="0.25">
      <c r="A28" s="273" t="s">
        <v>87</v>
      </c>
      <c r="B28" s="271">
        <v>0</v>
      </c>
      <c r="C28" s="271">
        <v>0</v>
      </c>
      <c r="D28" s="271">
        <v>0</v>
      </c>
      <c r="E28" s="266">
        <f t="shared" si="1"/>
        <v>0</v>
      </c>
      <c r="F28" s="267">
        <f t="shared" si="0"/>
        <v>0</v>
      </c>
      <c r="G28" s="271">
        <v>0</v>
      </c>
      <c r="H28" s="263"/>
    </row>
    <row r="29" spans="1:8" ht="15" customHeight="1" x14ac:dyDescent="0.25">
      <c r="A29" s="273" t="s">
        <v>32</v>
      </c>
      <c r="B29" s="271">
        <v>0</v>
      </c>
      <c r="C29" s="271">
        <v>0</v>
      </c>
      <c r="D29" s="271">
        <v>0</v>
      </c>
      <c r="E29" s="266">
        <f t="shared" si="1"/>
        <v>0</v>
      </c>
      <c r="F29" s="267">
        <f t="shared" si="0"/>
        <v>0</v>
      </c>
      <c r="G29" s="271">
        <v>0</v>
      </c>
      <c r="H29" s="263"/>
    </row>
    <row r="30" spans="1:8" ht="15" customHeight="1" x14ac:dyDescent="0.25">
      <c r="A30" s="274" t="s">
        <v>201</v>
      </c>
      <c r="B30" s="271">
        <v>0</v>
      </c>
      <c r="C30" s="271">
        <v>0</v>
      </c>
      <c r="D30" s="271">
        <v>0</v>
      </c>
      <c r="E30" s="266">
        <f t="shared" si="1"/>
        <v>0</v>
      </c>
      <c r="F30" s="267">
        <f t="shared" si="0"/>
        <v>0</v>
      </c>
      <c r="G30" s="271">
        <v>0</v>
      </c>
      <c r="H30" s="263"/>
    </row>
    <row r="31" spans="1:8" ht="15" customHeight="1" x14ac:dyDescent="0.25">
      <c r="A31" s="273" t="s">
        <v>202</v>
      </c>
      <c r="B31" s="271">
        <v>0</v>
      </c>
      <c r="C31" s="271">
        <v>0</v>
      </c>
      <c r="D31" s="271">
        <v>0</v>
      </c>
      <c r="E31" s="266">
        <f t="shared" si="1"/>
        <v>0</v>
      </c>
      <c r="F31" s="267">
        <f t="shared" si="0"/>
        <v>0</v>
      </c>
      <c r="G31" s="271">
        <v>0</v>
      </c>
      <c r="H31" s="263"/>
    </row>
    <row r="32" spans="1:8" ht="15" customHeight="1" x14ac:dyDescent="0.25">
      <c r="A32" s="275" t="s">
        <v>33</v>
      </c>
      <c r="B32" s="271"/>
      <c r="C32" s="271"/>
      <c r="D32" s="271"/>
      <c r="E32" s="271"/>
      <c r="F32" s="262"/>
      <c r="G32" s="271"/>
      <c r="H32" s="263"/>
    </row>
    <row r="33" spans="1:13" ht="15" customHeight="1" x14ac:dyDescent="0.25">
      <c r="A33" s="270" t="s">
        <v>34</v>
      </c>
      <c r="B33" s="266">
        <v>0</v>
      </c>
      <c r="C33" s="266">
        <v>0</v>
      </c>
      <c r="D33" s="266">
        <v>0</v>
      </c>
      <c r="E33" s="266">
        <f>D33-C33</f>
        <v>0</v>
      </c>
      <c r="F33" s="267">
        <f>IF(ISBLANK(E33),"  ",IF(C33&gt;0,E33/C33,IF(E33&gt;0,1,0)))</f>
        <v>0</v>
      </c>
      <c r="G33" s="266">
        <v>0</v>
      </c>
      <c r="H33" s="263"/>
    </row>
    <row r="34" spans="1:13" ht="15" customHeight="1" x14ac:dyDescent="0.25">
      <c r="A34" s="276" t="s">
        <v>35</v>
      </c>
      <c r="B34" s="271"/>
      <c r="C34" s="271"/>
      <c r="D34" s="271"/>
      <c r="E34" s="271"/>
      <c r="F34" s="262"/>
      <c r="G34" s="271"/>
      <c r="H34" s="263"/>
    </row>
    <row r="35" spans="1:13" ht="15" customHeight="1" x14ac:dyDescent="0.25">
      <c r="A35" s="270" t="s">
        <v>34</v>
      </c>
      <c r="B35" s="261">
        <v>0</v>
      </c>
      <c r="C35" s="261">
        <v>0</v>
      </c>
      <c r="D35" s="261">
        <v>0</v>
      </c>
      <c r="E35" s="266">
        <f>D35-C35</f>
        <v>0</v>
      </c>
      <c r="F35" s="267">
        <f>IF(ISBLANK(E35),"  ",IF(C35&gt;0,E35/C35,IF(E35&gt;0,1,0)))</f>
        <v>0</v>
      </c>
      <c r="G35" s="261">
        <v>0</v>
      </c>
      <c r="H35" s="263"/>
    </row>
    <row r="36" spans="1:13" ht="15" customHeight="1" x14ac:dyDescent="0.25">
      <c r="A36" s="272" t="s">
        <v>36</v>
      </c>
      <c r="B36" s="271"/>
      <c r="C36" s="271"/>
      <c r="D36" s="271"/>
      <c r="E36" s="269"/>
      <c r="F36" s="267" t="str">
        <f>IF(ISBLANK(E36),"  ",IF(C36&gt;0,E36/C36,IF(E36&gt;0,1,0)))</f>
        <v xml:space="preserve">  </v>
      </c>
      <c r="G36" s="271"/>
      <c r="H36" s="263"/>
    </row>
    <row r="37" spans="1:13" s="124" customFormat="1" ht="15" customHeight="1" x14ac:dyDescent="0.25">
      <c r="A37" s="277" t="s">
        <v>38</v>
      </c>
      <c r="B37" s="278">
        <f>SUM(B8,B9,B10,B33,B35)</f>
        <v>14928202.970000001</v>
      </c>
      <c r="C37" s="278">
        <f t="shared" ref="C37:D37" si="2">SUM(C8,C9,C10,C33,C35)</f>
        <v>15092911</v>
      </c>
      <c r="D37" s="278">
        <f t="shared" si="2"/>
        <v>11536171</v>
      </c>
      <c r="E37" s="278">
        <f>D37-C37</f>
        <v>-3556740</v>
      </c>
      <c r="F37" s="279">
        <f>IF(ISBLANK(E37),"  ",IF(C37&gt;0,E37/C37,IF(E37&gt;0,1,0)))</f>
        <v>-0.23565632898782746</v>
      </c>
      <c r="G37" s="278">
        <f>SUM(G8,G9,G10,G33,G35)</f>
        <v>11536171</v>
      </c>
      <c r="H37" s="280"/>
    </row>
    <row r="38" spans="1:13" ht="15" customHeight="1" x14ac:dyDescent="0.25">
      <c r="A38" s="275" t="s">
        <v>39</v>
      </c>
      <c r="B38" s="271"/>
      <c r="C38" s="271"/>
      <c r="D38" s="271"/>
      <c r="E38" s="271"/>
      <c r="F38" s="262"/>
      <c r="G38" s="271"/>
      <c r="H38" s="263"/>
    </row>
    <row r="39" spans="1:13" ht="15" customHeight="1" x14ac:dyDescent="0.25">
      <c r="A39" s="281" t="s">
        <v>40</v>
      </c>
      <c r="B39" s="266">
        <v>0</v>
      </c>
      <c r="C39" s="266">
        <v>0</v>
      </c>
      <c r="D39" s="266">
        <v>0</v>
      </c>
      <c r="E39" s="266">
        <f>D39-C39</f>
        <v>0</v>
      </c>
      <c r="F39" s="267">
        <f t="shared" ref="F39:F44" si="3">IF(ISBLANK(E39),"  ",IF(C39&gt;0,E39/C39,IF(E39&gt;0,1,0)))</f>
        <v>0</v>
      </c>
      <c r="G39" s="266">
        <v>0</v>
      </c>
      <c r="H39" s="263"/>
    </row>
    <row r="40" spans="1:13" ht="15" customHeight="1" x14ac:dyDescent="0.25">
      <c r="A40" s="282" t="s">
        <v>41</v>
      </c>
      <c r="B40" s="266">
        <v>0</v>
      </c>
      <c r="C40" s="266">
        <v>0</v>
      </c>
      <c r="D40" s="266">
        <v>0</v>
      </c>
      <c r="E40" s="266">
        <f t="shared" ref="E40:E44" si="4">D40-C40</f>
        <v>0</v>
      </c>
      <c r="F40" s="267">
        <f t="shared" si="3"/>
        <v>0</v>
      </c>
      <c r="G40" s="266">
        <v>0</v>
      </c>
      <c r="H40" s="263"/>
    </row>
    <row r="41" spans="1:13" ht="15" customHeight="1" x14ac:dyDescent="0.25">
      <c r="A41" s="282" t="s">
        <v>42</v>
      </c>
      <c r="B41" s="266">
        <v>3115385</v>
      </c>
      <c r="C41" s="266">
        <v>0</v>
      </c>
      <c r="D41" s="266">
        <v>0</v>
      </c>
      <c r="E41" s="266">
        <f t="shared" si="4"/>
        <v>0</v>
      </c>
      <c r="F41" s="267">
        <f t="shared" si="3"/>
        <v>0</v>
      </c>
      <c r="G41" s="266">
        <v>0</v>
      </c>
      <c r="H41" s="263"/>
    </row>
    <row r="42" spans="1:13" ht="15" customHeight="1" x14ac:dyDescent="0.25">
      <c r="A42" s="282" t="s">
        <v>43</v>
      </c>
      <c r="B42" s="266">
        <v>0</v>
      </c>
      <c r="C42" s="266">
        <v>0</v>
      </c>
      <c r="D42" s="266">
        <v>0</v>
      </c>
      <c r="E42" s="266">
        <f t="shared" si="4"/>
        <v>0</v>
      </c>
      <c r="F42" s="267">
        <f t="shared" si="3"/>
        <v>0</v>
      </c>
      <c r="G42" s="266">
        <v>0</v>
      </c>
      <c r="H42" s="263"/>
    </row>
    <row r="43" spans="1:13" ht="15" customHeight="1" x14ac:dyDescent="0.25">
      <c r="A43" s="283" t="s">
        <v>44</v>
      </c>
      <c r="B43" s="266">
        <v>0</v>
      </c>
      <c r="C43" s="266">
        <v>0</v>
      </c>
      <c r="D43" s="266">
        <v>0</v>
      </c>
      <c r="E43" s="266">
        <f t="shared" si="4"/>
        <v>0</v>
      </c>
      <c r="F43" s="267">
        <f t="shared" si="3"/>
        <v>0</v>
      </c>
      <c r="G43" s="266">
        <v>0</v>
      </c>
      <c r="H43" s="263"/>
    </row>
    <row r="44" spans="1:13" s="124" customFormat="1" ht="15" customHeight="1" x14ac:dyDescent="0.25">
      <c r="A44" s="275" t="s">
        <v>45</v>
      </c>
      <c r="B44" s="284">
        <v>3115385</v>
      </c>
      <c r="C44" s="284">
        <v>0</v>
      </c>
      <c r="D44" s="284">
        <v>0</v>
      </c>
      <c r="E44" s="285">
        <f t="shared" si="4"/>
        <v>0</v>
      </c>
      <c r="F44" s="279">
        <f t="shared" si="3"/>
        <v>0</v>
      </c>
      <c r="G44" s="284">
        <v>0</v>
      </c>
      <c r="H44" s="280"/>
      <c r="M44" s="124" t="s">
        <v>46</v>
      </c>
    </row>
    <row r="45" spans="1:13" ht="15" customHeight="1" x14ac:dyDescent="0.25">
      <c r="A45" s="272" t="s">
        <v>46</v>
      </c>
      <c r="B45" s="271"/>
      <c r="C45" s="271"/>
      <c r="D45" s="271"/>
      <c r="E45" s="271"/>
      <c r="F45" s="262"/>
      <c r="G45" s="271"/>
      <c r="H45" s="263"/>
    </row>
    <row r="46" spans="1:13" s="124" customFormat="1" ht="15" customHeight="1" x14ac:dyDescent="0.25">
      <c r="A46" s="286" t="s">
        <v>47</v>
      </c>
      <c r="B46" s="285">
        <v>0</v>
      </c>
      <c r="C46" s="285">
        <v>0</v>
      </c>
      <c r="D46" s="285">
        <v>0</v>
      </c>
      <c r="E46" s="285">
        <f>D46-C46</f>
        <v>0</v>
      </c>
      <c r="F46" s="279">
        <f>IF(ISBLANK(E46),"  ",IF(C46&gt;0,E46/C46,IF(E46&gt;0,1,0)))</f>
        <v>0</v>
      </c>
      <c r="G46" s="285">
        <v>0</v>
      </c>
      <c r="H46" s="280"/>
    </row>
    <row r="47" spans="1:13" ht="15" customHeight="1" x14ac:dyDescent="0.25">
      <c r="A47" s="272" t="s">
        <v>46</v>
      </c>
      <c r="B47" s="278"/>
      <c r="C47" s="278"/>
      <c r="D47" s="278"/>
      <c r="E47" s="271"/>
      <c r="F47" s="262"/>
      <c r="G47" s="278"/>
      <c r="H47" s="280"/>
    </row>
    <row r="48" spans="1:13" ht="15" customHeight="1" x14ac:dyDescent="0.25">
      <c r="A48" s="286" t="s">
        <v>200</v>
      </c>
      <c r="B48" s="285">
        <v>3115385</v>
      </c>
      <c r="C48" s="285">
        <v>3115385</v>
      </c>
      <c r="D48" s="285">
        <v>0</v>
      </c>
      <c r="E48" s="285">
        <f>D48-C48</f>
        <v>-3115385</v>
      </c>
      <c r="F48" s="279">
        <f>IF(ISBLANK(E48)," ",IF(C48&gt;0,E48/C48,IF(E48&gt;0,1,0)))</f>
        <v>-1</v>
      </c>
      <c r="G48" s="285">
        <f>C48</f>
        <v>3115385</v>
      </c>
      <c r="H48" s="280"/>
    </row>
    <row r="49" spans="1:8" ht="15" customHeight="1" x14ac:dyDescent="0.25">
      <c r="A49" s="270"/>
      <c r="B49" s="261"/>
      <c r="C49" s="261"/>
      <c r="D49" s="261"/>
      <c r="E49" s="261"/>
      <c r="F49" s="264"/>
      <c r="G49" s="261"/>
      <c r="H49" s="263"/>
    </row>
    <row r="50" spans="1:8" s="124" customFormat="1" ht="15" customHeight="1" x14ac:dyDescent="0.25">
      <c r="A50" s="286" t="s">
        <v>48</v>
      </c>
      <c r="B50" s="285">
        <v>0</v>
      </c>
      <c r="C50" s="285">
        <v>0</v>
      </c>
      <c r="D50" s="285">
        <v>0</v>
      </c>
      <c r="E50" s="285">
        <f>D50-C50</f>
        <v>0</v>
      </c>
      <c r="F50" s="279">
        <f>IF(ISBLANK(E50),"  ",IF(C50&gt;0,E50/C50,IF(E50&gt;0,1,0)))</f>
        <v>0</v>
      </c>
      <c r="G50" s="285">
        <v>0</v>
      </c>
      <c r="H50" s="280"/>
    </row>
    <row r="51" spans="1:8" ht="15" customHeight="1" x14ac:dyDescent="0.25">
      <c r="A51" s="272" t="s">
        <v>46</v>
      </c>
      <c r="B51" s="271"/>
      <c r="C51" s="271"/>
      <c r="D51" s="271"/>
      <c r="E51" s="271"/>
      <c r="F51" s="262"/>
      <c r="G51" s="271"/>
      <c r="H51" s="263"/>
    </row>
    <row r="52" spans="1:8" s="124" customFormat="1" ht="15" customHeight="1" x14ac:dyDescent="0.25">
      <c r="A52" s="275" t="s">
        <v>49</v>
      </c>
      <c r="B52" s="284">
        <v>33472443.570000004</v>
      </c>
      <c r="C52" s="284">
        <v>35470043</v>
      </c>
      <c r="D52" s="284">
        <v>35470043</v>
      </c>
      <c r="E52" s="284">
        <f>D52-C52</f>
        <v>0</v>
      </c>
      <c r="F52" s="279">
        <f>IF(ISBLANK(E52),"  ",IF(C52&gt;0,E52/C52,IF(E52&gt;0,1,0)))</f>
        <v>0</v>
      </c>
      <c r="G52" s="284">
        <v>35470043</v>
      </c>
      <c r="H52" s="280"/>
    </row>
    <row r="53" spans="1:8" ht="15" customHeight="1" x14ac:dyDescent="0.25">
      <c r="A53" s="272" t="s">
        <v>46</v>
      </c>
      <c r="B53" s="271"/>
      <c r="C53" s="271"/>
      <c r="D53" s="271"/>
      <c r="E53" s="271"/>
      <c r="F53" s="262"/>
      <c r="G53" s="271"/>
      <c r="H53" s="263"/>
    </row>
    <row r="54" spans="1:8" s="124" customFormat="1" ht="15" customHeight="1" x14ac:dyDescent="0.25">
      <c r="A54" s="287" t="s">
        <v>50</v>
      </c>
      <c r="B54" s="288">
        <v>0</v>
      </c>
      <c r="C54" s="288">
        <v>0</v>
      </c>
      <c r="D54" s="288">
        <v>0</v>
      </c>
      <c r="E54" s="288">
        <f>D54-C54</f>
        <v>0</v>
      </c>
      <c r="F54" s="279">
        <f>IF(ISBLANK(E54),"  ",IF(C54&gt;0,E54/C54,IF(E54&gt;0,1,0)))</f>
        <v>0</v>
      </c>
      <c r="G54" s="288">
        <v>0</v>
      </c>
      <c r="H54" s="280"/>
    </row>
    <row r="55" spans="1:8" ht="15" customHeight="1" x14ac:dyDescent="0.25">
      <c r="A55" s="275"/>
      <c r="B55" s="261"/>
      <c r="C55" s="261"/>
      <c r="D55" s="261"/>
      <c r="E55" s="261"/>
      <c r="F55" s="289"/>
      <c r="G55" s="261"/>
      <c r="H55" s="263"/>
    </row>
    <row r="56" spans="1:8" s="124" customFormat="1" ht="15" customHeight="1" x14ac:dyDescent="0.25">
      <c r="A56" s="275" t="s">
        <v>51</v>
      </c>
      <c r="B56" s="284">
        <v>0</v>
      </c>
      <c r="C56" s="284">
        <v>0</v>
      </c>
      <c r="D56" s="284">
        <v>0</v>
      </c>
      <c r="E56" s="288">
        <f>D56-C56</f>
        <v>0</v>
      </c>
      <c r="F56" s="279">
        <f>IF(ISBLANK(E56),"  ",IF(C56&gt;0,E56/C56,IF(E56&gt;0,1,0)))</f>
        <v>0</v>
      </c>
      <c r="G56" s="284">
        <v>0</v>
      </c>
      <c r="H56" s="280"/>
    </row>
    <row r="57" spans="1:8" ht="15" customHeight="1" x14ac:dyDescent="0.25">
      <c r="A57" s="272"/>
      <c r="B57" s="271"/>
      <c r="C57" s="271"/>
      <c r="D57" s="271"/>
      <c r="E57" s="271"/>
      <c r="F57" s="262"/>
      <c r="G57" s="271"/>
      <c r="H57" s="263"/>
    </row>
    <row r="58" spans="1:8" s="124" customFormat="1" ht="15" customHeight="1" x14ac:dyDescent="0.25">
      <c r="A58" s="290" t="s">
        <v>52</v>
      </c>
      <c r="B58" s="284">
        <v>48400646.540000007</v>
      </c>
      <c r="C58" s="284">
        <f>C56+C54+C52+C50+C48+C46+C44+C37</f>
        <v>53678339</v>
      </c>
      <c r="D58" s="284">
        <f>D52+D37</f>
        <v>47006214</v>
      </c>
      <c r="E58" s="284">
        <f>D58-C58</f>
        <v>-6672125</v>
      </c>
      <c r="F58" s="279">
        <f>IF(ISBLANK(E58),"  ",IF(C58&gt;0,E58/C58,IF(E58&gt;0,1,0)))</f>
        <v>-0.12429827606998048</v>
      </c>
      <c r="G58" s="284">
        <f>G56+G54+G52+G50+G48+G46+G44+G37</f>
        <v>50121599</v>
      </c>
      <c r="H58" s="280"/>
    </row>
    <row r="59" spans="1:8" ht="15" customHeight="1" x14ac:dyDescent="0.25">
      <c r="A59" s="291"/>
      <c r="B59" s="271"/>
      <c r="C59" s="271"/>
      <c r="D59" s="271"/>
      <c r="E59" s="271"/>
      <c r="F59" s="262" t="s">
        <v>46</v>
      </c>
      <c r="G59" s="271"/>
      <c r="H59" s="263"/>
    </row>
    <row r="60" spans="1:8" ht="15" customHeight="1" x14ac:dyDescent="0.25">
      <c r="A60" s="292"/>
      <c r="B60" s="261"/>
      <c r="C60" s="261"/>
      <c r="D60" s="261"/>
      <c r="E60" s="261"/>
      <c r="F60" s="264" t="s">
        <v>46</v>
      </c>
      <c r="G60" s="261"/>
      <c r="H60" s="263"/>
    </row>
    <row r="61" spans="1:8" ht="15" customHeight="1" x14ac:dyDescent="0.25">
      <c r="A61" s="290" t="s">
        <v>53</v>
      </c>
      <c r="B61" s="261"/>
      <c r="C61" s="261"/>
      <c r="D61" s="261"/>
      <c r="E61" s="261"/>
      <c r="F61" s="264"/>
      <c r="G61" s="261"/>
      <c r="H61" s="263"/>
    </row>
    <row r="62" spans="1:8" ht="15" customHeight="1" x14ac:dyDescent="0.25">
      <c r="A62" s="270" t="s">
        <v>54</v>
      </c>
      <c r="B62" s="261">
        <v>21248285.919999998</v>
      </c>
      <c r="C62" s="261">
        <v>26412943</v>
      </c>
      <c r="D62" s="261">
        <v>21581827</v>
      </c>
      <c r="E62" s="261">
        <f>D62-C62</f>
        <v>-4831116</v>
      </c>
      <c r="F62" s="267">
        <f t="shared" ref="F62:F75" si="5">IF(ISBLANK(E62),"  ",IF(C62&gt;0,E62/C62,IF(E62&gt;0,1,0)))</f>
        <v>-0.18290714518257203</v>
      </c>
      <c r="G62" s="261">
        <v>24597212</v>
      </c>
      <c r="H62" s="263"/>
    </row>
    <row r="63" spans="1:8" ht="15" customHeight="1" x14ac:dyDescent="0.25">
      <c r="A63" s="272" t="s">
        <v>55</v>
      </c>
      <c r="B63" s="271">
        <v>28131.85</v>
      </c>
      <c r="C63" s="271">
        <v>855</v>
      </c>
      <c r="D63" s="271">
        <v>0</v>
      </c>
      <c r="E63" s="271">
        <f>D63-C63</f>
        <v>-855</v>
      </c>
      <c r="F63" s="267">
        <f t="shared" si="5"/>
        <v>-1</v>
      </c>
      <c r="G63" s="271">
        <v>0</v>
      </c>
      <c r="H63" s="263"/>
    </row>
    <row r="64" spans="1:8" ht="15" customHeight="1" x14ac:dyDescent="0.25">
      <c r="A64" s="272" t="s">
        <v>56</v>
      </c>
      <c r="B64" s="271">
        <v>0</v>
      </c>
      <c r="C64" s="271">
        <v>0</v>
      </c>
      <c r="D64" s="271">
        <v>0</v>
      </c>
      <c r="E64" s="271">
        <f t="shared" ref="E64:E75" si="6">D64-C64</f>
        <v>0</v>
      </c>
      <c r="F64" s="267">
        <f t="shared" si="5"/>
        <v>0</v>
      </c>
      <c r="G64" s="271">
        <v>0</v>
      </c>
      <c r="H64" s="263"/>
    </row>
    <row r="65" spans="1:9" ht="15" customHeight="1" x14ac:dyDescent="0.25">
      <c r="A65" s="272" t="s">
        <v>57</v>
      </c>
      <c r="B65" s="271">
        <v>3115186.71</v>
      </c>
      <c r="C65" s="271">
        <v>3523187</v>
      </c>
      <c r="D65" s="271">
        <v>3212585</v>
      </c>
      <c r="E65" s="271">
        <f t="shared" si="6"/>
        <v>-310602</v>
      </c>
      <c r="F65" s="267">
        <f t="shared" si="5"/>
        <v>-8.8159385238421914E-2</v>
      </c>
      <c r="G65" s="271">
        <v>3212586</v>
      </c>
      <c r="H65" s="263"/>
    </row>
    <row r="66" spans="1:9" ht="15" customHeight="1" x14ac:dyDescent="0.25">
      <c r="A66" s="272" t="s">
        <v>58</v>
      </c>
      <c r="B66" s="271">
        <v>2175867.81</v>
      </c>
      <c r="C66" s="271">
        <v>2422779</v>
      </c>
      <c r="D66" s="271">
        <v>2393452</v>
      </c>
      <c r="E66" s="271">
        <f t="shared" si="6"/>
        <v>-29327</v>
      </c>
      <c r="F66" s="267">
        <f t="shared" si="5"/>
        <v>-1.2104694650234298E-2</v>
      </c>
      <c r="G66" s="271">
        <v>2393452</v>
      </c>
      <c r="H66" s="263"/>
      <c r="I66" s="293"/>
    </row>
    <row r="67" spans="1:9" ht="15" customHeight="1" x14ac:dyDescent="0.25">
      <c r="A67" s="272" t="s">
        <v>59</v>
      </c>
      <c r="B67" s="271">
        <v>9042485.9799999986</v>
      </c>
      <c r="C67" s="271">
        <v>9719380</v>
      </c>
      <c r="D67" s="271">
        <v>9416358</v>
      </c>
      <c r="E67" s="271">
        <f t="shared" si="6"/>
        <v>-303022</v>
      </c>
      <c r="F67" s="267">
        <f t="shared" si="5"/>
        <v>-3.1177091542876192E-2</v>
      </c>
      <c r="G67" s="271">
        <v>9516358</v>
      </c>
      <c r="H67" s="263"/>
      <c r="I67" s="293"/>
    </row>
    <row r="68" spans="1:9" ht="15" customHeight="1" x14ac:dyDescent="0.25">
      <c r="A68" s="272" t="s">
        <v>60</v>
      </c>
      <c r="B68" s="271">
        <v>3376077.68</v>
      </c>
      <c r="C68" s="271">
        <v>2970455</v>
      </c>
      <c r="D68" s="271">
        <v>2905455</v>
      </c>
      <c r="E68" s="271">
        <f t="shared" si="6"/>
        <v>-65000</v>
      </c>
      <c r="F68" s="267">
        <f t="shared" si="5"/>
        <v>-2.1882169566615216E-2</v>
      </c>
      <c r="G68" s="271">
        <v>2905455</v>
      </c>
      <c r="H68" s="263"/>
    </row>
    <row r="69" spans="1:9" ht="15" customHeight="1" x14ac:dyDescent="0.25">
      <c r="A69" s="272" t="s">
        <v>61</v>
      </c>
      <c r="B69" s="271">
        <v>8099213.7999999998</v>
      </c>
      <c r="C69" s="271">
        <v>7078100</v>
      </c>
      <c r="D69" s="271">
        <v>5945897</v>
      </c>
      <c r="E69" s="271">
        <f t="shared" si="6"/>
        <v>-1132203</v>
      </c>
      <c r="F69" s="267">
        <f t="shared" si="5"/>
        <v>-0.15995860471030363</v>
      </c>
      <c r="G69" s="271">
        <v>5945897</v>
      </c>
      <c r="H69" s="263"/>
    </row>
    <row r="70" spans="1:9" s="124" customFormat="1" ht="15" customHeight="1" x14ac:dyDescent="0.25">
      <c r="A70" s="294" t="s">
        <v>62</v>
      </c>
      <c r="B70" s="278">
        <v>47085249.749999993</v>
      </c>
      <c r="C70" s="278">
        <f>SUM(C62:C69)</f>
        <v>52127699</v>
      </c>
      <c r="D70" s="278">
        <f>SUM(D62:D69)</f>
        <v>45455574</v>
      </c>
      <c r="E70" s="271">
        <f t="shared" si="6"/>
        <v>-6672125</v>
      </c>
      <c r="F70" s="279">
        <f t="shared" si="5"/>
        <v>-0.1279957705403417</v>
      </c>
      <c r="G70" s="278">
        <f>SUM(G62:G69)</f>
        <v>48570960</v>
      </c>
      <c r="H70" s="280"/>
    </row>
    <row r="71" spans="1:9" ht="15" customHeight="1" x14ac:dyDescent="0.25">
      <c r="A71" s="272" t="s">
        <v>63</v>
      </c>
      <c r="B71" s="271">
        <v>0</v>
      </c>
      <c r="C71" s="271">
        <v>0</v>
      </c>
      <c r="D71" s="271">
        <v>0</v>
      </c>
      <c r="E71" s="271">
        <f t="shared" si="6"/>
        <v>0</v>
      </c>
      <c r="F71" s="267">
        <f t="shared" si="5"/>
        <v>0</v>
      </c>
      <c r="G71" s="271">
        <v>0</v>
      </c>
      <c r="H71" s="263"/>
    </row>
    <row r="72" spans="1:9" ht="15" customHeight="1" x14ac:dyDescent="0.25">
      <c r="A72" s="272" t="s">
        <v>64</v>
      </c>
      <c r="B72" s="271">
        <v>-1789692</v>
      </c>
      <c r="C72" s="271">
        <v>0</v>
      </c>
      <c r="D72" s="271">
        <v>0</v>
      </c>
      <c r="E72" s="271">
        <f t="shared" si="6"/>
        <v>0</v>
      </c>
      <c r="F72" s="267">
        <f t="shared" si="5"/>
        <v>0</v>
      </c>
      <c r="G72" s="271">
        <v>0</v>
      </c>
      <c r="H72" s="263"/>
    </row>
    <row r="73" spans="1:9" ht="15" customHeight="1" x14ac:dyDescent="0.25">
      <c r="A73" s="272" t="s">
        <v>65</v>
      </c>
      <c r="B73" s="271">
        <v>3105089</v>
      </c>
      <c r="C73" s="271">
        <v>1550640</v>
      </c>
      <c r="D73" s="271">
        <v>1550640</v>
      </c>
      <c r="E73" s="271">
        <f t="shared" si="6"/>
        <v>0</v>
      </c>
      <c r="F73" s="267">
        <f t="shared" si="5"/>
        <v>0</v>
      </c>
      <c r="G73" s="271">
        <v>1550640</v>
      </c>
      <c r="H73" s="263"/>
    </row>
    <row r="74" spans="1:9" ht="15" customHeight="1" x14ac:dyDescent="0.25">
      <c r="A74" s="272" t="s">
        <v>66</v>
      </c>
      <c r="B74" s="271">
        <v>0</v>
      </c>
      <c r="C74" s="271">
        <v>0</v>
      </c>
      <c r="D74" s="271">
        <v>0</v>
      </c>
      <c r="E74" s="271">
        <f t="shared" si="6"/>
        <v>0</v>
      </c>
      <c r="F74" s="267">
        <f t="shared" si="5"/>
        <v>0</v>
      </c>
      <c r="G74" s="271">
        <v>0</v>
      </c>
      <c r="H74" s="263"/>
    </row>
    <row r="75" spans="1:9" s="124" customFormat="1" ht="15" customHeight="1" x14ac:dyDescent="0.25">
      <c r="A75" s="295" t="s">
        <v>67</v>
      </c>
      <c r="B75" s="296">
        <v>48400646.749999993</v>
      </c>
      <c r="C75" s="296">
        <f>C73+C70</f>
        <v>53678339</v>
      </c>
      <c r="D75" s="296">
        <f>D73+D70</f>
        <v>47006214</v>
      </c>
      <c r="E75" s="271">
        <f t="shared" si="6"/>
        <v>-6672125</v>
      </c>
      <c r="F75" s="279">
        <f t="shared" si="5"/>
        <v>-0.12429827606998048</v>
      </c>
      <c r="G75" s="296">
        <f>G73+G70</f>
        <v>50121600</v>
      </c>
      <c r="H75" s="280"/>
    </row>
    <row r="76" spans="1:9" ht="15" customHeight="1" x14ac:dyDescent="0.25">
      <c r="A76" s="292"/>
      <c r="B76" s="261"/>
      <c r="C76" s="261"/>
      <c r="D76" s="261"/>
      <c r="E76" s="261"/>
      <c r="F76" s="264"/>
      <c r="G76" s="261"/>
      <c r="H76" s="263"/>
    </row>
    <row r="77" spans="1:9" ht="15" customHeight="1" x14ac:dyDescent="0.25">
      <c r="A77" s="290" t="s">
        <v>68</v>
      </c>
      <c r="B77" s="261"/>
      <c r="C77" s="261"/>
      <c r="D77" s="261"/>
      <c r="E77" s="261"/>
      <c r="F77" s="264"/>
      <c r="G77" s="261"/>
      <c r="H77" s="263"/>
    </row>
    <row r="78" spans="1:9" ht="15" customHeight="1" x14ac:dyDescent="0.25">
      <c r="A78" s="270" t="s">
        <v>69</v>
      </c>
      <c r="B78" s="266">
        <v>24149401.949999996</v>
      </c>
      <c r="C78" s="266">
        <v>28346078</v>
      </c>
      <c r="D78" s="266">
        <v>25960968</v>
      </c>
      <c r="E78" s="261">
        <f>D78-C78</f>
        <v>-2385110</v>
      </c>
      <c r="F78" s="267">
        <f t="shared" ref="F78:F96" si="7">IF(ISBLANK(E78),"  ",IF(C78&gt;0,E78/C78,IF(E78&gt;0,1,0)))</f>
        <v>-8.4142504652671882E-2</v>
      </c>
      <c r="G78" s="266">
        <v>28976354</v>
      </c>
      <c r="H78" s="263"/>
    </row>
    <row r="79" spans="1:9" ht="15" customHeight="1" x14ac:dyDescent="0.25">
      <c r="A79" s="272" t="s">
        <v>70</v>
      </c>
      <c r="B79" s="269">
        <v>266686.74</v>
      </c>
      <c r="C79" s="269">
        <v>318356</v>
      </c>
      <c r="D79" s="269">
        <v>310656</v>
      </c>
      <c r="E79" s="271">
        <f>D79-C79</f>
        <v>-7700</v>
      </c>
      <c r="F79" s="267">
        <f t="shared" si="7"/>
        <v>-2.4186759476812123E-2</v>
      </c>
      <c r="G79" s="269">
        <v>310656</v>
      </c>
      <c r="H79" s="263"/>
    </row>
    <row r="80" spans="1:9" ht="15" customHeight="1" x14ac:dyDescent="0.25">
      <c r="A80" s="272" t="s">
        <v>71</v>
      </c>
      <c r="B80" s="261">
        <v>10434886.869999999</v>
      </c>
      <c r="C80" s="261">
        <v>11840156</v>
      </c>
      <c r="D80" s="261">
        <v>9593801</v>
      </c>
      <c r="E80" s="271">
        <f t="shared" ref="E80:E95" si="8">D80-C80</f>
        <v>-2246355</v>
      </c>
      <c r="F80" s="267">
        <f t="shared" si="7"/>
        <v>-0.18972342931968125</v>
      </c>
      <c r="G80" s="261">
        <v>9593801</v>
      </c>
      <c r="H80" s="263"/>
    </row>
    <row r="81" spans="1:8" s="124" customFormat="1" ht="15" customHeight="1" x14ac:dyDescent="0.25">
      <c r="A81" s="294" t="s">
        <v>72</v>
      </c>
      <c r="B81" s="296">
        <v>34850975.559999995</v>
      </c>
      <c r="C81" s="296">
        <f>SUM(C78:C80)</f>
        <v>40504590</v>
      </c>
      <c r="D81" s="296">
        <f>SUM(D78:D80)</f>
        <v>35865425</v>
      </c>
      <c r="E81" s="278">
        <f t="shared" si="8"/>
        <v>-4639165</v>
      </c>
      <c r="F81" s="279">
        <f t="shared" si="7"/>
        <v>-0.11453430339623238</v>
      </c>
      <c r="G81" s="296">
        <f>SUM(G78:G80)</f>
        <v>38880811</v>
      </c>
      <c r="H81" s="280"/>
    </row>
    <row r="82" spans="1:8" ht="15" customHeight="1" x14ac:dyDescent="0.25">
      <c r="A82" s="272" t="s">
        <v>73</v>
      </c>
      <c r="B82" s="269">
        <v>338197.71</v>
      </c>
      <c r="C82" s="269">
        <v>546164</v>
      </c>
      <c r="D82" s="269">
        <v>389064</v>
      </c>
      <c r="E82" s="271">
        <f t="shared" si="8"/>
        <v>-157100</v>
      </c>
      <c r="F82" s="267">
        <f t="shared" si="7"/>
        <v>-0.28764253960348907</v>
      </c>
      <c r="G82" s="269">
        <v>439064</v>
      </c>
      <c r="H82" s="263"/>
    </row>
    <row r="83" spans="1:8" ht="15" customHeight="1" x14ac:dyDescent="0.25">
      <c r="A83" s="272" t="s">
        <v>74</v>
      </c>
      <c r="B83" s="266">
        <v>4858384.34</v>
      </c>
      <c r="C83" s="266">
        <v>4843717</v>
      </c>
      <c r="D83" s="266">
        <v>3203123</v>
      </c>
      <c r="E83" s="271">
        <f t="shared" si="8"/>
        <v>-1640594</v>
      </c>
      <c r="F83" s="267">
        <f t="shared" si="7"/>
        <v>-0.3387055849877274</v>
      </c>
      <c r="G83" s="266">
        <v>3203123</v>
      </c>
      <c r="H83" s="263"/>
    </row>
    <row r="84" spans="1:8" ht="15" customHeight="1" x14ac:dyDescent="0.25">
      <c r="A84" s="272" t="s">
        <v>75</v>
      </c>
      <c r="B84" s="261">
        <v>668570.28</v>
      </c>
      <c r="C84" s="261">
        <v>540048</v>
      </c>
      <c r="D84" s="261">
        <v>523293</v>
      </c>
      <c r="E84" s="271">
        <f t="shared" si="8"/>
        <v>-16755</v>
      </c>
      <c r="F84" s="267">
        <f t="shared" si="7"/>
        <v>-3.1025019998222381E-2</v>
      </c>
      <c r="G84" s="261">
        <v>523293</v>
      </c>
      <c r="H84" s="263"/>
    </row>
    <row r="85" spans="1:8" s="124" customFormat="1" ht="15" customHeight="1" x14ac:dyDescent="0.25">
      <c r="A85" s="276" t="s">
        <v>76</v>
      </c>
      <c r="B85" s="296">
        <v>5865152.3300000001</v>
      </c>
      <c r="C85" s="296">
        <v>5929929</v>
      </c>
      <c r="D85" s="296">
        <f>SUM(D82:D84)</f>
        <v>4115480</v>
      </c>
      <c r="E85" s="278">
        <f t="shared" si="8"/>
        <v>-1814449</v>
      </c>
      <c r="F85" s="279">
        <f t="shared" si="7"/>
        <v>-0.30598157246064833</v>
      </c>
      <c r="G85" s="296">
        <v>4165480</v>
      </c>
      <c r="H85" s="280"/>
    </row>
    <row r="86" spans="1:8" ht="15" customHeight="1" x14ac:dyDescent="0.25">
      <c r="A86" s="272" t="s">
        <v>77</v>
      </c>
      <c r="B86" s="261">
        <v>2053143.98</v>
      </c>
      <c r="C86" s="261">
        <v>1929442</v>
      </c>
      <c r="D86" s="261">
        <v>1929442</v>
      </c>
      <c r="E86" s="271">
        <f t="shared" si="8"/>
        <v>0</v>
      </c>
      <c r="F86" s="267">
        <f t="shared" si="7"/>
        <v>0</v>
      </c>
      <c r="G86" s="261">
        <v>1979442</v>
      </c>
      <c r="H86" s="263"/>
    </row>
    <row r="87" spans="1:8" ht="15" customHeight="1" x14ac:dyDescent="0.25">
      <c r="A87" s="272" t="s">
        <v>78</v>
      </c>
      <c r="B87" s="271">
        <v>6612662.1799999997</v>
      </c>
      <c r="C87" s="271">
        <v>4677974</v>
      </c>
      <c r="D87" s="271">
        <v>4560963</v>
      </c>
      <c r="E87" s="271">
        <f t="shared" si="8"/>
        <v>-117011</v>
      </c>
      <c r="F87" s="267">
        <f t="shared" si="7"/>
        <v>-2.5013178782096693E-2</v>
      </c>
      <c r="G87" s="271">
        <v>4560963</v>
      </c>
      <c r="H87" s="263"/>
    </row>
    <row r="88" spans="1:8" ht="15" customHeight="1" x14ac:dyDescent="0.25">
      <c r="A88" s="272" t="s">
        <v>79</v>
      </c>
      <c r="B88" s="271">
        <v>0</v>
      </c>
      <c r="C88" s="271">
        <v>0</v>
      </c>
      <c r="D88" s="271">
        <v>0</v>
      </c>
      <c r="E88" s="271">
        <f t="shared" si="8"/>
        <v>0</v>
      </c>
      <c r="F88" s="267">
        <f t="shared" si="7"/>
        <v>0</v>
      </c>
      <c r="G88" s="271">
        <v>0</v>
      </c>
      <c r="H88" s="263"/>
    </row>
    <row r="89" spans="1:8" ht="15" customHeight="1" x14ac:dyDescent="0.25">
      <c r="A89" s="272" t="s">
        <v>80</v>
      </c>
      <c r="B89" s="271">
        <v>-1789692</v>
      </c>
      <c r="C89" s="271">
        <v>0</v>
      </c>
      <c r="D89" s="271">
        <v>0</v>
      </c>
      <c r="E89" s="271">
        <f t="shared" si="8"/>
        <v>0</v>
      </c>
      <c r="F89" s="267">
        <f t="shared" si="7"/>
        <v>0</v>
      </c>
      <c r="G89" s="271">
        <v>0</v>
      </c>
      <c r="H89" s="263"/>
    </row>
    <row r="90" spans="1:8" s="124" customFormat="1" ht="15" customHeight="1" x14ac:dyDescent="0.25">
      <c r="A90" s="276" t="s">
        <v>81</v>
      </c>
      <c r="B90" s="278">
        <v>6876114.1600000001</v>
      </c>
      <c r="C90" s="278">
        <v>6607416</v>
      </c>
      <c r="D90" s="278">
        <f>SUM(D86:D89)</f>
        <v>6490405</v>
      </c>
      <c r="E90" s="278">
        <f t="shared" si="8"/>
        <v>-117011</v>
      </c>
      <c r="F90" s="279">
        <f t="shared" si="7"/>
        <v>-1.7709040871650886E-2</v>
      </c>
      <c r="G90" s="278">
        <v>6540405</v>
      </c>
      <c r="H90" s="280"/>
    </row>
    <row r="91" spans="1:8" ht="15" customHeight="1" x14ac:dyDescent="0.25">
      <c r="A91" s="272" t="s">
        <v>82</v>
      </c>
      <c r="B91" s="271">
        <v>308919.58</v>
      </c>
      <c r="C91" s="271">
        <v>636404</v>
      </c>
      <c r="D91" s="271">
        <v>534904</v>
      </c>
      <c r="E91" s="271">
        <f t="shared" si="8"/>
        <v>-101500</v>
      </c>
      <c r="F91" s="267">
        <f t="shared" si="7"/>
        <v>-0.15948988378451423</v>
      </c>
      <c r="G91" s="271">
        <v>534904</v>
      </c>
      <c r="H91" s="263"/>
    </row>
    <row r="92" spans="1:8" ht="15" customHeight="1" x14ac:dyDescent="0.25">
      <c r="A92" s="272" t="s">
        <v>83</v>
      </c>
      <c r="B92" s="271">
        <v>499485.12</v>
      </c>
      <c r="C92" s="271">
        <v>0</v>
      </c>
      <c r="D92" s="271">
        <v>0</v>
      </c>
      <c r="E92" s="271">
        <f t="shared" si="8"/>
        <v>0</v>
      </c>
      <c r="F92" s="267">
        <f t="shared" si="7"/>
        <v>0</v>
      </c>
      <c r="G92" s="271">
        <v>0</v>
      </c>
      <c r="H92" s="263"/>
    </row>
    <row r="93" spans="1:8" ht="15" customHeight="1" x14ac:dyDescent="0.25">
      <c r="A93" s="282" t="s">
        <v>84</v>
      </c>
      <c r="B93" s="271">
        <v>0</v>
      </c>
      <c r="C93" s="271">
        <v>0</v>
      </c>
      <c r="D93" s="271">
        <v>0</v>
      </c>
      <c r="E93" s="271">
        <f t="shared" si="8"/>
        <v>0</v>
      </c>
      <c r="F93" s="267">
        <f t="shared" si="7"/>
        <v>0</v>
      </c>
      <c r="G93" s="271">
        <v>0</v>
      </c>
      <c r="H93" s="263"/>
    </row>
    <row r="94" spans="1:8" s="124" customFormat="1" ht="15" customHeight="1" x14ac:dyDescent="0.25">
      <c r="A94" s="297" t="s">
        <v>85</v>
      </c>
      <c r="B94" s="296">
        <v>808404.7</v>
      </c>
      <c r="C94" s="296">
        <v>636404</v>
      </c>
      <c r="D94" s="296">
        <v>534904</v>
      </c>
      <c r="E94" s="271">
        <f t="shared" si="8"/>
        <v>-101500</v>
      </c>
      <c r="F94" s="279">
        <f t="shared" si="7"/>
        <v>-0.15948988378451423</v>
      </c>
      <c r="G94" s="296">
        <v>534904</v>
      </c>
      <c r="H94" s="280"/>
    </row>
    <row r="95" spans="1:8" ht="15" customHeight="1" x14ac:dyDescent="0.25">
      <c r="A95" s="282" t="s">
        <v>86</v>
      </c>
      <c r="B95" s="271">
        <v>0</v>
      </c>
      <c r="C95" s="271">
        <v>0</v>
      </c>
      <c r="D95" s="271">
        <v>0</v>
      </c>
      <c r="E95" s="271">
        <f t="shared" si="8"/>
        <v>0</v>
      </c>
      <c r="F95" s="267">
        <f t="shared" si="7"/>
        <v>0</v>
      </c>
      <c r="G95" s="271">
        <v>0</v>
      </c>
      <c r="H95" s="263"/>
    </row>
    <row r="96" spans="1:8" s="124" customFormat="1" ht="15" customHeight="1" thickBot="1" x14ac:dyDescent="0.3">
      <c r="A96" s="298" t="s">
        <v>67</v>
      </c>
      <c r="B96" s="299">
        <v>48400646.75</v>
      </c>
      <c r="C96" s="299">
        <f>C94+C90+C85+C81</f>
        <v>53678339</v>
      </c>
      <c r="D96" s="299">
        <f>D94+D90+D85+D81</f>
        <v>47006214</v>
      </c>
      <c r="E96" s="299">
        <f>D96-C96</f>
        <v>-6672125</v>
      </c>
      <c r="F96" s="300">
        <f t="shared" si="7"/>
        <v>-0.12429827606998048</v>
      </c>
      <c r="G96" s="299">
        <f>G94+G90+G85+G81</f>
        <v>50121600</v>
      </c>
      <c r="H96" s="280"/>
    </row>
    <row r="97" spans="1:6" ht="15" customHeight="1" thickTop="1" x14ac:dyDescent="0.25">
      <c r="A97" s="301"/>
      <c r="B97" s="263"/>
      <c r="C97" s="263"/>
      <c r="D97" s="263"/>
      <c r="E97" s="263"/>
      <c r="F97" s="302" t="s">
        <v>46</v>
      </c>
    </row>
    <row r="98" spans="1:6" x14ac:dyDescent="0.25">
      <c r="A98" t="s">
        <v>197</v>
      </c>
    </row>
    <row r="99" spans="1:6" x14ac:dyDescent="0.25">
      <c r="A99" t="s">
        <v>190</v>
      </c>
    </row>
  </sheetData>
  <mergeCells count="1">
    <mergeCell ref="G2:G3"/>
  </mergeCells>
  <hyperlinks>
    <hyperlink ref="I2" location="Home!A1" tooltip="Home" display="Home" xr:uid="{C0067768-64BC-4D7F-B384-154C01B80E21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39" customWidth="1"/>
    <col min="2" max="5" width="23.7109375" style="187" customWidth="1"/>
    <col min="6" max="6" width="23.7109375" style="188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123</v>
      </c>
      <c r="F1" s="50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143" t="s">
        <v>4</v>
      </c>
      <c r="B4" s="144" t="s">
        <v>5</v>
      </c>
      <c r="C4" s="145" t="s">
        <v>6</v>
      </c>
      <c r="D4" s="145" t="s">
        <v>6</v>
      </c>
      <c r="E4" s="145" t="s">
        <v>7</v>
      </c>
      <c r="F4" s="146" t="s">
        <v>8</v>
      </c>
      <c r="G4" s="145" t="s">
        <v>210</v>
      </c>
      <c r="H4" s="229"/>
    </row>
    <row r="5" spans="1:9" s="140" customFormat="1" ht="15" customHeight="1" x14ac:dyDescent="0.25">
      <c r="A5" s="147"/>
      <c r="B5" s="148" t="s">
        <v>192</v>
      </c>
      <c r="C5" s="148" t="s">
        <v>198</v>
      </c>
      <c r="D5" s="148" t="s">
        <v>199</v>
      </c>
      <c r="E5" s="148" t="s">
        <v>192</v>
      </c>
      <c r="F5" s="149" t="s">
        <v>9</v>
      </c>
      <c r="G5" s="148" t="s">
        <v>211</v>
      </c>
      <c r="H5" s="230"/>
    </row>
    <row r="6" spans="1:9" ht="15" customHeight="1" x14ac:dyDescent="0.25">
      <c r="A6" s="150" t="s">
        <v>10</v>
      </c>
      <c r="B6" s="151"/>
      <c r="C6" s="151"/>
      <c r="D6" s="151"/>
      <c r="E6" s="151"/>
      <c r="F6" s="152"/>
      <c r="G6" s="151"/>
      <c r="H6" s="185"/>
    </row>
    <row r="7" spans="1:9" ht="15" customHeight="1" x14ac:dyDescent="0.25">
      <c r="A7" s="150" t="s">
        <v>11</v>
      </c>
      <c r="B7" s="151"/>
      <c r="C7" s="151"/>
      <c r="D7" s="151"/>
      <c r="E7" s="151"/>
      <c r="F7" s="153"/>
      <c r="G7" s="151"/>
      <c r="H7" s="185"/>
    </row>
    <row r="8" spans="1:9" ht="15" customHeight="1" x14ac:dyDescent="0.25">
      <c r="A8" s="154" t="s">
        <v>12</v>
      </c>
      <c r="B8" s="155">
        <v>27588200</v>
      </c>
      <c r="C8" s="155">
        <v>27588200</v>
      </c>
      <c r="D8" s="155">
        <v>20627264</v>
      </c>
      <c r="E8" s="155">
        <f>D8-C8</f>
        <v>-6960936</v>
      </c>
      <c r="F8" s="156">
        <f t="shared" ref="F8:F31" si="0">IF(ISBLANK(E8),"  ",IF(C8&gt;0,E8/C8,IF(E8&gt;0,1,0)))</f>
        <v>-0.25231570019066124</v>
      </c>
      <c r="G8" s="155">
        <f>20627264</f>
        <v>20627264</v>
      </c>
      <c r="H8" s="185"/>
    </row>
    <row r="9" spans="1:9" ht="15" customHeight="1" x14ac:dyDescent="0.25">
      <c r="A9" s="154" t="s">
        <v>13</v>
      </c>
      <c r="B9" s="155">
        <v>0</v>
      </c>
      <c r="C9" s="155">
        <v>0</v>
      </c>
      <c r="D9" s="155">
        <v>0</v>
      </c>
      <c r="E9" s="155">
        <f t="shared" ref="E9:E31" si="1">D9-C9</f>
        <v>0</v>
      </c>
      <c r="F9" s="156">
        <f t="shared" si="0"/>
        <v>0</v>
      </c>
      <c r="G9" s="155">
        <v>0</v>
      </c>
      <c r="H9" s="185"/>
    </row>
    <row r="10" spans="1:9" ht="15" customHeight="1" x14ac:dyDescent="0.25">
      <c r="A10" s="157" t="s">
        <v>14</v>
      </c>
      <c r="B10" s="158">
        <v>1657535</v>
      </c>
      <c r="C10" s="158">
        <v>1969279</v>
      </c>
      <c r="D10" s="158">
        <v>1686957</v>
      </c>
      <c r="E10" s="155">
        <f t="shared" si="1"/>
        <v>-282322</v>
      </c>
      <c r="F10" s="156">
        <f t="shared" si="0"/>
        <v>-0.14336312934835541</v>
      </c>
      <c r="G10" s="158">
        <v>1686957</v>
      </c>
      <c r="H10" s="185"/>
    </row>
    <row r="11" spans="1:9" ht="15" customHeight="1" x14ac:dyDescent="0.25">
      <c r="A11" s="159" t="s">
        <v>15</v>
      </c>
      <c r="B11" s="160">
        <v>0</v>
      </c>
      <c r="C11" s="160">
        <v>0</v>
      </c>
      <c r="D11" s="160">
        <v>0</v>
      </c>
      <c r="E11" s="155">
        <f t="shared" si="1"/>
        <v>0</v>
      </c>
      <c r="F11" s="156">
        <f t="shared" si="0"/>
        <v>0</v>
      </c>
      <c r="G11" s="160">
        <v>0</v>
      </c>
      <c r="H11" s="185"/>
    </row>
    <row r="12" spans="1:9" ht="15" customHeight="1" x14ac:dyDescent="0.25">
      <c r="A12" s="161" t="s">
        <v>16</v>
      </c>
      <c r="B12" s="160">
        <v>1657535</v>
      </c>
      <c r="C12" s="160">
        <v>1969279</v>
      </c>
      <c r="D12" s="160">
        <v>1686957</v>
      </c>
      <c r="E12" s="155">
        <f t="shared" si="1"/>
        <v>-282322</v>
      </c>
      <c r="F12" s="156">
        <f t="shared" si="0"/>
        <v>-0.14336312934835541</v>
      </c>
      <c r="G12" s="160">
        <v>1686957</v>
      </c>
      <c r="H12" s="185"/>
    </row>
    <row r="13" spans="1:9" ht="15" customHeight="1" x14ac:dyDescent="0.25">
      <c r="A13" s="161" t="s">
        <v>17</v>
      </c>
      <c r="B13" s="160">
        <v>0</v>
      </c>
      <c r="C13" s="160">
        <v>0</v>
      </c>
      <c r="D13" s="160">
        <v>0</v>
      </c>
      <c r="E13" s="155">
        <f t="shared" si="1"/>
        <v>0</v>
      </c>
      <c r="F13" s="156">
        <f t="shared" si="0"/>
        <v>0</v>
      </c>
      <c r="G13" s="160">
        <v>0</v>
      </c>
      <c r="H13" s="185"/>
    </row>
    <row r="14" spans="1:9" ht="15" customHeight="1" x14ac:dyDescent="0.25">
      <c r="A14" s="161" t="s">
        <v>18</v>
      </c>
      <c r="B14" s="160">
        <v>0</v>
      </c>
      <c r="C14" s="160">
        <v>0</v>
      </c>
      <c r="D14" s="160">
        <v>0</v>
      </c>
      <c r="E14" s="155">
        <f t="shared" si="1"/>
        <v>0</v>
      </c>
      <c r="F14" s="156">
        <f t="shared" si="0"/>
        <v>0</v>
      </c>
      <c r="G14" s="160">
        <v>0</v>
      </c>
      <c r="H14" s="185"/>
    </row>
    <row r="15" spans="1:9" ht="15" customHeight="1" x14ac:dyDescent="0.25">
      <c r="A15" s="161" t="s">
        <v>19</v>
      </c>
      <c r="B15" s="160">
        <v>0</v>
      </c>
      <c r="C15" s="160">
        <v>0</v>
      </c>
      <c r="D15" s="160">
        <v>0</v>
      </c>
      <c r="E15" s="155">
        <f t="shared" si="1"/>
        <v>0</v>
      </c>
      <c r="F15" s="156">
        <f t="shared" si="0"/>
        <v>0</v>
      </c>
      <c r="G15" s="160">
        <v>0</v>
      </c>
      <c r="H15" s="185"/>
    </row>
    <row r="16" spans="1:9" ht="15" customHeight="1" x14ac:dyDescent="0.25">
      <c r="A16" s="161" t="s">
        <v>20</v>
      </c>
      <c r="B16" s="160">
        <v>0</v>
      </c>
      <c r="C16" s="160">
        <v>0</v>
      </c>
      <c r="D16" s="160">
        <v>0</v>
      </c>
      <c r="E16" s="155">
        <f t="shared" si="1"/>
        <v>0</v>
      </c>
      <c r="F16" s="156">
        <f t="shared" si="0"/>
        <v>0</v>
      </c>
      <c r="G16" s="160">
        <v>0</v>
      </c>
      <c r="H16" s="185"/>
    </row>
    <row r="17" spans="1:8" ht="15" customHeight="1" x14ac:dyDescent="0.25">
      <c r="A17" s="161" t="s">
        <v>21</v>
      </c>
      <c r="B17" s="160">
        <v>0</v>
      </c>
      <c r="C17" s="160">
        <v>0</v>
      </c>
      <c r="D17" s="160">
        <v>0</v>
      </c>
      <c r="E17" s="155">
        <f t="shared" si="1"/>
        <v>0</v>
      </c>
      <c r="F17" s="156">
        <f t="shared" si="0"/>
        <v>0</v>
      </c>
      <c r="G17" s="160">
        <v>0</v>
      </c>
      <c r="H17" s="185"/>
    </row>
    <row r="18" spans="1:8" ht="15" customHeight="1" x14ac:dyDescent="0.25">
      <c r="A18" s="161" t="s">
        <v>22</v>
      </c>
      <c r="B18" s="160">
        <v>0</v>
      </c>
      <c r="C18" s="160">
        <v>0</v>
      </c>
      <c r="D18" s="160">
        <v>0</v>
      </c>
      <c r="E18" s="155">
        <f t="shared" si="1"/>
        <v>0</v>
      </c>
      <c r="F18" s="156">
        <f t="shared" si="0"/>
        <v>0</v>
      </c>
      <c r="G18" s="160">
        <v>0</v>
      </c>
      <c r="H18" s="185"/>
    </row>
    <row r="19" spans="1:8" ht="15" customHeight="1" x14ac:dyDescent="0.25">
      <c r="A19" s="161" t="s">
        <v>23</v>
      </c>
      <c r="B19" s="160">
        <v>0</v>
      </c>
      <c r="C19" s="160">
        <v>0</v>
      </c>
      <c r="D19" s="160">
        <v>0</v>
      </c>
      <c r="E19" s="155">
        <f t="shared" si="1"/>
        <v>0</v>
      </c>
      <c r="F19" s="156">
        <f t="shared" si="0"/>
        <v>0</v>
      </c>
      <c r="G19" s="160">
        <v>0</v>
      </c>
      <c r="H19" s="185"/>
    </row>
    <row r="20" spans="1:8" ht="15" customHeight="1" x14ac:dyDescent="0.25">
      <c r="A20" s="161" t="s">
        <v>24</v>
      </c>
      <c r="B20" s="160">
        <v>0</v>
      </c>
      <c r="C20" s="160">
        <v>0</v>
      </c>
      <c r="D20" s="160">
        <v>0</v>
      </c>
      <c r="E20" s="155">
        <f t="shared" si="1"/>
        <v>0</v>
      </c>
      <c r="F20" s="156">
        <f t="shared" si="0"/>
        <v>0</v>
      </c>
      <c r="G20" s="160">
        <v>0</v>
      </c>
      <c r="H20" s="185"/>
    </row>
    <row r="21" spans="1:8" ht="15" customHeight="1" x14ac:dyDescent="0.25">
      <c r="A21" s="161" t="s">
        <v>25</v>
      </c>
      <c r="B21" s="160">
        <v>0</v>
      </c>
      <c r="C21" s="160">
        <v>0</v>
      </c>
      <c r="D21" s="160">
        <v>0</v>
      </c>
      <c r="E21" s="155">
        <f t="shared" si="1"/>
        <v>0</v>
      </c>
      <c r="F21" s="156">
        <f t="shared" si="0"/>
        <v>0</v>
      </c>
      <c r="G21" s="160">
        <v>0</v>
      </c>
      <c r="H21" s="185"/>
    </row>
    <row r="22" spans="1:8" ht="15" customHeight="1" x14ac:dyDescent="0.25">
      <c r="A22" s="161" t="s">
        <v>26</v>
      </c>
      <c r="B22" s="160">
        <v>0</v>
      </c>
      <c r="C22" s="160">
        <v>0</v>
      </c>
      <c r="D22" s="160">
        <v>0</v>
      </c>
      <c r="E22" s="155">
        <f t="shared" si="1"/>
        <v>0</v>
      </c>
      <c r="F22" s="156">
        <f t="shared" si="0"/>
        <v>0</v>
      </c>
      <c r="G22" s="160">
        <v>0</v>
      </c>
      <c r="H22" s="185"/>
    </row>
    <row r="23" spans="1:8" ht="15" customHeight="1" x14ac:dyDescent="0.25">
      <c r="A23" s="162" t="s">
        <v>27</v>
      </c>
      <c r="B23" s="160">
        <v>0</v>
      </c>
      <c r="C23" s="160">
        <v>0</v>
      </c>
      <c r="D23" s="160">
        <v>0</v>
      </c>
      <c r="E23" s="155">
        <f t="shared" si="1"/>
        <v>0</v>
      </c>
      <c r="F23" s="156">
        <f t="shared" si="0"/>
        <v>0</v>
      </c>
      <c r="G23" s="160">
        <v>0</v>
      </c>
      <c r="H23" s="185"/>
    </row>
    <row r="24" spans="1:8" ht="15" customHeight="1" x14ac:dyDescent="0.25">
      <c r="A24" s="162" t="s">
        <v>28</v>
      </c>
      <c r="B24" s="160">
        <v>0</v>
      </c>
      <c r="C24" s="160">
        <v>0</v>
      </c>
      <c r="D24" s="160">
        <v>0</v>
      </c>
      <c r="E24" s="155">
        <f t="shared" si="1"/>
        <v>0</v>
      </c>
      <c r="F24" s="156">
        <f t="shared" si="0"/>
        <v>0</v>
      </c>
      <c r="G24" s="160">
        <v>0</v>
      </c>
      <c r="H24" s="185"/>
    </row>
    <row r="25" spans="1:8" ht="15" customHeight="1" x14ac:dyDescent="0.25">
      <c r="A25" s="162" t="s">
        <v>29</v>
      </c>
      <c r="B25" s="160">
        <v>0</v>
      </c>
      <c r="C25" s="160">
        <v>0</v>
      </c>
      <c r="D25" s="160">
        <v>0</v>
      </c>
      <c r="E25" s="155">
        <f t="shared" si="1"/>
        <v>0</v>
      </c>
      <c r="F25" s="156">
        <f t="shared" si="0"/>
        <v>0</v>
      </c>
      <c r="G25" s="160">
        <v>0</v>
      </c>
      <c r="H25" s="185"/>
    </row>
    <row r="26" spans="1:8" ht="15" customHeight="1" x14ac:dyDescent="0.25">
      <c r="A26" s="162" t="s">
        <v>30</v>
      </c>
      <c r="B26" s="160">
        <v>0</v>
      </c>
      <c r="C26" s="160">
        <v>0</v>
      </c>
      <c r="D26" s="160">
        <v>0</v>
      </c>
      <c r="E26" s="155">
        <f t="shared" si="1"/>
        <v>0</v>
      </c>
      <c r="F26" s="156">
        <f t="shared" si="0"/>
        <v>0</v>
      </c>
      <c r="G26" s="160">
        <v>0</v>
      </c>
      <c r="H26" s="185"/>
    </row>
    <row r="27" spans="1:8" ht="15" customHeight="1" x14ac:dyDescent="0.25">
      <c r="A27" s="162" t="s">
        <v>31</v>
      </c>
      <c r="B27" s="160">
        <v>0</v>
      </c>
      <c r="C27" s="160">
        <v>0</v>
      </c>
      <c r="D27" s="160">
        <v>0</v>
      </c>
      <c r="E27" s="155">
        <f t="shared" si="1"/>
        <v>0</v>
      </c>
      <c r="F27" s="156">
        <f t="shared" si="0"/>
        <v>0</v>
      </c>
      <c r="G27" s="160">
        <v>0</v>
      </c>
      <c r="H27" s="185"/>
    </row>
    <row r="28" spans="1:8" ht="15" customHeight="1" x14ac:dyDescent="0.25">
      <c r="A28" s="162" t="s">
        <v>87</v>
      </c>
      <c r="B28" s="160">
        <v>0</v>
      </c>
      <c r="C28" s="160">
        <v>0</v>
      </c>
      <c r="D28" s="160">
        <v>0</v>
      </c>
      <c r="E28" s="155">
        <f t="shared" si="1"/>
        <v>0</v>
      </c>
      <c r="F28" s="156">
        <f t="shared" si="0"/>
        <v>0</v>
      </c>
      <c r="G28" s="160">
        <v>0</v>
      </c>
      <c r="H28" s="185"/>
    </row>
    <row r="29" spans="1:8" ht="15" customHeight="1" x14ac:dyDescent="0.25">
      <c r="A29" s="162" t="s">
        <v>32</v>
      </c>
      <c r="B29" s="160">
        <v>0</v>
      </c>
      <c r="C29" s="160">
        <v>0</v>
      </c>
      <c r="D29" s="160">
        <v>0</v>
      </c>
      <c r="E29" s="155">
        <f t="shared" si="1"/>
        <v>0</v>
      </c>
      <c r="F29" s="156">
        <f t="shared" si="0"/>
        <v>0</v>
      </c>
      <c r="G29" s="160">
        <v>0</v>
      </c>
      <c r="H29" s="185"/>
    </row>
    <row r="30" spans="1:8" ht="15" customHeight="1" x14ac:dyDescent="0.25">
      <c r="A30" s="219" t="s">
        <v>201</v>
      </c>
      <c r="B30" s="160">
        <v>0</v>
      </c>
      <c r="C30" s="160">
        <v>0</v>
      </c>
      <c r="D30" s="160">
        <v>0</v>
      </c>
      <c r="E30" s="155">
        <f t="shared" si="1"/>
        <v>0</v>
      </c>
      <c r="F30" s="156">
        <f t="shared" si="0"/>
        <v>0</v>
      </c>
      <c r="G30" s="160">
        <v>0</v>
      </c>
      <c r="H30" s="185"/>
    </row>
    <row r="31" spans="1:8" ht="15" customHeight="1" x14ac:dyDescent="0.25">
      <c r="A31" s="162" t="s">
        <v>202</v>
      </c>
      <c r="B31" s="160">
        <v>0</v>
      </c>
      <c r="C31" s="160">
        <v>0</v>
      </c>
      <c r="D31" s="160">
        <v>0</v>
      </c>
      <c r="E31" s="155">
        <f t="shared" si="1"/>
        <v>0</v>
      </c>
      <c r="F31" s="156">
        <f t="shared" si="0"/>
        <v>0</v>
      </c>
      <c r="G31" s="160">
        <v>0</v>
      </c>
      <c r="H31" s="185"/>
    </row>
    <row r="32" spans="1:8" ht="15" customHeight="1" x14ac:dyDescent="0.25">
      <c r="A32" s="163" t="s">
        <v>33</v>
      </c>
      <c r="B32" s="160"/>
      <c r="C32" s="160"/>
      <c r="D32" s="160"/>
      <c r="E32" s="160"/>
      <c r="F32" s="152"/>
      <c r="G32" s="160"/>
      <c r="H32" s="185"/>
    </row>
    <row r="33" spans="1:13" ht="15" customHeight="1" x14ac:dyDescent="0.25">
      <c r="A33" s="159" t="s">
        <v>34</v>
      </c>
      <c r="B33" s="155">
        <v>0</v>
      </c>
      <c r="C33" s="155">
        <v>0</v>
      </c>
      <c r="D33" s="155">
        <v>0</v>
      </c>
      <c r="E33" s="155">
        <f>D33-C33</f>
        <v>0</v>
      </c>
      <c r="F33" s="156">
        <f>IF(ISBLANK(E33),"  ",IF(C33&gt;0,E33/C33,IF(E33&gt;0,1,0)))</f>
        <v>0</v>
      </c>
      <c r="G33" s="155">
        <v>0</v>
      </c>
      <c r="H33" s="185"/>
    </row>
    <row r="34" spans="1:13" ht="15" customHeight="1" x14ac:dyDescent="0.25">
      <c r="A34" s="164" t="s">
        <v>35</v>
      </c>
      <c r="B34" s="160"/>
      <c r="C34" s="160"/>
      <c r="D34" s="160"/>
      <c r="E34" s="160"/>
      <c r="F34" s="152"/>
      <c r="G34" s="160"/>
      <c r="H34" s="185"/>
    </row>
    <row r="35" spans="1:13" ht="15" customHeight="1" x14ac:dyDescent="0.25">
      <c r="A35" s="159" t="s">
        <v>34</v>
      </c>
      <c r="B35" s="151">
        <v>0</v>
      </c>
      <c r="C35" s="151">
        <v>0</v>
      </c>
      <c r="D35" s="151">
        <v>0</v>
      </c>
      <c r="E35" s="155">
        <f>D35-C35</f>
        <v>0</v>
      </c>
      <c r="F35" s="156">
        <f>IF(ISBLANK(E35),"  ",IF(C35&gt;0,E35/C35,IF(E35&gt;0,1,0)))</f>
        <v>0</v>
      </c>
      <c r="G35" s="151">
        <v>0</v>
      </c>
      <c r="H35" s="185"/>
    </row>
    <row r="36" spans="1:13" ht="15" customHeight="1" x14ac:dyDescent="0.25">
      <c r="A36" s="161" t="s">
        <v>36</v>
      </c>
      <c r="B36" s="160"/>
      <c r="C36" s="160"/>
      <c r="D36" s="160"/>
      <c r="E36" s="158"/>
      <c r="F36" s="156" t="str">
        <f>IF(ISBLANK(E36),"  ",IF(C36&gt;0,E36/C36,IF(E36&gt;0,1,0)))</f>
        <v xml:space="preserve">  </v>
      </c>
      <c r="G36" s="160"/>
      <c r="H36" s="185"/>
    </row>
    <row r="37" spans="1:13" s="124" customFormat="1" ht="15" customHeight="1" x14ac:dyDescent="0.25">
      <c r="A37" s="165" t="s">
        <v>38</v>
      </c>
      <c r="B37" s="166">
        <f>SUM(B8,B9,B10,B33,B35)</f>
        <v>29245735</v>
      </c>
      <c r="C37" s="166">
        <f t="shared" ref="C37:D37" si="2">SUM(C8,C9,C10,C33,C35)</f>
        <v>29557479</v>
      </c>
      <c r="D37" s="166">
        <f t="shared" si="2"/>
        <v>22314221</v>
      </c>
      <c r="E37" s="166">
        <f>D37-C37</f>
        <v>-7243258</v>
      </c>
      <c r="F37" s="167">
        <f>IF(ISBLANK(E37),"  ",IF(C37&gt;0,E37/C37,IF(E37&gt;0,1,0)))</f>
        <v>-0.24505669106624417</v>
      </c>
      <c r="G37" s="166">
        <f>SUM(G8,G9,G10,G33,G35)</f>
        <v>22314221</v>
      </c>
      <c r="H37" s="215"/>
    </row>
    <row r="38" spans="1:13" ht="15" customHeight="1" x14ac:dyDescent="0.25">
      <c r="A38" s="163" t="s">
        <v>39</v>
      </c>
      <c r="B38" s="160"/>
      <c r="C38" s="160"/>
      <c r="D38" s="160"/>
      <c r="E38" s="160"/>
      <c r="F38" s="152"/>
      <c r="G38" s="160"/>
      <c r="H38" s="185"/>
    </row>
    <row r="39" spans="1:13" ht="15" customHeight="1" x14ac:dyDescent="0.25">
      <c r="A39" s="168" t="s">
        <v>40</v>
      </c>
      <c r="B39" s="155">
        <v>0</v>
      </c>
      <c r="C39" s="155">
        <v>0</v>
      </c>
      <c r="D39" s="155">
        <v>0</v>
      </c>
      <c r="E39" s="155">
        <f>D39-C39</f>
        <v>0</v>
      </c>
      <c r="F39" s="156">
        <f t="shared" ref="F39:F44" si="3">IF(ISBLANK(E39),"  ",IF(C39&gt;0,E39/C39,IF(E39&gt;0,1,0)))</f>
        <v>0</v>
      </c>
      <c r="G39" s="155">
        <v>0</v>
      </c>
      <c r="H39" s="185"/>
    </row>
    <row r="40" spans="1:13" ht="15" customHeight="1" x14ac:dyDescent="0.25">
      <c r="A40" s="169" t="s">
        <v>41</v>
      </c>
      <c r="B40" s="155">
        <v>0</v>
      </c>
      <c r="C40" s="155">
        <v>0</v>
      </c>
      <c r="D40" s="155">
        <v>0</v>
      </c>
      <c r="E40" s="155">
        <f t="shared" ref="E40:E44" si="4">D40-C40</f>
        <v>0</v>
      </c>
      <c r="F40" s="156">
        <f t="shared" si="3"/>
        <v>0</v>
      </c>
      <c r="G40" s="155">
        <v>0</v>
      </c>
      <c r="H40" s="185"/>
    </row>
    <row r="41" spans="1:13" ht="15" customHeight="1" x14ac:dyDescent="0.25">
      <c r="A41" s="169" t="s">
        <v>42</v>
      </c>
      <c r="B41" s="223">
        <v>6396237</v>
      </c>
      <c r="C41" s="223">
        <v>0</v>
      </c>
      <c r="D41" s="155">
        <v>0</v>
      </c>
      <c r="E41" s="155">
        <f t="shared" si="4"/>
        <v>0</v>
      </c>
      <c r="F41" s="156">
        <f t="shared" si="3"/>
        <v>0</v>
      </c>
      <c r="G41" s="155">
        <v>0</v>
      </c>
      <c r="H41" s="185"/>
    </row>
    <row r="42" spans="1:13" ht="15" customHeight="1" x14ac:dyDescent="0.25">
      <c r="A42" s="169" t="s">
        <v>43</v>
      </c>
      <c r="B42" s="155">
        <v>0</v>
      </c>
      <c r="C42" s="155">
        <v>0</v>
      </c>
      <c r="D42" s="155">
        <v>0</v>
      </c>
      <c r="E42" s="155">
        <f t="shared" si="4"/>
        <v>0</v>
      </c>
      <c r="F42" s="156">
        <f t="shared" si="3"/>
        <v>0</v>
      </c>
      <c r="G42" s="155">
        <v>0</v>
      </c>
      <c r="H42" s="185"/>
    </row>
    <row r="43" spans="1:13" ht="15" customHeight="1" x14ac:dyDescent="0.25">
      <c r="A43" s="170" t="s">
        <v>44</v>
      </c>
      <c r="B43" s="155">
        <v>0</v>
      </c>
      <c r="C43" s="155">
        <v>0</v>
      </c>
      <c r="D43" s="155">
        <v>0</v>
      </c>
      <c r="E43" s="155">
        <f t="shared" si="4"/>
        <v>0</v>
      </c>
      <c r="F43" s="156">
        <f t="shared" si="3"/>
        <v>0</v>
      </c>
      <c r="G43" s="155">
        <v>0</v>
      </c>
      <c r="H43" s="185"/>
    </row>
    <row r="44" spans="1:13" s="124" customFormat="1" ht="15" customHeight="1" x14ac:dyDescent="0.25">
      <c r="A44" s="163" t="s">
        <v>45</v>
      </c>
      <c r="B44" s="171">
        <v>6396237</v>
      </c>
      <c r="C44" s="171">
        <v>0</v>
      </c>
      <c r="D44" s="171">
        <v>0</v>
      </c>
      <c r="E44" s="173">
        <f t="shared" si="4"/>
        <v>0</v>
      </c>
      <c r="F44" s="167">
        <f t="shared" si="3"/>
        <v>0</v>
      </c>
      <c r="G44" s="171">
        <v>0</v>
      </c>
      <c r="H44" s="215"/>
      <c r="M44" s="124" t="s">
        <v>46</v>
      </c>
    </row>
    <row r="45" spans="1:13" ht="15" customHeight="1" x14ac:dyDescent="0.25">
      <c r="A45" s="161" t="s">
        <v>46</v>
      </c>
      <c r="B45" s="160"/>
      <c r="C45" s="160"/>
      <c r="D45" s="160"/>
      <c r="E45" s="160"/>
      <c r="F45" s="152"/>
      <c r="G45" s="160"/>
      <c r="H45" s="185"/>
    </row>
    <row r="46" spans="1:13" s="124" customFormat="1" ht="15" customHeight="1" x14ac:dyDescent="0.25">
      <c r="A46" s="172" t="s">
        <v>47</v>
      </c>
      <c r="B46" s="173">
        <v>0</v>
      </c>
      <c r="C46" s="173">
        <v>0</v>
      </c>
      <c r="D46" s="173">
        <v>0</v>
      </c>
      <c r="E46" s="173">
        <f>D46-C46</f>
        <v>0</v>
      </c>
      <c r="F46" s="167">
        <f>IF(ISBLANK(E46),"  ",IF(C46&gt;0,E46/C46,IF(E46&gt;0,1,0)))</f>
        <v>0</v>
      </c>
      <c r="G46" s="173">
        <v>0</v>
      </c>
      <c r="H46" s="215"/>
    </row>
    <row r="47" spans="1:13" ht="15" customHeight="1" x14ac:dyDescent="0.25">
      <c r="A47" s="161" t="s">
        <v>46</v>
      </c>
      <c r="B47" s="166"/>
      <c r="C47" s="166"/>
      <c r="D47" s="166"/>
      <c r="E47" s="160"/>
      <c r="F47" s="152"/>
      <c r="G47" s="166"/>
      <c r="H47" s="215"/>
    </row>
    <row r="48" spans="1:13" ht="15" customHeight="1" x14ac:dyDescent="0.25">
      <c r="A48" s="172" t="s">
        <v>200</v>
      </c>
      <c r="B48" s="173">
        <v>6396237</v>
      </c>
      <c r="C48" s="173">
        <v>6396237</v>
      </c>
      <c r="D48" s="173">
        <v>0</v>
      </c>
      <c r="E48" s="173">
        <f>D48-C48</f>
        <v>-6396237</v>
      </c>
      <c r="F48" s="167">
        <f>IF(ISBLANK(E48)," ",IF(C48&gt;0,E48/C48,IF(E48&gt;0,1,0)))</f>
        <v>-1</v>
      </c>
      <c r="G48" s="173">
        <f>C48</f>
        <v>6396237</v>
      </c>
      <c r="H48" s="215"/>
    </row>
    <row r="49" spans="1:11" ht="15" customHeight="1" x14ac:dyDescent="0.25">
      <c r="A49" s="159"/>
      <c r="B49" s="151"/>
      <c r="C49" s="151"/>
      <c r="D49" s="151"/>
      <c r="E49" s="151"/>
      <c r="F49" s="153"/>
      <c r="G49" s="151"/>
      <c r="H49" s="185"/>
    </row>
    <row r="50" spans="1:11" s="124" customFormat="1" ht="15" customHeight="1" x14ac:dyDescent="0.25">
      <c r="A50" s="172" t="s">
        <v>48</v>
      </c>
      <c r="B50" s="173">
        <v>0</v>
      </c>
      <c r="C50" s="173">
        <v>0</v>
      </c>
      <c r="D50" s="173">
        <v>0</v>
      </c>
      <c r="E50" s="173">
        <f>D50-C50</f>
        <v>0</v>
      </c>
      <c r="F50" s="167">
        <f>IF(ISBLANK(E50),"  ",IF(C50&gt;0,E50/C50,IF(E50&gt;0,1,0)))</f>
        <v>0</v>
      </c>
      <c r="G50" s="173">
        <v>0</v>
      </c>
      <c r="H50" s="215"/>
    </row>
    <row r="51" spans="1:11" ht="15" customHeight="1" x14ac:dyDescent="0.25">
      <c r="A51" s="161" t="s">
        <v>46</v>
      </c>
      <c r="B51" s="160"/>
      <c r="C51" s="160"/>
      <c r="D51" s="160"/>
      <c r="E51" s="160"/>
      <c r="F51" s="152"/>
      <c r="G51" s="160"/>
      <c r="H51" s="185"/>
    </row>
    <row r="52" spans="1:11" s="124" customFormat="1" ht="15" customHeight="1" x14ac:dyDescent="0.25">
      <c r="A52" s="163" t="s">
        <v>49</v>
      </c>
      <c r="B52" s="171">
        <v>95935500</v>
      </c>
      <c r="C52" s="171">
        <v>103355648</v>
      </c>
      <c r="D52" s="171">
        <v>103355648</v>
      </c>
      <c r="E52" s="171">
        <f>D52-C52</f>
        <v>0</v>
      </c>
      <c r="F52" s="167">
        <f>IF(ISBLANK(E52),"  ",IF(C52&gt;0,E52/C52,IF(E52&gt;0,1,0)))</f>
        <v>0</v>
      </c>
      <c r="G52" s="171">
        <v>103355648</v>
      </c>
      <c r="H52" s="215"/>
    </row>
    <row r="53" spans="1:11" ht="15" customHeight="1" x14ac:dyDescent="0.25">
      <c r="A53" s="161" t="s">
        <v>46</v>
      </c>
      <c r="B53" s="160"/>
      <c r="C53" s="160"/>
      <c r="D53" s="160"/>
      <c r="E53" s="160"/>
      <c r="F53" s="152"/>
      <c r="G53" s="160"/>
      <c r="H53" s="185"/>
    </row>
    <row r="54" spans="1:11" s="124" customFormat="1" ht="15" customHeight="1" x14ac:dyDescent="0.25">
      <c r="A54" s="174" t="s">
        <v>50</v>
      </c>
      <c r="B54" s="175">
        <v>0</v>
      </c>
      <c r="C54" s="175">
        <v>0</v>
      </c>
      <c r="D54" s="175">
        <v>0</v>
      </c>
      <c r="E54" s="175">
        <f>D54-C54</f>
        <v>0</v>
      </c>
      <c r="F54" s="167">
        <f>IF(ISBLANK(E54),"  ",IF(C54&gt;0,E54/C54,IF(E54&gt;0,1,0)))</f>
        <v>0</v>
      </c>
      <c r="G54" s="175">
        <v>0</v>
      </c>
      <c r="H54" s="215"/>
    </row>
    <row r="55" spans="1:11" ht="15" customHeight="1" x14ac:dyDescent="0.25">
      <c r="A55" s="163"/>
      <c r="B55" s="151"/>
      <c r="C55" s="151"/>
      <c r="D55" s="151"/>
      <c r="E55" s="151"/>
      <c r="F55" s="176"/>
      <c r="G55" s="151"/>
      <c r="H55" s="185"/>
    </row>
    <row r="56" spans="1:11" s="124" customFormat="1" ht="15" customHeight="1" x14ac:dyDescent="0.25">
      <c r="A56" s="163" t="s">
        <v>51</v>
      </c>
      <c r="B56" s="171">
        <v>0</v>
      </c>
      <c r="C56" s="171">
        <v>0</v>
      </c>
      <c r="D56" s="171">
        <v>0</v>
      </c>
      <c r="E56" s="175">
        <f>D56-C56</f>
        <v>0</v>
      </c>
      <c r="F56" s="167">
        <f>IF(ISBLANK(E56),"  ",IF(C56&gt;0,E56/C56,IF(E56&gt;0,1,0)))</f>
        <v>0</v>
      </c>
      <c r="G56" s="171">
        <v>0</v>
      </c>
      <c r="H56" s="215"/>
    </row>
    <row r="57" spans="1:11" ht="15" customHeight="1" x14ac:dyDescent="0.25">
      <c r="A57" s="161"/>
      <c r="B57" s="160"/>
      <c r="C57" s="160"/>
      <c r="D57" s="160"/>
      <c r="E57" s="160"/>
      <c r="F57" s="152"/>
      <c r="G57" s="160"/>
      <c r="H57" s="185"/>
    </row>
    <row r="58" spans="1:11" s="124" customFormat="1" ht="15" customHeight="1" x14ac:dyDescent="0.25">
      <c r="A58" s="177" t="s">
        <v>52</v>
      </c>
      <c r="B58" s="171">
        <v>125181235</v>
      </c>
      <c r="C58" s="171">
        <v>139309364</v>
      </c>
      <c r="D58" s="171">
        <v>125669869</v>
      </c>
      <c r="E58" s="171">
        <f>D58-C58</f>
        <v>-13639495</v>
      </c>
      <c r="F58" s="167">
        <f>IF(ISBLANK(E58),"  ",IF(C58&gt;0,E58/C58,IF(E58&gt;0,1,0)))</f>
        <v>-9.79079554192782E-2</v>
      </c>
      <c r="G58" s="171">
        <f>G56+G54+G52+G50+G48+G46+G44+G37</f>
        <v>132066106</v>
      </c>
      <c r="H58" s="215"/>
    </row>
    <row r="59" spans="1:11" ht="15" customHeight="1" x14ac:dyDescent="0.25">
      <c r="A59" s="178"/>
      <c r="B59" s="160"/>
      <c r="C59" s="160"/>
      <c r="D59" s="160"/>
      <c r="E59" s="160"/>
      <c r="F59" s="152" t="s">
        <v>46</v>
      </c>
      <c r="G59" s="160"/>
      <c r="H59" s="185"/>
    </row>
    <row r="60" spans="1:11" ht="15" customHeight="1" x14ac:dyDescent="0.25">
      <c r="A60" s="179"/>
      <c r="B60" s="151"/>
      <c r="C60" s="151"/>
      <c r="D60" s="151"/>
      <c r="E60" s="151"/>
      <c r="F60" s="153" t="s">
        <v>46</v>
      </c>
      <c r="G60" s="151"/>
      <c r="H60" s="185"/>
    </row>
    <row r="61" spans="1:11" ht="15" customHeight="1" x14ac:dyDescent="0.25">
      <c r="A61" s="177" t="s">
        <v>53</v>
      </c>
      <c r="B61" s="151"/>
      <c r="C61" s="151"/>
      <c r="D61" s="151"/>
      <c r="E61" s="151"/>
      <c r="F61" s="153"/>
      <c r="G61" s="151"/>
      <c r="H61" s="185"/>
    </row>
    <row r="62" spans="1:11" ht="15" customHeight="1" x14ac:dyDescent="0.25">
      <c r="A62" s="159" t="s">
        <v>54</v>
      </c>
      <c r="B62" s="151">
        <v>37613570</v>
      </c>
      <c r="C62" s="151">
        <v>45064429</v>
      </c>
      <c r="D62" s="151">
        <v>41789583</v>
      </c>
      <c r="E62" s="151">
        <f>D62-C62</f>
        <v>-3274846</v>
      </c>
      <c r="F62" s="156">
        <f t="shared" ref="F62:F75" si="5">IF(ISBLANK(E62),"  ",IF(C62&gt;0,E62/C62,IF(E62&gt;0,1,0)))</f>
        <v>-7.2670309436296196E-2</v>
      </c>
      <c r="G62" s="151">
        <v>41789583</v>
      </c>
      <c r="H62" s="185"/>
      <c r="K62" s="139" t="s">
        <v>46</v>
      </c>
    </row>
    <row r="63" spans="1:11" ht="15" customHeight="1" x14ac:dyDescent="0.25">
      <c r="A63" s="161" t="s">
        <v>55</v>
      </c>
      <c r="B63" s="160">
        <v>11934133</v>
      </c>
      <c r="C63" s="160">
        <v>14093604</v>
      </c>
      <c r="D63" s="160">
        <v>12185140</v>
      </c>
      <c r="E63" s="160">
        <f>D63-C63</f>
        <v>-1908464</v>
      </c>
      <c r="F63" s="156">
        <f t="shared" si="5"/>
        <v>-0.13541348259820554</v>
      </c>
      <c r="G63" s="160">
        <v>12185140</v>
      </c>
      <c r="H63" s="185"/>
    </row>
    <row r="64" spans="1:11" ht="15" customHeight="1" x14ac:dyDescent="0.25">
      <c r="A64" s="161" t="s">
        <v>56</v>
      </c>
      <c r="B64" s="160">
        <v>122706</v>
      </c>
      <c r="C64" s="160">
        <v>130424</v>
      </c>
      <c r="D64" s="160">
        <v>130422</v>
      </c>
      <c r="E64" s="160">
        <f t="shared" ref="E64:E75" si="6">D64-C64</f>
        <v>-2</v>
      </c>
      <c r="F64" s="156">
        <f t="shared" si="5"/>
        <v>-1.5334600993682144E-5</v>
      </c>
      <c r="G64" s="160">
        <v>130422</v>
      </c>
      <c r="H64" s="185"/>
    </row>
    <row r="65" spans="1:8" ht="15" customHeight="1" x14ac:dyDescent="0.25">
      <c r="A65" s="161" t="s">
        <v>57</v>
      </c>
      <c r="B65" s="160">
        <v>10732191.640000001</v>
      </c>
      <c r="C65" s="160">
        <v>12569435</v>
      </c>
      <c r="D65" s="160">
        <v>12535919</v>
      </c>
      <c r="E65" s="160">
        <f t="shared" si="6"/>
        <v>-33516</v>
      </c>
      <c r="F65" s="156">
        <f t="shared" si="5"/>
        <v>-2.6664683018767349E-3</v>
      </c>
      <c r="G65" s="160">
        <v>12535919</v>
      </c>
      <c r="H65" s="185"/>
    </row>
    <row r="66" spans="1:8" ht="15" customHeight="1" x14ac:dyDescent="0.25">
      <c r="A66" s="161" t="s">
        <v>58</v>
      </c>
      <c r="B66" s="160">
        <v>4667907</v>
      </c>
      <c r="C66" s="160">
        <v>4861974</v>
      </c>
      <c r="D66" s="160">
        <v>4184370</v>
      </c>
      <c r="E66" s="160">
        <f t="shared" si="6"/>
        <v>-677604</v>
      </c>
      <c r="F66" s="156">
        <f t="shared" si="5"/>
        <v>-0.13936808382767987</v>
      </c>
      <c r="G66" s="160">
        <v>4184370</v>
      </c>
      <c r="H66" s="185"/>
    </row>
    <row r="67" spans="1:8" ht="15" customHeight="1" x14ac:dyDescent="0.25">
      <c r="A67" s="161" t="s">
        <v>59</v>
      </c>
      <c r="B67" s="160">
        <v>12338723</v>
      </c>
      <c r="C67" s="160">
        <v>12771568</v>
      </c>
      <c r="D67" s="160">
        <v>11705290</v>
      </c>
      <c r="E67" s="160">
        <f t="shared" si="6"/>
        <v>-1066278</v>
      </c>
      <c r="F67" s="156">
        <f t="shared" si="5"/>
        <v>-8.3488417397143411E-2</v>
      </c>
      <c r="G67" s="160">
        <v>11705290</v>
      </c>
      <c r="H67" s="185"/>
    </row>
    <row r="68" spans="1:8" ht="15" customHeight="1" x14ac:dyDescent="0.25">
      <c r="A68" s="161" t="s">
        <v>60</v>
      </c>
      <c r="B68" s="160">
        <v>34966870</v>
      </c>
      <c r="C68" s="160">
        <v>35921923</v>
      </c>
      <c r="D68" s="160">
        <v>28995516</v>
      </c>
      <c r="E68" s="160">
        <f t="shared" si="6"/>
        <v>-6926407</v>
      </c>
      <c r="F68" s="156">
        <f t="shared" si="5"/>
        <v>-0.19281838001824123</v>
      </c>
      <c r="G68" s="160">
        <v>35391753</v>
      </c>
      <c r="H68" s="185"/>
    </row>
    <row r="69" spans="1:8" ht="15" customHeight="1" x14ac:dyDescent="0.25">
      <c r="A69" s="161" t="s">
        <v>61</v>
      </c>
      <c r="B69" s="160">
        <v>9412494</v>
      </c>
      <c r="C69" s="160">
        <v>10503367</v>
      </c>
      <c r="D69" s="160">
        <v>11000989</v>
      </c>
      <c r="E69" s="160">
        <f t="shared" si="6"/>
        <v>497622</v>
      </c>
      <c r="F69" s="156">
        <f t="shared" si="5"/>
        <v>4.737737908234569E-2</v>
      </c>
      <c r="G69" s="160">
        <v>11000989</v>
      </c>
      <c r="H69" s="185"/>
    </row>
    <row r="70" spans="1:8" s="124" customFormat="1" ht="15" customHeight="1" x14ac:dyDescent="0.25">
      <c r="A70" s="180" t="s">
        <v>62</v>
      </c>
      <c r="B70" s="166">
        <v>121788594.64</v>
      </c>
      <c r="C70" s="166">
        <v>135916724</v>
      </c>
      <c r="D70" s="166">
        <v>122527229</v>
      </c>
      <c r="E70" s="160">
        <f t="shared" si="6"/>
        <v>-13389495</v>
      </c>
      <c r="F70" s="167">
        <f t="shared" si="5"/>
        <v>-9.851249063360297E-2</v>
      </c>
      <c r="G70" s="166">
        <v>128923466</v>
      </c>
      <c r="H70" s="215"/>
    </row>
    <row r="71" spans="1:8" ht="15" customHeight="1" x14ac:dyDescent="0.25">
      <c r="A71" s="161" t="s">
        <v>63</v>
      </c>
      <c r="B71" s="160">
        <v>0</v>
      </c>
      <c r="C71" s="160">
        <v>0</v>
      </c>
      <c r="D71" s="160">
        <v>0</v>
      </c>
      <c r="E71" s="160">
        <f t="shared" si="6"/>
        <v>0</v>
      </c>
      <c r="F71" s="156">
        <f t="shared" si="5"/>
        <v>0</v>
      </c>
      <c r="G71" s="160">
        <v>0</v>
      </c>
      <c r="H71" s="185"/>
    </row>
    <row r="72" spans="1:8" ht="15" customHeight="1" x14ac:dyDescent="0.25">
      <c r="A72" s="161" t="s">
        <v>64</v>
      </c>
      <c r="B72" s="160">
        <v>0</v>
      </c>
      <c r="C72" s="160">
        <v>0</v>
      </c>
      <c r="D72" s="160">
        <v>0</v>
      </c>
      <c r="E72" s="160">
        <f t="shared" si="6"/>
        <v>0</v>
      </c>
      <c r="F72" s="156">
        <f t="shared" si="5"/>
        <v>0</v>
      </c>
      <c r="G72" s="160">
        <v>0</v>
      </c>
      <c r="H72" s="185"/>
    </row>
    <row r="73" spans="1:8" ht="15" customHeight="1" x14ac:dyDescent="0.25">
      <c r="A73" s="161" t="s">
        <v>65</v>
      </c>
      <c r="B73" s="160">
        <v>3392640</v>
      </c>
      <c r="C73" s="160">
        <v>3392640</v>
      </c>
      <c r="D73" s="160">
        <v>3142640</v>
      </c>
      <c r="E73" s="160">
        <f t="shared" si="6"/>
        <v>-250000</v>
      </c>
      <c r="F73" s="156">
        <f t="shared" si="5"/>
        <v>-7.3688926617619319E-2</v>
      </c>
      <c r="G73" s="160">
        <v>3142640</v>
      </c>
      <c r="H73" s="185"/>
    </row>
    <row r="74" spans="1:8" ht="15" customHeight="1" x14ac:dyDescent="0.25">
      <c r="A74" s="161" t="s">
        <v>66</v>
      </c>
      <c r="B74" s="160">
        <v>0</v>
      </c>
      <c r="C74" s="160">
        <v>0</v>
      </c>
      <c r="D74" s="160">
        <v>0</v>
      </c>
      <c r="E74" s="160">
        <f t="shared" si="6"/>
        <v>0</v>
      </c>
      <c r="F74" s="156">
        <f t="shared" si="5"/>
        <v>0</v>
      </c>
      <c r="G74" s="160">
        <v>0</v>
      </c>
      <c r="H74" s="185"/>
    </row>
    <row r="75" spans="1:8" s="124" customFormat="1" ht="15" customHeight="1" x14ac:dyDescent="0.25">
      <c r="A75" s="181" t="s">
        <v>67</v>
      </c>
      <c r="B75" s="182">
        <v>125181234.64</v>
      </c>
      <c r="C75" s="182">
        <v>139309364</v>
      </c>
      <c r="D75" s="182">
        <v>125669869</v>
      </c>
      <c r="E75" s="234">
        <f t="shared" si="6"/>
        <v>-13639495</v>
      </c>
      <c r="F75" s="167">
        <f t="shared" si="5"/>
        <v>-9.79079554192782E-2</v>
      </c>
      <c r="G75" s="182">
        <v>132066106</v>
      </c>
      <c r="H75" s="215"/>
    </row>
    <row r="76" spans="1:8" ht="15" customHeight="1" x14ac:dyDescent="0.25">
      <c r="A76" s="179"/>
      <c r="B76" s="151"/>
      <c r="C76" s="151"/>
      <c r="D76" s="151"/>
      <c r="E76" s="151"/>
      <c r="F76" s="153"/>
      <c r="G76" s="151"/>
      <c r="H76" s="185"/>
    </row>
    <row r="77" spans="1:8" ht="15" customHeight="1" x14ac:dyDescent="0.25">
      <c r="A77" s="177" t="s">
        <v>68</v>
      </c>
      <c r="B77" s="151"/>
      <c r="C77" s="151"/>
      <c r="D77" s="151"/>
      <c r="E77" s="151"/>
      <c r="F77" s="153"/>
      <c r="G77" s="151"/>
      <c r="H77" s="185"/>
    </row>
    <row r="78" spans="1:8" ht="15" customHeight="1" x14ac:dyDescent="0.25">
      <c r="A78" s="159" t="s">
        <v>69</v>
      </c>
      <c r="B78" s="155">
        <v>51205301</v>
      </c>
      <c r="C78" s="155">
        <v>56749374</v>
      </c>
      <c r="D78" s="155">
        <v>52849860</v>
      </c>
      <c r="E78" s="151">
        <f>D78-C78</f>
        <v>-3899514</v>
      </c>
      <c r="F78" s="156">
        <f t="shared" ref="F78:F96" si="7">IF(ISBLANK(E78),"  ",IF(C78&gt;0,E78/C78,IF(E78&gt;0,1,0)))</f>
        <v>-6.8714661063926444E-2</v>
      </c>
      <c r="G78" s="155">
        <v>52849860</v>
      </c>
      <c r="H78" s="185"/>
    </row>
    <row r="79" spans="1:8" ht="15" customHeight="1" x14ac:dyDescent="0.25">
      <c r="A79" s="161" t="s">
        <v>70</v>
      </c>
      <c r="B79" s="158">
        <v>1441515</v>
      </c>
      <c r="C79" s="158">
        <v>1731094</v>
      </c>
      <c r="D79" s="158">
        <v>1731094</v>
      </c>
      <c r="E79" s="160">
        <f>D79-C79</f>
        <v>0</v>
      </c>
      <c r="F79" s="156">
        <f t="shared" si="7"/>
        <v>0</v>
      </c>
      <c r="G79" s="158">
        <v>1731094</v>
      </c>
      <c r="H79" s="185"/>
    </row>
    <row r="80" spans="1:8" ht="15" customHeight="1" x14ac:dyDescent="0.25">
      <c r="A80" s="161" t="s">
        <v>71</v>
      </c>
      <c r="B80" s="151">
        <v>22421550</v>
      </c>
      <c r="C80" s="151">
        <v>25927361</v>
      </c>
      <c r="D80" s="151">
        <v>24018828</v>
      </c>
      <c r="E80" s="160">
        <f t="shared" ref="E80:E95" si="8">D80-C80</f>
        <v>-1908533</v>
      </c>
      <c r="F80" s="156">
        <f t="shared" si="7"/>
        <v>-7.3610769719293839E-2</v>
      </c>
      <c r="G80" s="151">
        <v>24018828</v>
      </c>
      <c r="H80" s="185"/>
    </row>
    <row r="81" spans="1:8" s="124" customFormat="1" ht="15" customHeight="1" x14ac:dyDescent="0.25">
      <c r="A81" s="180" t="s">
        <v>72</v>
      </c>
      <c r="B81" s="182">
        <v>75068366</v>
      </c>
      <c r="C81" s="182">
        <v>84407829</v>
      </c>
      <c r="D81" s="182">
        <v>78599782</v>
      </c>
      <c r="E81" s="166">
        <f t="shared" si="8"/>
        <v>-5808047</v>
      </c>
      <c r="F81" s="167">
        <f t="shared" si="7"/>
        <v>-6.8809339948786033E-2</v>
      </c>
      <c r="G81" s="182">
        <v>78599782</v>
      </c>
      <c r="H81" s="215"/>
    </row>
    <row r="82" spans="1:8" ht="15" customHeight="1" x14ac:dyDescent="0.25">
      <c r="A82" s="161" t="s">
        <v>73</v>
      </c>
      <c r="B82" s="158">
        <v>370472</v>
      </c>
      <c r="C82" s="158">
        <v>628650</v>
      </c>
      <c r="D82" s="158">
        <v>516607</v>
      </c>
      <c r="E82" s="160">
        <f t="shared" si="8"/>
        <v>-112043</v>
      </c>
      <c r="F82" s="156">
        <f t="shared" si="7"/>
        <v>-0.17822794877912987</v>
      </c>
      <c r="G82" s="158">
        <v>516607</v>
      </c>
      <c r="H82" s="185"/>
    </row>
    <row r="83" spans="1:8" ht="15" customHeight="1" x14ac:dyDescent="0.25">
      <c r="A83" s="161" t="s">
        <v>74</v>
      </c>
      <c r="B83" s="155">
        <v>6163352</v>
      </c>
      <c r="C83" s="155">
        <v>7494148</v>
      </c>
      <c r="D83" s="155">
        <v>8098290</v>
      </c>
      <c r="E83" s="160">
        <f t="shared" si="8"/>
        <v>604142</v>
      </c>
      <c r="F83" s="156">
        <f t="shared" si="7"/>
        <v>8.0615167995080964E-2</v>
      </c>
      <c r="G83" s="155">
        <v>8098290</v>
      </c>
      <c r="H83" s="185"/>
    </row>
    <row r="84" spans="1:8" ht="15" customHeight="1" x14ac:dyDescent="0.25">
      <c r="A84" s="161" t="s">
        <v>75</v>
      </c>
      <c r="B84" s="151">
        <v>1175056</v>
      </c>
      <c r="C84" s="151">
        <v>1822330</v>
      </c>
      <c r="D84" s="151">
        <v>1797865</v>
      </c>
      <c r="E84" s="160">
        <f t="shared" si="8"/>
        <v>-24465</v>
      </c>
      <c r="F84" s="156">
        <f t="shared" si="7"/>
        <v>-1.3425120587379893E-2</v>
      </c>
      <c r="G84" s="151">
        <v>1797865</v>
      </c>
      <c r="H84" s="185"/>
    </row>
    <row r="85" spans="1:8" s="124" customFormat="1" ht="15" customHeight="1" x14ac:dyDescent="0.25">
      <c r="A85" s="164" t="s">
        <v>76</v>
      </c>
      <c r="B85" s="182">
        <v>7708880</v>
      </c>
      <c r="C85" s="182">
        <v>9945128</v>
      </c>
      <c r="D85" s="182">
        <v>10412762</v>
      </c>
      <c r="E85" s="166">
        <f t="shared" si="8"/>
        <v>467634</v>
      </c>
      <c r="F85" s="167">
        <f t="shared" si="7"/>
        <v>4.7021415913400005E-2</v>
      </c>
      <c r="G85" s="182">
        <v>10412762</v>
      </c>
      <c r="H85" s="215"/>
    </row>
    <row r="86" spans="1:8" ht="15" customHeight="1" x14ac:dyDescent="0.25">
      <c r="A86" s="161" t="s">
        <v>77</v>
      </c>
      <c r="B86" s="151">
        <v>169224.64</v>
      </c>
      <c r="C86" s="151">
        <v>188000</v>
      </c>
      <c r="D86" s="151">
        <v>252162</v>
      </c>
      <c r="E86" s="160">
        <f t="shared" si="8"/>
        <v>64162</v>
      </c>
      <c r="F86" s="156">
        <f t="shared" si="7"/>
        <v>0.34128723404255318</v>
      </c>
      <c r="G86" s="151">
        <v>252162</v>
      </c>
      <c r="H86" s="185"/>
    </row>
    <row r="87" spans="1:8" ht="15" customHeight="1" x14ac:dyDescent="0.25">
      <c r="A87" s="161" t="s">
        <v>78</v>
      </c>
      <c r="B87" s="160">
        <v>38951857</v>
      </c>
      <c r="C87" s="160">
        <v>40155911</v>
      </c>
      <c r="D87" s="160">
        <v>32648606</v>
      </c>
      <c r="E87" s="160">
        <f t="shared" si="8"/>
        <v>-7507305</v>
      </c>
      <c r="F87" s="156">
        <f t="shared" si="7"/>
        <v>-0.18695392068181443</v>
      </c>
      <c r="G87" s="160">
        <v>39044843</v>
      </c>
      <c r="H87" s="185"/>
    </row>
    <row r="88" spans="1:8" ht="15" customHeight="1" x14ac:dyDescent="0.25">
      <c r="A88" s="161" t="s">
        <v>79</v>
      </c>
      <c r="B88" s="160">
        <v>0</v>
      </c>
      <c r="C88" s="160">
        <v>0</v>
      </c>
      <c r="D88" s="160">
        <v>0</v>
      </c>
      <c r="E88" s="160">
        <f t="shared" si="8"/>
        <v>0</v>
      </c>
      <c r="F88" s="156">
        <f t="shared" si="7"/>
        <v>0</v>
      </c>
      <c r="G88" s="160">
        <v>0</v>
      </c>
      <c r="H88" s="185"/>
    </row>
    <row r="89" spans="1:8" ht="15" customHeight="1" x14ac:dyDescent="0.25">
      <c r="A89" s="161" t="s">
        <v>80</v>
      </c>
      <c r="B89" s="160">
        <v>1595402</v>
      </c>
      <c r="C89" s="160">
        <v>2760150</v>
      </c>
      <c r="D89" s="160">
        <v>1913211</v>
      </c>
      <c r="E89" s="160">
        <f t="shared" si="8"/>
        <v>-846939</v>
      </c>
      <c r="F89" s="156">
        <f t="shared" si="7"/>
        <v>-0.30684528014781803</v>
      </c>
      <c r="G89" s="160">
        <v>1913211</v>
      </c>
      <c r="H89" s="185"/>
    </row>
    <row r="90" spans="1:8" s="124" customFormat="1" ht="15" customHeight="1" x14ac:dyDescent="0.25">
      <c r="A90" s="164" t="s">
        <v>81</v>
      </c>
      <c r="B90" s="166">
        <v>40716483.640000001</v>
      </c>
      <c r="C90" s="166">
        <v>43104061</v>
      </c>
      <c r="D90" s="166">
        <v>34813979</v>
      </c>
      <c r="E90" s="166">
        <f t="shared" si="8"/>
        <v>-8290082</v>
      </c>
      <c r="F90" s="167">
        <f t="shared" si="7"/>
        <v>-0.19232716843083533</v>
      </c>
      <c r="G90" s="166">
        <v>41210216</v>
      </c>
      <c r="H90" s="215"/>
    </row>
    <row r="91" spans="1:8" ht="15" customHeight="1" x14ac:dyDescent="0.25">
      <c r="A91" s="161" t="s">
        <v>82</v>
      </c>
      <c r="B91" s="160">
        <v>259294</v>
      </c>
      <c r="C91" s="160">
        <v>416025</v>
      </c>
      <c r="D91" s="160">
        <v>407025</v>
      </c>
      <c r="E91" s="160">
        <f t="shared" si="8"/>
        <v>-9000</v>
      </c>
      <c r="F91" s="156">
        <f t="shared" si="7"/>
        <v>-2.1633315305570579E-2</v>
      </c>
      <c r="G91" s="160">
        <v>407025</v>
      </c>
      <c r="H91" s="185"/>
    </row>
    <row r="92" spans="1:8" ht="15" customHeight="1" x14ac:dyDescent="0.25">
      <c r="A92" s="161" t="s">
        <v>83</v>
      </c>
      <c r="B92" s="160">
        <v>1428211</v>
      </c>
      <c r="C92" s="160">
        <v>1436321</v>
      </c>
      <c r="D92" s="160">
        <v>1436321</v>
      </c>
      <c r="E92" s="160">
        <f t="shared" si="8"/>
        <v>0</v>
      </c>
      <c r="F92" s="156">
        <f t="shared" si="7"/>
        <v>0</v>
      </c>
      <c r="G92" s="160">
        <v>1436321</v>
      </c>
      <c r="H92" s="185"/>
    </row>
    <row r="93" spans="1:8" ht="15" customHeight="1" x14ac:dyDescent="0.25">
      <c r="A93" s="169" t="s">
        <v>84</v>
      </c>
      <c r="B93" s="160">
        <v>0</v>
      </c>
      <c r="C93" s="160">
        <v>0</v>
      </c>
      <c r="D93" s="160">
        <v>0</v>
      </c>
      <c r="E93" s="160">
        <f t="shared" si="8"/>
        <v>0</v>
      </c>
      <c r="F93" s="156">
        <f t="shared" si="7"/>
        <v>0</v>
      </c>
      <c r="G93" s="160">
        <v>0</v>
      </c>
      <c r="H93" s="185"/>
    </row>
    <row r="94" spans="1:8" s="124" customFormat="1" ht="15" customHeight="1" x14ac:dyDescent="0.25">
      <c r="A94" s="183" t="s">
        <v>85</v>
      </c>
      <c r="B94" s="182">
        <v>1687505</v>
      </c>
      <c r="C94" s="182">
        <v>1852346</v>
      </c>
      <c r="D94" s="182">
        <v>1843346</v>
      </c>
      <c r="E94" s="160">
        <f t="shared" si="8"/>
        <v>-9000</v>
      </c>
      <c r="F94" s="167">
        <f t="shared" si="7"/>
        <v>-4.8587035035571107E-3</v>
      </c>
      <c r="G94" s="182">
        <v>1843346</v>
      </c>
      <c r="H94" s="215"/>
    </row>
    <row r="95" spans="1:8" ht="15" customHeight="1" x14ac:dyDescent="0.25">
      <c r="A95" s="169" t="s">
        <v>86</v>
      </c>
      <c r="B95" s="160">
        <v>0</v>
      </c>
      <c r="C95" s="160">
        <v>0</v>
      </c>
      <c r="D95" s="160">
        <v>0</v>
      </c>
      <c r="E95" s="160">
        <f t="shared" si="8"/>
        <v>0</v>
      </c>
      <c r="F95" s="156">
        <f t="shared" si="7"/>
        <v>0</v>
      </c>
      <c r="G95" s="160">
        <v>0</v>
      </c>
      <c r="H95" s="185"/>
    </row>
    <row r="96" spans="1:8" s="124" customFormat="1" ht="15" customHeight="1" thickBot="1" x14ac:dyDescent="0.3">
      <c r="A96" s="203" t="s">
        <v>67</v>
      </c>
      <c r="B96" s="204">
        <v>125181234.64</v>
      </c>
      <c r="C96" s="204">
        <v>139309364</v>
      </c>
      <c r="D96" s="204">
        <v>125669869</v>
      </c>
      <c r="E96" s="204">
        <f>D96-C96</f>
        <v>-13639495</v>
      </c>
      <c r="F96" s="205">
        <f t="shared" si="7"/>
        <v>-9.79079554192782E-2</v>
      </c>
      <c r="G96" s="204">
        <v>132066106</v>
      </c>
      <c r="H96" s="215"/>
    </row>
    <row r="97" spans="1:9" ht="15" customHeight="1" thickTop="1" x14ac:dyDescent="0.25">
      <c r="A97" s="184"/>
      <c r="B97" s="185"/>
      <c r="C97" s="185"/>
      <c r="D97" s="185"/>
      <c r="E97" s="185"/>
      <c r="F97" s="186" t="s">
        <v>46</v>
      </c>
      <c r="G97" s="142"/>
      <c r="H97" s="142"/>
      <c r="I97" s="142"/>
    </row>
    <row r="98" spans="1:9" x14ac:dyDescent="0.25">
      <c r="A98" s="139" t="s">
        <v>197</v>
      </c>
    </row>
    <row r="99" spans="1:9" x14ac:dyDescent="0.25">
      <c r="A99" s="139" t="s">
        <v>190</v>
      </c>
    </row>
  </sheetData>
  <mergeCells count="1">
    <mergeCell ref="G2:G3"/>
  </mergeCells>
  <hyperlinks>
    <hyperlink ref="I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39" customWidth="1"/>
    <col min="2" max="5" width="23.7109375" style="187" customWidth="1"/>
    <col min="6" max="6" width="23.7109375" style="188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97</v>
      </c>
      <c r="F1" s="50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143" t="s">
        <v>4</v>
      </c>
      <c r="B4" s="144" t="s">
        <v>5</v>
      </c>
      <c r="C4" s="145" t="s">
        <v>6</v>
      </c>
      <c r="D4" s="145" t="s">
        <v>6</v>
      </c>
      <c r="E4" s="145" t="s">
        <v>7</v>
      </c>
      <c r="F4" s="146" t="s">
        <v>8</v>
      </c>
      <c r="G4" s="145" t="s">
        <v>210</v>
      </c>
      <c r="H4" s="229"/>
    </row>
    <row r="5" spans="1:9" s="140" customFormat="1" ht="15" customHeight="1" x14ac:dyDescent="0.25">
      <c r="A5" s="147"/>
      <c r="B5" s="148" t="s">
        <v>192</v>
      </c>
      <c r="C5" s="148" t="s">
        <v>198</v>
      </c>
      <c r="D5" s="148" t="s">
        <v>199</v>
      </c>
      <c r="E5" s="148" t="s">
        <v>192</v>
      </c>
      <c r="F5" s="149" t="s">
        <v>9</v>
      </c>
      <c r="G5" s="148" t="s">
        <v>211</v>
      </c>
      <c r="H5" s="230"/>
    </row>
    <row r="6" spans="1:9" ht="15" customHeight="1" x14ac:dyDescent="0.25">
      <c r="A6" s="150" t="s">
        <v>10</v>
      </c>
      <c r="B6" s="151"/>
      <c r="C6" s="151"/>
      <c r="D6" s="151"/>
      <c r="E6" s="151"/>
      <c r="F6" s="152"/>
      <c r="G6" s="151"/>
      <c r="H6" s="185"/>
    </row>
    <row r="7" spans="1:9" ht="15" customHeight="1" x14ac:dyDescent="0.25">
      <c r="A7" s="150" t="s">
        <v>11</v>
      </c>
      <c r="B7" s="151"/>
      <c r="C7" s="151"/>
      <c r="D7" s="151"/>
      <c r="E7" s="151"/>
      <c r="F7" s="153"/>
      <c r="G7" s="151"/>
      <c r="H7" s="185"/>
    </row>
    <row r="8" spans="1:9" ht="15" customHeight="1" x14ac:dyDescent="0.25">
      <c r="A8" s="154" t="s">
        <v>12</v>
      </c>
      <c r="B8" s="155">
        <v>16605889</v>
      </c>
      <c r="C8" s="155">
        <v>16605889</v>
      </c>
      <c r="D8" s="155">
        <v>11684605</v>
      </c>
      <c r="E8" s="155">
        <f>D8-C8</f>
        <v>-4921284</v>
      </c>
      <c r="F8" s="156">
        <f t="shared" ref="F8:F31" si="0">IF(ISBLANK(E8),"  ",IF(C8&gt;0,E8/C8,IF(E8&gt;0,1,0)))</f>
        <v>-0.29635775597440162</v>
      </c>
      <c r="G8" s="155">
        <v>11684605</v>
      </c>
      <c r="H8" s="185"/>
    </row>
    <row r="9" spans="1:9" ht="15" customHeight="1" x14ac:dyDescent="0.25">
      <c r="A9" s="154" t="s">
        <v>13</v>
      </c>
      <c r="B9" s="155">
        <v>0</v>
      </c>
      <c r="C9" s="155">
        <v>0</v>
      </c>
      <c r="D9" s="155">
        <v>0</v>
      </c>
      <c r="E9" s="155">
        <f t="shared" ref="E9:E31" si="1">D9-C9</f>
        <v>0</v>
      </c>
      <c r="F9" s="156">
        <f t="shared" si="0"/>
        <v>0</v>
      </c>
      <c r="G9" s="155">
        <v>0</v>
      </c>
      <c r="H9" s="185"/>
    </row>
    <row r="10" spans="1:9" ht="15" customHeight="1" x14ac:dyDescent="0.25">
      <c r="A10" s="157" t="s">
        <v>14</v>
      </c>
      <c r="B10" s="158">
        <v>3089691.8</v>
      </c>
      <c r="C10" s="158">
        <v>3353681</v>
      </c>
      <c r="D10" s="158">
        <v>2958140</v>
      </c>
      <c r="E10" s="155">
        <f t="shared" si="1"/>
        <v>-395541</v>
      </c>
      <c r="F10" s="156">
        <f t="shared" si="0"/>
        <v>-0.11794234454618671</v>
      </c>
      <c r="G10" s="158">
        <v>2958140</v>
      </c>
      <c r="H10" s="185"/>
    </row>
    <row r="11" spans="1:9" ht="15" customHeight="1" x14ac:dyDescent="0.25">
      <c r="A11" s="159" t="s">
        <v>15</v>
      </c>
      <c r="B11" s="160">
        <v>0</v>
      </c>
      <c r="C11" s="160">
        <v>0</v>
      </c>
      <c r="D11" s="160">
        <v>0</v>
      </c>
      <c r="E11" s="155">
        <f t="shared" si="1"/>
        <v>0</v>
      </c>
      <c r="F11" s="156">
        <f t="shared" si="0"/>
        <v>0</v>
      </c>
      <c r="G11" s="160">
        <v>0</v>
      </c>
      <c r="H11" s="185"/>
    </row>
    <row r="12" spans="1:9" ht="15" customHeight="1" x14ac:dyDescent="0.25">
      <c r="A12" s="161" t="s">
        <v>16</v>
      </c>
      <c r="B12" s="160">
        <v>1068901.54</v>
      </c>
      <c r="C12" s="160">
        <v>1269937</v>
      </c>
      <c r="D12" s="160">
        <v>1087875</v>
      </c>
      <c r="E12" s="155">
        <f t="shared" si="1"/>
        <v>-182062</v>
      </c>
      <c r="F12" s="156">
        <f t="shared" si="0"/>
        <v>-0.14336301722053929</v>
      </c>
      <c r="G12" s="160">
        <v>1087875</v>
      </c>
      <c r="H12" s="185"/>
    </row>
    <row r="13" spans="1:9" ht="15" customHeight="1" x14ac:dyDescent="0.25">
      <c r="A13" s="161" t="s">
        <v>17</v>
      </c>
      <c r="B13" s="160">
        <v>0</v>
      </c>
      <c r="C13" s="160">
        <v>0</v>
      </c>
      <c r="D13" s="160">
        <v>0</v>
      </c>
      <c r="E13" s="155">
        <f t="shared" si="1"/>
        <v>0</v>
      </c>
      <c r="F13" s="156">
        <f t="shared" si="0"/>
        <v>0</v>
      </c>
      <c r="G13" s="160">
        <v>0</v>
      </c>
      <c r="H13" s="185"/>
    </row>
    <row r="14" spans="1:9" ht="15" customHeight="1" x14ac:dyDescent="0.25">
      <c r="A14" s="161" t="s">
        <v>18</v>
      </c>
      <c r="B14" s="160">
        <v>428916.25999999995</v>
      </c>
      <c r="C14" s="160">
        <v>491870</v>
      </c>
      <c r="D14" s="160">
        <v>236138</v>
      </c>
      <c r="E14" s="155">
        <f t="shared" si="1"/>
        <v>-255732</v>
      </c>
      <c r="F14" s="156">
        <f t="shared" si="0"/>
        <v>-0.51991786447638599</v>
      </c>
      <c r="G14" s="160">
        <v>236138</v>
      </c>
      <c r="H14" s="185"/>
    </row>
    <row r="15" spans="1:9" ht="15" customHeight="1" x14ac:dyDescent="0.25">
      <c r="A15" s="161" t="s">
        <v>19</v>
      </c>
      <c r="B15" s="160">
        <v>1591874</v>
      </c>
      <c r="C15" s="160">
        <v>1591874</v>
      </c>
      <c r="D15" s="160">
        <v>1634127</v>
      </c>
      <c r="E15" s="155">
        <f t="shared" si="1"/>
        <v>42253</v>
      </c>
      <c r="F15" s="156">
        <f t="shared" si="0"/>
        <v>2.6542929905256321E-2</v>
      </c>
      <c r="G15" s="160">
        <v>1634127</v>
      </c>
      <c r="H15" s="185"/>
    </row>
    <row r="16" spans="1:9" ht="15" customHeight="1" x14ac:dyDescent="0.25">
      <c r="A16" s="161" t="s">
        <v>20</v>
      </c>
      <c r="B16" s="160">
        <v>0</v>
      </c>
      <c r="C16" s="160">
        <v>0</v>
      </c>
      <c r="D16" s="160">
        <v>0</v>
      </c>
      <c r="E16" s="155">
        <f t="shared" si="1"/>
        <v>0</v>
      </c>
      <c r="F16" s="156">
        <f t="shared" si="0"/>
        <v>0</v>
      </c>
      <c r="G16" s="160">
        <v>0</v>
      </c>
      <c r="H16" s="185"/>
    </row>
    <row r="17" spans="1:8" ht="15" customHeight="1" x14ac:dyDescent="0.25">
      <c r="A17" s="161" t="s">
        <v>21</v>
      </c>
      <c r="B17" s="160">
        <v>0</v>
      </c>
      <c r="C17" s="160">
        <v>0</v>
      </c>
      <c r="D17" s="160">
        <v>0</v>
      </c>
      <c r="E17" s="155">
        <f t="shared" si="1"/>
        <v>0</v>
      </c>
      <c r="F17" s="156">
        <f t="shared" si="0"/>
        <v>0</v>
      </c>
      <c r="G17" s="160">
        <v>0</v>
      </c>
      <c r="H17" s="185"/>
    </row>
    <row r="18" spans="1:8" ht="15" customHeight="1" x14ac:dyDescent="0.25">
      <c r="A18" s="161" t="s">
        <v>22</v>
      </c>
      <c r="B18" s="160">
        <v>0</v>
      </c>
      <c r="C18" s="160">
        <v>0</v>
      </c>
      <c r="D18" s="160">
        <v>0</v>
      </c>
      <c r="E18" s="155">
        <f t="shared" si="1"/>
        <v>0</v>
      </c>
      <c r="F18" s="156">
        <f t="shared" si="0"/>
        <v>0</v>
      </c>
      <c r="G18" s="160">
        <v>0</v>
      </c>
      <c r="H18" s="185"/>
    </row>
    <row r="19" spans="1:8" ht="15" customHeight="1" x14ac:dyDescent="0.25">
      <c r="A19" s="161" t="s">
        <v>23</v>
      </c>
      <c r="B19" s="160">
        <v>0</v>
      </c>
      <c r="C19" s="160">
        <v>0</v>
      </c>
      <c r="D19" s="160">
        <v>0</v>
      </c>
      <c r="E19" s="155">
        <f t="shared" si="1"/>
        <v>0</v>
      </c>
      <c r="F19" s="156">
        <f t="shared" si="0"/>
        <v>0</v>
      </c>
      <c r="G19" s="160">
        <v>0</v>
      </c>
      <c r="H19" s="185"/>
    </row>
    <row r="20" spans="1:8" ht="15" customHeight="1" x14ac:dyDescent="0.25">
      <c r="A20" s="161" t="s">
        <v>24</v>
      </c>
      <c r="B20" s="160">
        <v>0</v>
      </c>
      <c r="C20" s="160">
        <v>0</v>
      </c>
      <c r="D20" s="160">
        <v>0</v>
      </c>
      <c r="E20" s="155">
        <f t="shared" si="1"/>
        <v>0</v>
      </c>
      <c r="F20" s="156">
        <f t="shared" si="0"/>
        <v>0</v>
      </c>
      <c r="G20" s="160">
        <v>0</v>
      </c>
      <c r="H20" s="185"/>
    </row>
    <row r="21" spans="1:8" ht="15" customHeight="1" x14ac:dyDescent="0.25">
      <c r="A21" s="161" t="s">
        <v>25</v>
      </c>
      <c r="B21" s="160">
        <v>0</v>
      </c>
      <c r="C21" s="160">
        <v>0</v>
      </c>
      <c r="D21" s="160">
        <v>0</v>
      </c>
      <c r="E21" s="155">
        <f t="shared" si="1"/>
        <v>0</v>
      </c>
      <c r="F21" s="156">
        <f t="shared" si="0"/>
        <v>0</v>
      </c>
      <c r="G21" s="160">
        <v>0</v>
      </c>
      <c r="H21" s="185"/>
    </row>
    <row r="22" spans="1:8" ht="15" customHeight="1" x14ac:dyDescent="0.25">
      <c r="A22" s="161" t="s">
        <v>26</v>
      </c>
      <c r="B22" s="160">
        <v>0</v>
      </c>
      <c r="C22" s="160">
        <v>0</v>
      </c>
      <c r="D22" s="160">
        <v>0</v>
      </c>
      <c r="E22" s="155">
        <f t="shared" si="1"/>
        <v>0</v>
      </c>
      <c r="F22" s="156">
        <f t="shared" si="0"/>
        <v>0</v>
      </c>
      <c r="G22" s="160">
        <v>0</v>
      </c>
      <c r="H22" s="185"/>
    </row>
    <row r="23" spans="1:8" ht="15" customHeight="1" x14ac:dyDescent="0.25">
      <c r="A23" s="162" t="s">
        <v>27</v>
      </c>
      <c r="B23" s="160">
        <v>0</v>
      </c>
      <c r="C23" s="160">
        <v>0</v>
      </c>
      <c r="D23" s="160">
        <v>0</v>
      </c>
      <c r="E23" s="155">
        <f t="shared" si="1"/>
        <v>0</v>
      </c>
      <c r="F23" s="156">
        <f t="shared" si="0"/>
        <v>0</v>
      </c>
      <c r="G23" s="160">
        <v>0</v>
      </c>
      <c r="H23" s="185"/>
    </row>
    <row r="24" spans="1:8" ht="15" customHeight="1" x14ac:dyDescent="0.25">
      <c r="A24" s="162" t="s">
        <v>28</v>
      </c>
      <c r="B24" s="160">
        <v>0</v>
      </c>
      <c r="C24" s="160">
        <v>0</v>
      </c>
      <c r="D24" s="160">
        <v>0</v>
      </c>
      <c r="E24" s="155">
        <f t="shared" si="1"/>
        <v>0</v>
      </c>
      <c r="F24" s="156">
        <f t="shared" si="0"/>
        <v>0</v>
      </c>
      <c r="G24" s="160">
        <v>0</v>
      </c>
      <c r="H24" s="185"/>
    </row>
    <row r="25" spans="1:8" ht="15" customHeight="1" x14ac:dyDescent="0.25">
      <c r="A25" s="162" t="s">
        <v>29</v>
      </c>
      <c r="B25" s="160">
        <v>0</v>
      </c>
      <c r="C25" s="160">
        <v>0</v>
      </c>
      <c r="D25" s="160">
        <v>0</v>
      </c>
      <c r="E25" s="155">
        <f t="shared" si="1"/>
        <v>0</v>
      </c>
      <c r="F25" s="156">
        <f t="shared" si="0"/>
        <v>0</v>
      </c>
      <c r="G25" s="160">
        <v>0</v>
      </c>
      <c r="H25" s="185"/>
    </row>
    <row r="26" spans="1:8" ht="15" customHeight="1" x14ac:dyDescent="0.25">
      <c r="A26" s="162" t="s">
        <v>30</v>
      </c>
      <c r="B26" s="160">
        <v>0</v>
      </c>
      <c r="C26" s="160">
        <v>0</v>
      </c>
      <c r="D26" s="160">
        <v>0</v>
      </c>
      <c r="E26" s="155">
        <f t="shared" si="1"/>
        <v>0</v>
      </c>
      <c r="F26" s="156">
        <f t="shared" si="0"/>
        <v>0</v>
      </c>
      <c r="G26" s="160">
        <v>0</v>
      </c>
      <c r="H26" s="185"/>
    </row>
    <row r="27" spans="1:8" ht="15" customHeight="1" x14ac:dyDescent="0.25">
      <c r="A27" s="162" t="s">
        <v>31</v>
      </c>
      <c r="B27" s="160">
        <v>0</v>
      </c>
      <c r="C27" s="160">
        <v>0</v>
      </c>
      <c r="D27" s="160">
        <v>0</v>
      </c>
      <c r="E27" s="155">
        <f t="shared" si="1"/>
        <v>0</v>
      </c>
      <c r="F27" s="156">
        <f t="shared" si="0"/>
        <v>0</v>
      </c>
      <c r="G27" s="160">
        <v>0</v>
      </c>
      <c r="H27" s="185"/>
    </row>
    <row r="28" spans="1:8" ht="15" customHeight="1" x14ac:dyDescent="0.25">
      <c r="A28" s="162" t="s">
        <v>87</v>
      </c>
      <c r="B28" s="160">
        <v>0</v>
      </c>
      <c r="C28" s="160">
        <v>0</v>
      </c>
      <c r="D28" s="160">
        <v>0</v>
      </c>
      <c r="E28" s="155">
        <f t="shared" si="1"/>
        <v>0</v>
      </c>
      <c r="F28" s="156">
        <f t="shared" si="0"/>
        <v>0</v>
      </c>
      <c r="G28" s="160">
        <v>0</v>
      </c>
      <c r="H28" s="185"/>
    </row>
    <row r="29" spans="1:8" ht="15" customHeight="1" x14ac:dyDescent="0.25">
      <c r="A29" s="162" t="s">
        <v>32</v>
      </c>
      <c r="B29" s="160">
        <v>0</v>
      </c>
      <c r="C29" s="160">
        <v>0</v>
      </c>
      <c r="D29" s="160">
        <v>0</v>
      </c>
      <c r="E29" s="155">
        <f t="shared" si="1"/>
        <v>0</v>
      </c>
      <c r="F29" s="156">
        <f t="shared" si="0"/>
        <v>0</v>
      </c>
      <c r="G29" s="160">
        <v>0</v>
      </c>
      <c r="H29" s="185"/>
    </row>
    <row r="30" spans="1:8" ht="15" customHeight="1" x14ac:dyDescent="0.25">
      <c r="A30" s="219" t="s">
        <v>201</v>
      </c>
      <c r="B30" s="160"/>
      <c r="C30" s="160"/>
      <c r="D30" s="160"/>
      <c r="E30" s="155">
        <f t="shared" si="1"/>
        <v>0</v>
      </c>
      <c r="F30" s="156">
        <f t="shared" si="0"/>
        <v>0</v>
      </c>
      <c r="G30" s="160"/>
      <c r="H30" s="185"/>
    </row>
    <row r="31" spans="1:8" ht="15" customHeight="1" x14ac:dyDescent="0.25">
      <c r="A31" s="162" t="s">
        <v>202</v>
      </c>
      <c r="B31" s="160"/>
      <c r="C31" s="160"/>
      <c r="D31" s="160"/>
      <c r="E31" s="155">
        <f t="shared" si="1"/>
        <v>0</v>
      </c>
      <c r="F31" s="156">
        <f t="shared" si="0"/>
        <v>0</v>
      </c>
      <c r="G31" s="160"/>
      <c r="H31" s="185"/>
    </row>
    <row r="32" spans="1:8" ht="15" customHeight="1" x14ac:dyDescent="0.25">
      <c r="A32" s="163" t="s">
        <v>33</v>
      </c>
      <c r="B32" s="160"/>
      <c r="C32" s="160"/>
      <c r="D32" s="160"/>
      <c r="E32" s="160"/>
      <c r="F32" s="152"/>
      <c r="G32" s="160"/>
      <c r="H32" s="185"/>
    </row>
    <row r="33" spans="1:13" ht="15" customHeight="1" x14ac:dyDescent="0.25">
      <c r="A33" s="159" t="s">
        <v>34</v>
      </c>
      <c r="B33" s="155">
        <v>0</v>
      </c>
      <c r="C33" s="155">
        <v>0</v>
      </c>
      <c r="D33" s="155">
        <v>0</v>
      </c>
      <c r="E33" s="155">
        <f>D33-C33</f>
        <v>0</v>
      </c>
      <c r="F33" s="156">
        <f>IF(ISBLANK(E33),"  ",IF(C33&gt;0,E33/C33,IF(E33&gt;0,1,0)))</f>
        <v>0</v>
      </c>
      <c r="G33" s="155">
        <v>0</v>
      </c>
      <c r="H33" s="185"/>
    </row>
    <row r="34" spans="1:13" ht="15" customHeight="1" x14ac:dyDescent="0.25">
      <c r="A34" s="164" t="s">
        <v>35</v>
      </c>
      <c r="B34" s="160"/>
      <c r="C34" s="160"/>
      <c r="D34" s="160"/>
      <c r="E34" s="160"/>
      <c r="F34" s="152"/>
      <c r="G34" s="160"/>
      <c r="H34" s="185"/>
    </row>
    <row r="35" spans="1:13" ht="15" customHeight="1" x14ac:dyDescent="0.25">
      <c r="A35" s="159" t="s">
        <v>34</v>
      </c>
      <c r="B35" s="151">
        <v>0</v>
      </c>
      <c r="C35" s="151">
        <v>0</v>
      </c>
      <c r="D35" s="151">
        <v>0</v>
      </c>
      <c r="E35" s="155">
        <f>D35-C35</f>
        <v>0</v>
      </c>
      <c r="F35" s="156">
        <f>IF(ISBLANK(E35),"  ",IF(C35&gt;0,E35/C35,IF(E35&gt;0,1,0)))</f>
        <v>0</v>
      </c>
      <c r="G35" s="151">
        <v>0</v>
      </c>
      <c r="H35" s="185"/>
    </row>
    <row r="36" spans="1:13" ht="15" customHeight="1" x14ac:dyDescent="0.25">
      <c r="A36" s="161" t="s">
        <v>36</v>
      </c>
      <c r="B36" s="160"/>
      <c r="C36" s="160"/>
      <c r="D36" s="160"/>
      <c r="E36" s="158"/>
      <c r="F36" s="156" t="str">
        <f>IF(ISBLANK(E36),"  ",IF(C36&gt;0,E36/C36,IF(E36&gt;0,1,0)))</f>
        <v xml:space="preserve">  </v>
      </c>
      <c r="G36" s="160"/>
      <c r="H36" s="185"/>
    </row>
    <row r="37" spans="1:13" s="124" customFormat="1" ht="15" customHeight="1" x14ac:dyDescent="0.25">
      <c r="A37" s="165" t="s">
        <v>38</v>
      </c>
      <c r="B37" s="166">
        <f>SUM(B8,B9,B10,B33,B35)</f>
        <v>19695580.800000001</v>
      </c>
      <c r="C37" s="166">
        <f t="shared" ref="C37:D37" si="2">SUM(C8,C9,C10,C33,C35)</f>
        <v>19959570</v>
      </c>
      <c r="D37" s="166">
        <f t="shared" si="2"/>
        <v>14642745</v>
      </c>
      <c r="E37" s="166">
        <f>D37-C37</f>
        <v>-5316825</v>
      </c>
      <c r="F37" s="167">
        <f>IF(ISBLANK(E37),"  ",IF(C37&gt;0,E37/C37,IF(E37&gt;0,1,0)))</f>
        <v>-0.26637973663761294</v>
      </c>
      <c r="G37" s="166">
        <f>SUM(G8,G9,G10,G33,G35)</f>
        <v>14642745</v>
      </c>
      <c r="H37" s="215"/>
    </row>
    <row r="38" spans="1:13" ht="15" customHeight="1" x14ac:dyDescent="0.25">
      <c r="A38" s="163" t="s">
        <v>39</v>
      </c>
      <c r="B38" s="160"/>
      <c r="C38" s="160"/>
      <c r="D38" s="160"/>
      <c r="E38" s="160"/>
      <c r="F38" s="152"/>
      <c r="G38" s="160"/>
      <c r="H38" s="185"/>
    </row>
    <row r="39" spans="1:13" ht="15" customHeight="1" x14ac:dyDescent="0.25">
      <c r="A39" s="168" t="s">
        <v>40</v>
      </c>
      <c r="B39" s="155">
        <v>0</v>
      </c>
      <c r="C39" s="155">
        <v>0</v>
      </c>
      <c r="D39" s="155"/>
      <c r="E39" s="155">
        <f>D39-C39</f>
        <v>0</v>
      </c>
      <c r="F39" s="156">
        <f t="shared" ref="F39:F44" si="3">IF(ISBLANK(E39),"  ",IF(C39&gt;0,E39/C39,IF(E39&gt;0,1,0)))</f>
        <v>0</v>
      </c>
      <c r="G39" s="155">
        <v>0</v>
      </c>
      <c r="H39" s="185"/>
    </row>
    <row r="40" spans="1:13" ht="15" customHeight="1" x14ac:dyDescent="0.25">
      <c r="A40" s="169" t="s">
        <v>41</v>
      </c>
      <c r="B40" s="155">
        <v>0</v>
      </c>
      <c r="C40" s="155">
        <v>0</v>
      </c>
      <c r="D40" s="155"/>
      <c r="E40" s="155">
        <f t="shared" ref="E40:E44" si="4">D40-C40</f>
        <v>0</v>
      </c>
      <c r="F40" s="156">
        <f t="shared" si="3"/>
        <v>0</v>
      </c>
      <c r="G40" s="155">
        <v>0</v>
      </c>
      <c r="H40" s="185"/>
    </row>
    <row r="41" spans="1:13" ht="15" customHeight="1" x14ac:dyDescent="0.25">
      <c r="A41" s="169" t="s">
        <v>42</v>
      </c>
      <c r="B41" s="223">
        <v>4760441</v>
      </c>
      <c r="C41" s="155">
        <v>0</v>
      </c>
      <c r="D41" s="155"/>
      <c r="E41" s="155">
        <f t="shared" si="4"/>
        <v>0</v>
      </c>
      <c r="F41" s="156">
        <f t="shared" si="3"/>
        <v>0</v>
      </c>
      <c r="G41" s="155">
        <v>0</v>
      </c>
      <c r="H41" s="185"/>
    </row>
    <row r="42" spans="1:13" ht="15" customHeight="1" x14ac:dyDescent="0.25">
      <c r="A42" s="169" t="s">
        <v>43</v>
      </c>
      <c r="B42" s="155">
        <v>0</v>
      </c>
      <c r="C42" s="155">
        <v>0</v>
      </c>
      <c r="D42" s="155"/>
      <c r="E42" s="155">
        <f t="shared" si="4"/>
        <v>0</v>
      </c>
      <c r="F42" s="156">
        <f t="shared" si="3"/>
        <v>0</v>
      </c>
      <c r="G42" s="155">
        <v>0</v>
      </c>
      <c r="H42" s="185"/>
    </row>
    <row r="43" spans="1:13" ht="15" customHeight="1" x14ac:dyDescent="0.25">
      <c r="A43" s="170" t="s">
        <v>44</v>
      </c>
      <c r="B43" s="155">
        <v>0</v>
      </c>
      <c r="C43" s="155">
        <v>0</v>
      </c>
      <c r="D43" s="155"/>
      <c r="E43" s="155">
        <f t="shared" si="4"/>
        <v>0</v>
      </c>
      <c r="F43" s="156">
        <f t="shared" si="3"/>
        <v>0</v>
      </c>
      <c r="G43" s="155">
        <v>0</v>
      </c>
      <c r="H43" s="185"/>
    </row>
    <row r="44" spans="1:13" s="124" customFormat="1" ht="15" customHeight="1" x14ac:dyDescent="0.25">
      <c r="A44" s="163" t="s">
        <v>45</v>
      </c>
      <c r="B44" s="171">
        <v>4760441</v>
      </c>
      <c r="C44" s="171">
        <v>0</v>
      </c>
      <c r="D44" s="171">
        <v>0</v>
      </c>
      <c r="E44" s="173">
        <f t="shared" si="4"/>
        <v>0</v>
      </c>
      <c r="F44" s="167">
        <f t="shared" si="3"/>
        <v>0</v>
      </c>
      <c r="G44" s="171">
        <v>0</v>
      </c>
      <c r="H44" s="215"/>
      <c r="M44" s="124" t="s">
        <v>46</v>
      </c>
    </row>
    <row r="45" spans="1:13" ht="15" customHeight="1" x14ac:dyDescent="0.25">
      <c r="A45" s="161" t="s">
        <v>46</v>
      </c>
      <c r="B45" s="160"/>
      <c r="C45" s="160"/>
      <c r="D45" s="160"/>
      <c r="E45" s="160"/>
      <c r="F45" s="152"/>
      <c r="G45" s="160"/>
      <c r="H45" s="185"/>
    </row>
    <row r="46" spans="1:13" s="124" customFormat="1" ht="15" customHeight="1" x14ac:dyDescent="0.25">
      <c r="A46" s="172" t="s">
        <v>47</v>
      </c>
      <c r="B46" s="173">
        <v>0</v>
      </c>
      <c r="C46" s="173">
        <v>0</v>
      </c>
      <c r="D46" s="173">
        <v>0</v>
      </c>
      <c r="E46" s="173">
        <f>D46-C46</f>
        <v>0</v>
      </c>
      <c r="F46" s="167">
        <f>IF(ISBLANK(E46),"  ",IF(C46&gt;0,E46/C46,IF(E46&gt;0,1,0)))</f>
        <v>0</v>
      </c>
      <c r="G46" s="173">
        <v>0</v>
      </c>
      <c r="H46" s="215"/>
    </row>
    <row r="47" spans="1:13" ht="15" customHeight="1" x14ac:dyDescent="0.25">
      <c r="A47" s="161" t="s">
        <v>46</v>
      </c>
      <c r="B47" s="166"/>
      <c r="C47" s="166"/>
      <c r="D47" s="166"/>
      <c r="E47" s="160"/>
      <c r="F47" s="152"/>
      <c r="G47" s="166"/>
      <c r="H47" s="215"/>
    </row>
    <row r="48" spans="1:13" ht="15" customHeight="1" x14ac:dyDescent="0.25">
      <c r="A48" s="172" t="s">
        <v>200</v>
      </c>
      <c r="B48" s="173">
        <v>4760441</v>
      </c>
      <c r="C48" s="173">
        <v>4760441</v>
      </c>
      <c r="D48" s="173">
        <v>0</v>
      </c>
      <c r="E48" s="173">
        <f>D48-C48</f>
        <v>-4760441</v>
      </c>
      <c r="F48" s="167">
        <f>IF(ISBLANK(E48)," ",IF(C48&gt;0,E48/C48,IF(E48&gt;0,1,0)))</f>
        <v>-1</v>
      </c>
      <c r="G48" s="173">
        <v>4760441</v>
      </c>
      <c r="H48" s="215"/>
    </row>
    <row r="49" spans="1:8" ht="15" customHeight="1" x14ac:dyDescent="0.25">
      <c r="A49" s="159"/>
      <c r="B49" s="151"/>
      <c r="C49" s="151"/>
      <c r="D49" s="151"/>
      <c r="E49" s="151"/>
      <c r="F49" s="153"/>
      <c r="G49" s="151"/>
      <c r="H49" s="185"/>
    </row>
    <row r="50" spans="1:8" s="124" customFormat="1" ht="15" customHeight="1" x14ac:dyDescent="0.25">
      <c r="A50" s="172" t="s">
        <v>48</v>
      </c>
      <c r="B50" s="173">
        <v>0</v>
      </c>
      <c r="C50" s="173">
        <v>0</v>
      </c>
      <c r="D50" s="173">
        <v>0</v>
      </c>
      <c r="E50" s="173">
        <f>D50-C50</f>
        <v>0</v>
      </c>
      <c r="F50" s="167">
        <f>IF(ISBLANK(E50),"  ",IF(C50&gt;0,E50/C50,IF(E50&gt;0,1,0)))</f>
        <v>0</v>
      </c>
      <c r="G50" s="173">
        <v>0</v>
      </c>
      <c r="H50" s="215"/>
    </row>
    <row r="51" spans="1:8" ht="15" customHeight="1" x14ac:dyDescent="0.25">
      <c r="A51" s="161" t="s">
        <v>46</v>
      </c>
      <c r="B51" s="160"/>
      <c r="C51" s="160"/>
      <c r="D51" s="160"/>
      <c r="E51" s="160"/>
      <c r="F51" s="152"/>
      <c r="G51" s="160"/>
      <c r="H51" s="185"/>
    </row>
    <row r="52" spans="1:8" s="124" customFormat="1" ht="15" customHeight="1" x14ac:dyDescent="0.25">
      <c r="A52" s="163" t="s">
        <v>49</v>
      </c>
      <c r="B52" s="171">
        <v>47746640.32</v>
      </c>
      <c r="C52" s="171">
        <v>51889120</v>
      </c>
      <c r="D52" s="171">
        <v>53389120</v>
      </c>
      <c r="E52" s="171">
        <f>D52-C52</f>
        <v>1500000</v>
      </c>
      <c r="F52" s="167">
        <f>IF(ISBLANK(E52),"  ",IF(C52&gt;0,E52/C52,IF(E52&gt;0,1,0)))</f>
        <v>2.8907794158004606E-2</v>
      </c>
      <c r="G52" s="171">
        <v>53389120</v>
      </c>
      <c r="H52" s="215"/>
    </row>
    <row r="53" spans="1:8" ht="15" customHeight="1" x14ac:dyDescent="0.25">
      <c r="A53" s="161" t="s">
        <v>46</v>
      </c>
      <c r="B53" s="160"/>
      <c r="C53" s="160"/>
      <c r="D53" s="160"/>
      <c r="E53" s="160"/>
      <c r="F53" s="152"/>
      <c r="G53" s="160"/>
      <c r="H53" s="185"/>
    </row>
    <row r="54" spans="1:8" s="124" customFormat="1" ht="15" customHeight="1" x14ac:dyDescent="0.25">
      <c r="A54" s="174" t="s">
        <v>50</v>
      </c>
      <c r="B54" s="175">
        <v>0</v>
      </c>
      <c r="C54" s="175">
        <v>0</v>
      </c>
      <c r="D54" s="175">
        <v>0</v>
      </c>
      <c r="E54" s="175">
        <f>D54-C54</f>
        <v>0</v>
      </c>
      <c r="F54" s="167">
        <f>IF(ISBLANK(E54),"  ",IF(C54&gt;0,E54/C54,IF(E54&gt;0,1,0)))</f>
        <v>0</v>
      </c>
      <c r="G54" s="175">
        <v>0</v>
      </c>
      <c r="H54" s="215"/>
    </row>
    <row r="55" spans="1:8" ht="15" customHeight="1" x14ac:dyDescent="0.25">
      <c r="A55" s="163"/>
      <c r="B55" s="151"/>
      <c r="C55" s="151"/>
      <c r="D55" s="151"/>
      <c r="E55" s="151"/>
      <c r="F55" s="176"/>
      <c r="G55" s="151"/>
      <c r="H55" s="185"/>
    </row>
    <row r="56" spans="1:8" s="124" customFormat="1" ht="15" customHeight="1" x14ac:dyDescent="0.25">
      <c r="A56" s="163" t="s">
        <v>51</v>
      </c>
      <c r="B56" s="171">
        <v>0</v>
      </c>
      <c r="C56" s="171">
        <v>0</v>
      </c>
      <c r="D56" s="171">
        <v>0</v>
      </c>
      <c r="E56" s="175">
        <f>D56-C56</f>
        <v>0</v>
      </c>
      <c r="F56" s="167">
        <f>IF(ISBLANK(E56),"  ",IF(C56&gt;0,E56/C56,IF(E56&gt;0,1,0)))</f>
        <v>0</v>
      </c>
      <c r="G56" s="171">
        <v>0</v>
      </c>
      <c r="H56" s="215"/>
    </row>
    <row r="57" spans="1:8" ht="15" customHeight="1" x14ac:dyDescent="0.25">
      <c r="A57" s="161"/>
      <c r="B57" s="160"/>
      <c r="C57" s="160"/>
      <c r="D57" s="160"/>
      <c r="E57" s="160"/>
      <c r="F57" s="152"/>
      <c r="G57" s="160"/>
      <c r="H57" s="185"/>
    </row>
    <row r="58" spans="1:8" s="124" customFormat="1" ht="15" customHeight="1" x14ac:dyDescent="0.25">
      <c r="A58" s="177" t="s">
        <v>52</v>
      </c>
      <c r="B58" s="171">
        <v>67442221.120000005</v>
      </c>
      <c r="C58" s="171">
        <v>76609131</v>
      </c>
      <c r="D58" s="171">
        <v>68031865</v>
      </c>
      <c r="E58" s="171">
        <f>D58-C58</f>
        <v>-8577266</v>
      </c>
      <c r="F58" s="167">
        <f>IF(ISBLANK(E58),"  ",IF(C58&gt;0,E58/C58,IF(E58&gt;0,1,0)))</f>
        <v>-0.11196140574940082</v>
      </c>
      <c r="G58" s="171">
        <f>G56+G54+G52+G50+G48+G46+G44+G37</f>
        <v>72792306</v>
      </c>
      <c r="H58" s="215"/>
    </row>
    <row r="59" spans="1:8" ht="15" customHeight="1" x14ac:dyDescent="0.25">
      <c r="A59" s="178"/>
      <c r="B59" s="160"/>
      <c r="C59" s="160"/>
      <c r="D59" s="160"/>
      <c r="E59" s="160"/>
      <c r="F59" s="152" t="s">
        <v>46</v>
      </c>
      <c r="G59" s="160"/>
      <c r="H59" s="185"/>
    </row>
    <row r="60" spans="1:8" ht="15" customHeight="1" x14ac:dyDescent="0.25">
      <c r="A60" s="179"/>
      <c r="B60" s="151"/>
      <c r="C60" s="151"/>
      <c r="D60" s="151"/>
      <c r="E60" s="151"/>
      <c r="F60" s="153" t="s">
        <v>46</v>
      </c>
      <c r="G60" s="151"/>
      <c r="H60" s="185"/>
    </row>
    <row r="61" spans="1:8" ht="15" customHeight="1" x14ac:dyDescent="0.25">
      <c r="A61" s="177" t="s">
        <v>53</v>
      </c>
      <c r="B61" s="151"/>
      <c r="C61" s="151"/>
      <c r="D61" s="151"/>
      <c r="E61" s="151"/>
      <c r="F61" s="153"/>
      <c r="G61" s="151"/>
      <c r="H61" s="185"/>
    </row>
    <row r="62" spans="1:8" ht="15" customHeight="1" x14ac:dyDescent="0.25">
      <c r="A62" s="159" t="s">
        <v>54</v>
      </c>
      <c r="B62" s="151">
        <v>27915761.699999999</v>
      </c>
      <c r="C62" s="151">
        <v>34104108</v>
      </c>
      <c r="D62" s="151">
        <v>25257457</v>
      </c>
      <c r="E62" s="151">
        <f>D62-C62</f>
        <v>-8846651</v>
      </c>
      <c r="F62" s="156">
        <f t="shared" ref="F62:F75" si="5">IF(ISBLANK(E62),"  ",IF(C62&gt;0,E62/C62,IF(E62&gt;0,1,0)))</f>
        <v>-0.25940133077223426</v>
      </c>
      <c r="G62" s="151">
        <v>30017898</v>
      </c>
      <c r="H62" s="185"/>
    </row>
    <row r="63" spans="1:8" ht="15" customHeight="1" x14ac:dyDescent="0.25">
      <c r="A63" s="161" t="s">
        <v>55</v>
      </c>
      <c r="B63" s="160">
        <v>631030.29</v>
      </c>
      <c r="C63" s="160">
        <v>299051</v>
      </c>
      <c r="D63" s="160">
        <v>307200</v>
      </c>
      <c r="E63" s="160">
        <f>D63-C63</f>
        <v>8149</v>
      </c>
      <c r="F63" s="156">
        <f t="shared" si="5"/>
        <v>2.724953268840432E-2</v>
      </c>
      <c r="G63" s="160">
        <v>307200</v>
      </c>
      <c r="H63" s="185"/>
    </row>
    <row r="64" spans="1:8" ht="15" customHeight="1" x14ac:dyDescent="0.25">
      <c r="A64" s="161" t="s">
        <v>56</v>
      </c>
      <c r="B64" s="160">
        <v>0</v>
      </c>
      <c r="C64" s="160">
        <v>0</v>
      </c>
      <c r="D64" s="160">
        <v>0</v>
      </c>
      <c r="E64" s="160">
        <f t="shared" ref="E64:E75" si="6">D64-C64</f>
        <v>0</v>
      </c>
      <c r="F64" s="156">
        <f t="shared" si="5"/>
        <v>0</v>
      </c>
      <c r="G64" s="160">
        <v>0</v>
      </c>
      <c r="H64" s="185"/>
    </row>
    <row r="65" spans="1:8" ht="15" customHeight="1" x14ac:dyDescent="0.25">
      <c r="A65" s="161" t="s">
        <v>57</v>
      </c>
      <c r="B65" s="160">
        <v>6724908.7799999993</v>
      </c>
      <c r="C65" s="160">
        <v>6630751</v>
      </c>
      <c r="D65" s="160">
        <v>5885192</v>
      </c>
      <c r="E65" s="160">
        <f t="shared" si="6"/>
        <v>-745559</v>
      </c>
      <c r="F65" s="156">
        <f t="shared" si="5"/>
        <v>-0.11243960148707137</v>
      </c>
      <c r="G65" s="160">
        <v>5885192</v>
      </c>
      <c r="H65" s="185"/>
    </row>
    <row r="66" spans="1:8" ht="15" customHeight="1" x14ac:dyDescent="0.25">
      <c r="A66" s="161" t="s">
        <v>58</v>
      </c>
      <c r="B66" s="160">
        <v>4072339.16</v>
      </c>
      <c r="C66" s="160">
        <v>4393817</v>
      </c>
      <c r="D66" s="160">
        <v>4740996</v>
      </c>
      <c r="E66" s="160">
        <f t="shared" si="6"/>
        <v>347179</v>
      </c>
      <c r="F66" s="156">
        <f t="shared" si="5"/>
        <v>7.9015352710411019E-2</v>
      </c>
      <c r="G66" s="160">
        <v>4740996</v>
      </c>
      <c r="H66" s="185"/>
    </row>
    <row r="67" spans="1:8" ht="15" customHeight="1" x14ac:dyDescent="0.25">
      <c r="A67" s="161" t="s">
        <v>59</v>
      </c>
      <c r="B67" s="160">
        <v>8814480.1500000004</v>
      </c>
      <c r="C67" s="160">
        <v>9820631</v>
      </c>
      <c r="D67" s="160">
        <v>10114245</v>
      </c>
      <c r="E67" s="160">
        <f t="shared" si="6"/>
        <v>293614</v>
      </c>
      <c r="F67" s="156">
        <f t="shared" si="5"/>
        <v>2.9897671544730681E-2</v>
      </c>
      <c r="G67" s="160">
        <v>10114245</v>
      </c>
      <c r="H67" s="185"/>
    </row>
    <row r="68" spans="1:8" ht="15" customHeight="1" x14ac:dyDescent="0.25">
      <c r="A68" s="161" t="s">
        <v>60</v>
      </c>
      <c r="B68" s="160">
        <v>6589293.7599999998</v>
      </c>
      <c r="C68" s="160">
        <v>6740179</v>
      </c>
      <c r="D68" s="160">
        <v>6770577</v>
      </c>
      <c r="E68" s="160">
        <f t="shared" si="6"/>
        <v>30398</v>
      </c>
      <c r="F68" s="156">
        <f t="shared" si="5"/>
        <v>4.5099692456238918E-3</v>
      </c>
      <c r="G68" s="160">
        <v>6770577</v>
      </c>
      <c r="H68" s="185"/>
    </row>
    <row r="69" spans="1:8" ht="15" customHeight="1" x14ac:dyDescent="0.25">
      <c r="A69" s="161" t="s">
        <v>61</v>
      </c>
      <c r="B69" s="160">
        <v>5266246.6500000004</v>
      </c>
      <c r="C69" s="160">
        <v>6009441</v>
      </c>
      <c r="D69" s="160">
        <v>7122043</v>
      </c>
      <c r="E69" s="160">
        <f t="shared" si="6"/>
        <v>1112602</v>
      </c>
      <c r="F69" s="156">
        <f t="shared" si="5"/>
        <v>0.18514234518651568</v>
      </c>
      <c r="G69" s="160">
        <v>7122043</v>
      </c>
      <c r="H69" s="185"/>
    </row>
    <row r="70" spans="1:8" s="124" customFormat="1" ht="15" customHeight="1" x14ac:dyDescent="0.25">
      <c r="A70" s="180" t="s">
        <v>62</v>
      </c>
      <c r="B70" s="166">
        <v>60014060.489999987</v>
      </c>
      <c r="C70" s="166">
        <v>67997978</v>
      </c>
      <c r="D70" s="166">
        <v>60197710</v>
      </c>
      <c r="E70" s="160">
        <f t="shared" si="6"/>
        <v>-7800268</v>
      </c>
      <c r="F70" s="167">
        <f t="shared" si="5"/>
        <v>-0.11471323456118063</v>
      </c>
      <c r="G70" s="166">
        <v>64958151</v>
      </c>
      <c r="H70" s="215"/>
    </row>
    <row r="71" spans="1:8" ht="15" customHeight="1" x14ac:dyDescent="0.25">
      <c r="A71" s="161" t="s">
        <v>63</v>
      </c>
      <c r="B71" s="160">
        <v>0</v>
      </c>
      <c r="C71" s="160">
        <v>0</v>
      </c>
      <c r="D71" s="160">
        <v>0</v>
      </c>
      <c r="E71" s="160">
        <f t="shared" si="6"/>
        <v>0</v>
      </c>
      <c r="F71" s="156">
        <f t="shared" si="5"/>
        <v>0</v>
      </c>
      <c r="G71" s="160">
        <v>0</v>
      </c>
      <c r="H71" s="185"/>
    </row>
    <row r="72" spans="1:8" ht="15" customHeight="1" x14ac:dyDescent="0.25">
      <c r="A72" s="161" t="s">
        <v>64</v>
      </c>
      <c r="B72" s="160">
        <v>1260774.73</v>
      </c>
      <c r="C72" s="160">
        <v>1523967</v>
      </c>
      <c r="D72" s="160">
        <v>1703439</v>
      </c>
      <c r="E72" s="160">
        <f t="shared" si="6"/>
        <v>179472</v>
      </c>
      <c r="F72" s="156">
        <f t="shared" si="5"/>
        <v>0.11776632958587686</v>
      </c>
      <c r="G72" s="160">
        <v>1703439</v>
      </c>
      <c r="H72" s="185"/>
    </row>
    <row r="73" spans="1:8" ht="15" customHeight="1" x14ac:dyDescent="0.25">
      <c r="A73" s="161" t="s">
        <v>65</v>
      </c>
      <c r="B73" s="160">
        <v>3808975.0000000005</v>
      </c>
      <c r="C73" s="160">
        <v>3808975</v>
      </c>
      <c r="D73" s="160">
        <v>3908571</v>
      </c>
      <c r="E73" s="160">
        <f t="shared" si="6"/>
        <v>99596</v>
      </c>
      <c r="F73" s="156">
        <f t="shared" si="5"/>
        <v>2.6147716905466693E-2</v>
      </c>
      <c r="G73" s="160">
        <v>3908571</v>
      </c>
      <c r="H73" s="185"/>
    </row>
    <row r="74" spans="1:8" ht="15" customHeight="1" x14ac:dyDescent="0.25">
      <c r="A74" s="161" t="s">
        <v>66</v>
      </c>
      <c r="B74" s="160">
        <v>2358410.9</v>
      </c>
      <c r="C74" s="160">
        <v>3278211</v>
      </c>
      <c r="D74" s="160">
        <v>2222145</v>
      </c>
      <c r="E74" s="160">
        <f t="shared" si="6"/>
        <v>-1056066</v>
      </c>
      <c r="F74" s="156">
        <f t="shared" si="5"/>
        <v>-0.32214704910696718</v>
      </c>
      <c r="G74" s="160">
        <v>2222145</v>
      </c>
      <c r="H74" s="185"/>
    </row>
    <row r="75" spans="1:8" s="124" customFormat="1" ht="15" customHeight="1" x14ac:dyDescent="0.25">
      <c r="A75" s="181" t="s">
        <v>67</v>
      </c>
      <c r="B75" s="182">
        <v>67442221.11999999</v>
      </c>
      <c r="C75" s="182">
        <v>76609131</v>
      </c>
      <c r="D75" s="182">
        <v>68031865</v>
      </c>
      <c r="E75" s="160">
        <f t="shared" si="6"/>
        <v>-8577266</v>
      </c>
      <c r="F75" s="167">
        <f t="shared" si="5"/>
        <v>-0.11196140574940082</v>
      </c>
      <c r="G75" s="182">
        <v>72792306</v>
      </c>
      <c r="H75" s="215"/>
    </row>
    <row r="76" spans="1:8" ht="15" customHeight="1" x14ac:dyDescent="0.25">
      <c r="A76" s="179"/>
      <c r="B76" s="151"/>
      <c r="C76" s="151"/>
      <c r="D76" s="151"/>
      <c r="E76" s="151"/>
      <c r="F76" s="153"/>
      <c r="G76" s="151"/>
      <c r="H76" s="185"/>
    </row>
    <row r="77" spans="1:8" ht="15" customHeight="1" x14ac:dyDescent="0.25">
      <c r="A77" s="177" t="s">
        <v>68</v>
      </c>
      <c r="B77" s="151"/>
      <c r="C77" s="151"/>
      <c r="D77" s="151"/>
      <c r="E77" s="151"/>
      <c r="F77" s="153"/>
      <c r="G77" s="151"/>
      <c r="H77" s="185"/>
    </row>
    <row r="78" spans="1:8" ht="15" customHeight="1" x14ac:dyDescent="0.25">
      <c r="A78" s="159" t="s">
        <v>69</v>
      </c>
      <c r="B78" s="155">
        <v>31604615.140000008</v>
      </c>
      <c r="C78" s="155">
        <v>36343504</v>
      </c>
      <c r="D78" s="155">
        <v>29060745</v>
      </c>
      <c r="E78" s="151">
        <f>D78-C78</f>
        <v>-7282759</v>
      </c>
      <c r="F78" s="156">
        <f t="shared" ref="F78:F96" si="7">IF(ISBLANK(E78),"  ",IF(C78&gt;0,E78/C78,IF(E78&gt;0,1,0)))</f>
        <v>-0.2003868146560662</v>
      </c>
      <c r="G78" s="155">
        <v>32515553</v>
      </c>
      <c r="H78" s="185"/>
    </row>
    <row r="79" spans="1:8" ht="15" customHeight="1" x14ac:dyDescent="0.25">
      <c r="A79" s="161" t="s">
        <v>70</v>
      </c>
      <c r="B79" s="158">
        <v>610451.14</v>
      </c>
      <c r="C79" s="158">
        <v>579834</v>
      </c>
      <c r="D79" s="158">
        <v>556339</v>
      </c>
      <c r="E79" s="160">
        <f>D79-C79</f>
        <v>-23495</v>
      </c>
      <c r="F79" s="156">
        <f t="shared" si="7"/>
        <v>-4.0520217855455183E-2</v>
      </c>
      <c r="G79" s="158">
        <v>556339</v>
      </c>
      <c r="H79" s="185"/>
    </row>
    <row r="80" spans="1:8" ht="15" customHeight="1" x14ac:dyDescent="0.25">
      <c r="A80" s="161" t="s">
        <v>71</v>
      </c>
      <c r="B80" s="151">
        <v>14928753.690000001</v>
      </c>
      <c r="C80" s="151">
        <v>17485801</v>
      </c>
      <c r="D80" s="151">
        <v>14973622</v>
      </c>
      <c r="E80" s="160">
        <f t="shared" ref="E80:E95" si="8">D80-C80</f>
        <v>-2512179</v>
      </c>
      <c r="F80" s="156">
        <f t="shared" si="7"/>
        <v>-0.14366965516764144</v>
      </c>
      <c r="G80" s="151">
        <v>16279255</v>
      </c>
      <c r="H80" s="185"/>
    </row>
    <row r="81" spans="1:8" s="124" customFormat="1" ht="15" customHeight="1" x14ac:dyDescent="0.25">
      <c r="A81" s="180" t="s">
        <v>72</v>
      </c>
      <c r="B81" s="182">
        <v>47143819.970000014</v>
      </c>
      <c r="C81" s="182">
        <v>54409139</v>
      </c>
      <c r="D81" s="182">
        <v>44590706</v>
      </c>
      <c r="E81" s="166">
        <f t="shared" si="8"/>
        <v>-9818433</v>
      </c>
      <c r="F81" s="167">
        <f t="shared" si="7"/>
        <v>-0.18045558486047722</v>
      </c>
      <c r="G81" s="182">
        <v>49351147</v>
      </c>
      <c r="H81" s="215"/>
    </row>
    <row r="82" spans="1:8" ht="15" customHeight="1" x14ac:dyDescent="0.25">
      <c r="A82" s="161" t="s">
        <v>73</v>
      </c>
      <c r="B82" s="158">
        <v>61098.69</v>
      </c>
      <c r="C82" s="158">
        <v>98039</v>
      </c>
      <c r="D82" s="158">
        <v>98039</v>
      </c>
      <c r="E82" s="160">
        <f t="shared" si="8"/>
        <v>0</v>
      </c>
      <c r="F82" s="156">
        <f t="shared" si="7"/>
        <v>0</v>
      </c>
      <c r="G82" s="158">
        <v>98039</v>
      </c>
      <c r="H82" s="185"/>
    </row>
    <row r="83" spans="1:8" ht="15" customHeight="1" x14ac:dyDescent="0.25">
      <c r="A83" s="161" t="s">
        <v>74</v>
      </c>
      <c r="B83" s="155">
        <v>4569776.54</v>
      </c>
      <c r="C83" s="155">
        <v>5038877</v>
      </c>
      <c r="D83" s="155">
        <v>5123355</v>
      </c>
      <c r="E83" s="160">
        <f t="shared" si="8"/>
        <v>84478</v>
      </c>
      <c r="F83" s="156">
        <f t="shared" si="7"/>
        <v>1.6765243525491889E-2</v>
      </c>
      <c r="G83" s="155">
        <v>5123355</v>
      </c>
      <c r="H83" s="185"/>
    </row>
    <row r="84" spans="1:8" ht="15" customHeight="1" x14ac:dyDescent="0.25">
      <c r="A84" s="161" t="s">
        <v>75</v>
      </c>
      <c r="B84" s="151">
        <v>541290.4</v>
      </c>
      <c r="C84" s="151">
        <v>791106</v>
      </c>
      <c r="D84" s="151">
        <v>847860</v>
      </c>
      <c r="E84" s="160">
        <f t="shared" si="8"/>
        <v>56754</v>
      </c>
      <c r="F84" s="156">
        <f t="shared" si="7"/>
        <v>7.174007023079082E-2</v>
      </c>
      <c r="G84" s="151">
        <v>847860</v>
      </c>
      <c r="H84" s="185"/>
    </row>
    <row r="85" spans="1:8" s="124" customFormat="1" ht="15" customHeight="1" x14ac:dyDescent="0.25">
      <c r="A85" s="164" t="s">
        <v>76</v>
      </c>
      <c r="B85" s="182">
        <v>5172165.6300000008</v>
      </c>
      <c r="C85" s="182">
        <v>5928022</v>
      </c>
      <c r="D85" s="182">
        <v>6069254</v>
      </c>
      <c r="E85" s="166">
        <f t="shared" si="8"/>
        <v>141232</v>
      </c>
      <c r="F85" s="167">
        <f t="shared" si="7"/>
        <v>2.3824472986098903E-2</v>
      </c>
      <c r="G85" s="182">
        <v>6069254</v>
      </c>
      <c r="H85" s="215"/>
    </row>
    <row r="86" spans="1:8" ht="15" customHeight="1" x14ac:dyDescent="0.25">
      <c r="A86" s="161" t="s">
        <v>77</v>
      </c>
      <c r="B86" s="151">
        <v>409258.89</v>
      </c>
      <c r="C86" s="151">
        <v>291209</v>
      </c>
      <c r="D86" s="151">
        <v>352209</v>
      </c>
      <c r="E86" s="160">
        <f t="shared" si="8"/>
        <v>61000</v>
      </c>
      <c r="F86" s="156">
        <f t="shared" si="7"/>
        <v>0.20947154792605999</v>
      </c>
      <c r="G86" s="151">
        <v>352209</v>
      </c>
      <c r="H86" s="185"/>
    </row>
    <row r="87" spans="1:8" ht="15" customHeight="1" x14ac:dyDescent="0.25">
      <c r="A87" s="161" t="s">
        <v>78</v>
      </c>
      <c r="B87" s="160">
        <v>12698185.83</v>
      </c>
      <c r="C87" s="160">
        <v>14180865</v>
      </c>
      <c r="D87" s="160">
        <v>13254793</v>
      </c>
      <c r="E87" s="160">
        <f t="shared" si="8"/>
        <v>-926072</v>
      </c>
      <c r="F87" s="156">
        <f t="shared" si="7"/>
        <v>-6.5304337922968733E-2</v>
      </c>
      <c r="G87" s="160">
        <v>13254793</v>
      </c>
      <c r="H87" s="185"/>
    </row>
    <row r="88" spans="1:8" ht="15" customHeight="1" x14ac:dyDescent="0.25">
      <c r="A88" s="161" t="s">
        <v>79</v>
      </c>
      <c r="B88" s="160">
        <v>0</v>
      </c>
      <c r="C88" s="160">
        <v>0</v>
      </c>
      <c r="D88" s="160">
        <v>0</v>
      </c>
      <c r="E88" s="160">
        <f t="shared" si="8"/>
        <v>0</v>
      </c>
      <c r="F88" s="156">
        <f t="shared" si="7"/>
        <v>0</v>
      </c>
      <c r="G88" s="160">
        <v>0</v>
      </c>
      <c r="H88" s="185"/>
    </row>
    <row r="89" spans="1:8" ht="15" customHeight="1" x14ac:dyDescent="0.25">
      <c r="A89" s="161" t="s">
        <v>80</v>
      </c>
      <c r="B89" s="160">
        <v>1260774.73</v>
      </c>
      <c r="C89" s="160">
        <v>1523967</v>
      </c>
      <c r="D89" s="160">
        <v>1703439</v>
      </c>
      <c r="E89" s="160">
        <f t="shared" si="8"/>
        <v>179472</v>
      </c>
      <c r="F89" s="156">
        <f t="shared" si="7"/>
        <v>0.11776632958587686</v>
      </c>
      <c r="G89" s="160">
        <v>1703439</v>
      </c>
      <c r="H89" s="185"/>
    </row>
    <row r="90" spans="1:8" s="124" customFormat="1" ht="15" customHeight="1" x14ac:dyDescent="0.25">
      <c r="A90" s="164" t="s">
        <v>81</v>
      </c>
      <c r="B90" s="166">
        <v>14368219.450000001</v>
      </c>
      <c r="C90" s="166">
        <v>15996041</v>
      </c>
      <c r="D90" s="166">
        <v>15310441</v>
      </c>
      <c r="E90" s="166">
        <f t="shared" si="8"/>
        <v>-685600</v>
      </c>
      <c r="F90" s="167">
        <f t="shared" si="7"/>
        <v>-4.2860605321029123E-2</v>
      </c>
      <c r="G90" s="166">
        <v>15310441</v>
      </c>
      <c r="H90" s="215"/>
    </row>
    <row r="91" spans="1:8" ht="15" customHeight="1" x14ac:dyDescent="0.25">
      <c r="A91" s="161" t="s">
        <v>82</v>
      </c>
      <c r="B91" s="160">
        <v>483699.26999999996</v>
      </c>
      <c r="C91" s="160">
        <v>179304</v>
      </c>
      <c r="D91" s="160">
        <v>1964839</v>
      </c>
      <c r="E91" s="160">
        <f t="shared" si="8"/>
        <v>1785535</v>
      </c>
      <c r="F91" s="156">
        <f t="shared" si="7"/>
        <v>9.9581437112390123</v>
      </c>
      <c r="G91" s="160">
        <v>1964839</v>
      </c>
      <c r="H91" s="185"/>
    </row>
    <row r="92" spans="1:8" ht="15" customHeight="1" x14ac:dyDescent="0.25">
      <c r="A92" s="161" t="s">
        <v>83</v>
      </c>
      <c r="B92" s="160">
        <v>135806.98000000001</v>
      </c>
      <c r="C92" s="160">
        <v>96625</v>
      </c>
      <c r="D92" s="160">
        <v>96625</v>
      </c>
      <c r="E92" s="160">
        <f t="shared" si="8"/>
        <v>0</v>
      </c>
      <c r="F92" s="156">
        <f t="shared" si="7"/>
        <v>0</v>
      </c>
      <c r="G92" s="160">
        <v>96625</v>
      </c>
      <c r="H92" s="185"/>
    </row>
    <row r="93" spans="1:8" ht="15" customHeight="1" x14ac:dyDescent="0.25">
      <c r="A93" s="169" t="s">
        <v>84</v>
      </c>
      <c r="B93" s="160">
        <v>138509.82</v>
      </c>
      <c r="C93" s="160">
        <v>0</v>
      </c>
      <c r="D93" s="160">
        <v>0</v>
      </c>
      <c r="E93" s="160">
        <f t="shared" si="8"/>
        <v>0</v>
      </c>
      <c r="F93" s="156">
        <f t="shared" si="7"/>
        <v>0</v>
      </c>
      <c r="G93" s="160">
        <v>0</v>
      </c>
      <c r="H93" s="185"/>
    </row>
    <row r="94" spans="1:8" s="124" customFormat="1" ht="15" customHeight="1" x14ac:dyDescent="0.25">
      <c r="A94" s="183" t="s">
        <v>85</v>
      </c>
      <c r="B94" s="182">
        <v>758016.07000000007</v>
      </c>
      <c r="C94" s="182">
        <v>275929</v>
      </c>
      <c r="D94" s="182">
        <v>2061464</v>
      </c>
      <c r="E94" s="160">
        <f t="shared" si="8"/>
        <v>1785535</v>
      </c>
      <c r="F94" s="167">
        <f t="shared" si="7"/>
        <v>6.4709943499958325</v>
      </c>
      <c r="G94" s="182">
        <v>2061464</v>
      </c>
      <c r="H94" s="215"/>
    </row>
    <row r="95" spans="1:8" ht="15" customHeight="1" x14ac:dyDescent="0.25">
      <c r="A95" s="169" t="s">
        <v>86</v>
      </c>
      <c r="B95" s="160">
        <v>0</v>
      </c>
      <c r="C95" s="160">
        <v>0</v>
      </c>
      <c r="D95" s="160">
        <v>0</v>
      </c>
      <c r="E95" s="160">
        <f t="shared" si="8"/>
        <v>0</v>
      </c>
      <c r="F95" s="156">
        <f t="shared" si="7"/>
        <v>0</v>
      </c>
      <c r="G95" s="160">
        <v>0</v>
      </c>
      <c r="H95" s="185"/>
    </row>
    <row r="96" spans="1:8" s="124" customFormat="1" ht="15" customHeight="1" thickBot="1" x14ac:dyDescent="0.3">
      <c r="A96" s="203" t="s">
        <v>67</v>
      </c>
      <c r="B96" s="204">
        <v>67442221.12000002</v>
      </c>
      <c r="C96" s="204">
        <v>76609131</v>
      </c>
      <c r="D96" s="204">
        <v>68031865</v>
      </c>
      <c r="E96" s="204">
        <f>D96-C96</f>
        <v>-8577266</v>
      </c>
      <c r="F96" s="205">
        <f t="shared" si="7"/>
        <v>-0.11196140574940082</v>
      </c>
      <c r="G96" s="204">
        <v>72792306</v>
      </c>
      <c r="H96" s="215"/>
    </row>
    <row r="97" spans="1:9" ht="15" customHeight="1" thickTop="1" x14ac:dyDescent="0.25">
      <c r="A97" s="184"/>
      <c r="B97" s="185"/>
      <c r="C97" s="185"/>
      <c r="D97" s="185"/>
      <c r="E97" s="185"/>
      <c r="F97" s="186" t="s">
        <v>46</v>
      </c>
      <c r="G97" s="142"/>
      <c r="H97" s="142"/>
      <c r="I97" s="142"/>
    </row>
    <row r="98" spans="1:9" x14ac:dyDescent="0.25">
      <c r="A98" s="139" t="s">
        <v>197</v>
      </c>
    </row>
    <row r="99" spans="1:9" x14ac:dyDescent="0.25">
      <c r="A99" s="139" t="s">
        <v>190</v>
      </c>
    </row>
  </sheetData>
  <mergeCells count="1">
    <mergeCell ref="G2:G3"/>
  </mergeCells>
  <hyperlinks>
    <hyperlink ref="I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39" customWidth="1"/>
    <col min="2" max="5" width="23.7109375" style="187" customWidth="1"/>
    <col min="6" max="6" width="23.7109375" style="188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98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14240819</v>
      </c>
      <c r="C8" s="69">
        <v>14240819</v>
      </c>
      <c r="D8" s="69">
        <v>10945436</v>
      </c>
      <c r="E8" s="69">
        <f>D8-C8</f>
        <v>-3295383</v>
      </c>
      <c r="F8" s="70">
        <f t="shared" ref="F8:F31" si="0">IF(ISBLANK(E8),"  ",IF(C8&gt;0,E8/C8,IF(E8&gt;0,1,0)))</f>
        <v>-0.2314040365234612</v>
      </c>
      <c r="G8" s="69">
        <v>10945436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 t="shared" ref="E9:E31" si="1"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938525</v>
      </c>
      <c r="C10" s="72">
        <v>1115040</v>
      </c>
      <c r="D10" s="72">
        <v>955184</v>
      </c>
      <c r="E10" s="69">
        <f t="shared" si="1"/>
        <v>-159856</v>
      </c>
      <c r="F10" s="70">
        <f t="shared" si="0"/>
        <v>-0.14336346678146075</v>
      </c>
      <c r="G10" s="72">
        <v>955184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938525</v>
      </c>
      <c r="C12" s="74">
        <v>1115040</v>
      </c>
      <c r="D12" s="74">
        <v>955184</v>
      </c>
      <c r="E12" s="69">
        <f t="shared" si="1"/>
        <v>-159856</v>
      </c>
      <c r="F12" s="70">
        <f t="shared" si="0"/>
        <v>-0.14336346678146075</v>
      </c>
      <c r="G12" s="74">
        <v>955184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SUM(B8,B9,B10,B33,B35)</f>
        <v>15179344</v>
      </c>
      <c r="C37" s="80">
        <f t="shared" ref="C37:D37" si="2">SUM(C8,C9,C10,C33,C35)</f>
        <v>15355859</v>
      </c>
      <c r="D37" s="80">
        <f t="shared" si="2"/>
        <v>11900620</v>
      </c>
      <c r="E37" s="80">
        <f>D37-C37</f>
        <v>-3455239</v>
      </c>
      <c r="F37" s="81">
        <f>IF(ISBLANK(E37),"  ",IF(C37&gt;0,E37/C37,IF(E37&gt;0,1,0)))</f>
        <v>-0.22501111790620115</v>
      </c>
      <c r="G37" s="80">
        <f>SUM(G8,G9,G10,G33,G35)</f>
        <v>11900620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4"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224">
        <v>2994071</v>
      </c>
      <c r="C41" s="69">
        <v>0</v>
      </c>
      <c r="D41" s="69">
        <v>0</v>
      </c>
      <c r="E41" s="69">
        <f t="shared" si="4"/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2994071</v>
      </c>
      <c r="C44" s="85">
        <v>0</v>
      </c>
      <c r="D44" s="85">
        <v>0</v>
      </c>
      <c r="E44" s="87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250000</v>
      </c>
      <c r="D46" s="87">
        <v>0</v>
      </c>
      <c r="E46" s="87">
        <f>D46-C46</f>
        <v>-250000</v>
      </c>
      <c r="F46" s="81">
        <f>IF(ISBLANK(E46),"  ",IF(C46&gt;0,E46/C46,IF(E46&gt;0,1,0)))</f>
        <v>-1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2994071</v>
      </c>
      <c r="C48" s="87">
        <v>2994071</v>
      </c>
      <c r="D48" s="87">
        <v>0</v>
      </c>
      <c r="E48" s="87">
        <f>D48-C48</f>
        <v>-2994071</v>
      </c>
      <c r="F48" s="81">
        <f>IF(ISBLANK(E48)," ",IF(C48&gt;0,E48/C48,IF(E48&gt;0,1,0)))</f>
        <v>-1</v>
      </c>
      <c r="G48" s="87">
        <v>2994071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43715577</v>
      </c>
      <c r="C52" s="85">
        <v>44317731</v>
      </c>
      <c r="D52" s="85">
        <v>44317731</v>
      </c>
      <c r="E52" s="85">
        <f>D52-C52</f>
        <v>0</v>
      </c>
      <c r="F52" s="81">
        <f>IF(ISBLANK(E52),"  ",IF(C52&gt;0,E52/C52,IF(E52&gt;0,1,0)))</f>
        <v>0</v>
      </c>
      <c r="G52" s="85">
        <v>44317731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v>58894921</v>
      </c>
      <c r="C58" s="85">
        <v>62917661</v>
      </c>
      <c r="D58" s="85">
        <v>56218351</v>
      </c>
      <c r="E58" s="85">
        <f>D58-C58</f>
        <v>-6699310</v>
      </c>
      <c r="F58" s="81">
        <f>IF(ISBLANK(E58),"  ",IF(C58&gt;0,E58/C58,IF(E58&gt;0,1,0)))</f>
        <v>-0.10647741657147744</v>
      </c>
      <c r="G58" s="171">
        <f>G56+G54+G52+G50+G48+G46+G44+G37</f>
        <v>59212422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28898576</v>
      </c>
      <c r="C62" s="65">
        <v>34670687</v>
      </c>
      <c r="D62" s="65">
        <v>30215704</v>
      </c>
      <c r="E62" s="65">
        <f>D62-C62</f>
        <v>-4454983</v>
      </c>
      <c r="F62" s="70">
        <f t="shared" ref="F62:F75" si="5">IF(ISBLANK(E62),"  ",IF(C62&gt;0,E62/C62,IF(E62&gt;0,1,0)))</f>
        <v>-0.12849422337665245</v>
      </c>
      <c r="G62" s="65">
        <v>32004160</v>
      </c>
      <c r="H62" s="227"/>
    </row>
    <row r="63" spans="1:8" ht="15" customHeight="1" x14ac:dyDescent="0.25">
      <c r="A63" s="75" t="s">
        <v>55</v>
      </c>
      <c r="B63" s="74">
        <v>427599</v>
      </c>
      <c r="C63" s="74">
        <v>464413</v>
      </c>
      <c r="D63" s="74">
        <v>466959</v>
      </c>
      <c r="E63" s="74">
        <f>D63-C63</f>
        <v>2546</v>
      </c>
      <c r="F63" s="70">
        <f t="shared" si="5"/>
        <v>5.4821893443981976E-3</v>
      </c>
      <c r="G63" s="74">
        <v>466959</v>
      </c>
      <c r="H63" s="227"/>
    </row>
    <row r="64" spans="1:8" ht="15" customHeight="1" x14ac:dyDescent="0.25">
      <c r="A64" s="75" t="s">
        <v>56</v>
      </c>
      <c r="B64" s="74">
        <v>36603</v>
      </c>
      <c r="C64" s="74">
        <v>250000</v>
      </c>
      <c r="D64" s="74">
        <v>105080</v>
      </c>
      <c r="E64" s="74">
        <f t="shared" ref="E64:E75" si="6">D64-C64</f>
        <v>-144920</v>
      </c>
      <c r="F64" s="70">
        <f t="shared" si="5"/>
        <v>-0.57967999999999997</v>
      </c>
      <c r="G64" s="74">
        <v>105080</v>
      </c>
      <c r="H64" s="227"/>
    </row>
    <row r="65" spans="1:8" ht="15" customHeight="1" x14ac:dyDescent="0.25">
      <c r="A65" s="75" t="s">
        <v>57</v>
      </c>
      <c r="B65" s="74">
        <v>5931398</v>
      </c>
      <c r="C65" s="74">
        <v>6444701</v>
      </c>
      <c r="D65" s="74">
        <v>6657965</v>
      </c>
      <c r="E65" s="74">
        <f t="shared" si="6"/>
        <v>213264</v>
      </c>
      <c r="F65" s="70">
        <f t="shared" si="5"/>
        <v>3.3091372276231282E-2</v>
      </c>
      <c r="G65" s="74">
        <v>6657965</v>
      </c>
      <c r="H65" s="227"/>
    </row>
    <row r="66" spans="1:8" ht="15" customHeight="1" x14ac:dyDescent="0.25">
      <c r="A66" s="75" t="s">
        <v>58</v>
      </c>
      <c r="B66" s="74">
        <v>3261561</v>
      </c>
      <c r="C66" s="74">
        <v>3556045</v>
      </c>
      <c r="D66" s="74">
        <v>3695228</v>
      </c>
      <c r="E66" s="74">
        <f t="shared" si="6"/>
        <v>139183</v>
      </c>
      <c r="F66" s="70">
        <f t="shared" si="5"/>
        <v>3.9139830907651621E-2</v>
      </c>
      <c r="G66" s="74">
        <v>3695228</v>
      </c>
      <c r="H66" s="227"/>
    </row>
    <row r="67" spans="1:8" ht="15" customHeight="1" x14ac:dyDescent="0.25">
      <c r="A67" s="75" t="s">
        <v>59</v>
      </c>
      <c r="B67" s="74">
        <v>8502608</v>
      </c>
      <c r="C67" s="74">
        <v>8020357</v>
      </c>
      <c r="D67" s="74">
        <v>8280619</v>
      </c>
      <c r="E67" s="74">
        <f t="shared" si="6"/>
        <v>260262</v>
      </c>
      <c r="F67" s="70">
        <f t="shared" si="5"/>
        <v>3.2450176469700789E-2</v>
      </c>
      <c r="G67" s="74">
        <v>8280619</v>
      </c>
      <c r="H67" s="227"/>
    </row>
    <row r="68" spans="1:8" ht="15" customHeight="1" x14ac:dyDescent="0.25">
      <c r="A68" s="75" t="s">
        <v>60</v>
      </c>
      <c r="B68" s="74">
        <v>5896842</v>
      </c>
      <c r="C68" s="74">
        <v>3245114</v>
      </c>
      <c r="D68" s="74">
        <v>2373740</v>
      </c>
      <c r="E68" s="74">
        <f t="shared" si="6"/>
        <v>-871374</v>
      </c>
      <c r="F68" s="70">
        <f t="shared" si="5"/>
        <v>-0.26851876390166879</v>
      </c>
      <c r="G68" s="74">
        <v>2373740</v>
      </c>
      <c r="H68" s="227"/>
    </row>
    <row r="69" spans="1:8" ht="15" customHeight="1" x14ac:dyDescent="0.25">
      <c r="A69" s="75" t="s">
        <v>61</v>
      </c>
      <c r="B69" s="74">
        <v>5283524</v>
      </c>
      <c r="C69" s="74">
        <v>5561546</v>
      </c>
      <c r="D69" s="74">
        <v>4423056</v>
      </c>
      <c r="E69" s="74">
        <f t="shared" si="6"/>
        <v>-1138490</v>
      </c>
      <c r="F69" s="70">
        <f t="shared" si="5"/>
        <v>-0.20470746803137113</v>
      </c>
      <c r="G69" s="74">
        <v>5628671</v>
      </c>
      <c r="H69" s="227"/>
    </row>
    <row r="70" spans="1:8" s="124" customFormat="1" ht="15" customHeight="1" x14ac:dyDescent="0.25">
      <c r="A70" s="94" t="s">
        <v>62</v>
      </c>
      <c r="B70" s="80">
        <v>58238711</v>
      </c>
      <c r="C70" s="80">
        <v>62212863</v>
      </c>
      <c r="D70" s="80">
        <v>56218351</v>
      </c>
      <c r="E70" s="74">
        <f t="shared" si="6"/>
        <v>-5994512</v>
      </c>
      <c r="F70" s="81">
        <f t="shared" si="5"/>
        <v>-9.6354864748789973E-2</v>
      </c>
      <c r="G70" s="80">
        <v>59212422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6"/>
        <v>0</v>
      </c>
      <c r="F71" s="70">
        <f t="shared" si="5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74">
        <f t="shared" si="6"/>
        <v>0</v>
      </c>
      <c r="F72" s="70">
        <f t="shared" si="5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624798</v>
      </c>
      <c r="C73" s="74">
        <v>624798</v>
      </c>
      <c r="D73" s="74">
        <v>0</v>
      </c>
      <c r="E73" s="74">
        <f t="shared" si="6"/>
        <v>-624798</v>
      </c>
      <c r="F73" s="70">
        <f t="shared" si="5"/>
        <v>-1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31412</v>
      </c>
      <c r="C74" s="74">
        <v>80000</v>
      </c>
      <c r="D74" s="74">
        <v>0</v>
      </c>
      <c r="E74" s="74">
        <f t="shared" si="6"/>
        <v>-80000</v>
      </c>
      <c r="F74" s="70">
        <f t="shared" si="5"/>
        <v>-1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v>58894921</v>
      </c>
      <c r="C75" s="96">
        <v>62917661</v>
      </c>
      <c r="D75" s="96">
        <v>56218351</v>
      </c>
      <c r="E75" s="74">
        <f t="shared" si="6"/>
        <v>-6699310</v>
      </c>
      <c r="F75" s="81">
        <f t="shared" si="5"/>
        <v>-0.10647741657147744</v>
      </c>
      <c r="G75" s="96">
        <v>59212422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30335754</v>
      </c>
      <c r="C78" s="69">
        <v>33781427</v>
      </c>
      <c r="D78" s="69">
        <v>31486307</v>
      </c>
      <c r="E78" s="65">
        <f>D78-C78</f>
        <v>-2295120</v>
      </c>
      <c r="F78" s="70">
        <f t="shared" ref="F78:F96" si="7">IF(ISBLANK(E78),"  ",IF(C78&gt;0,E78/C78,IF(E78&gt;0,1,0)))</f>
        <v>-6.7940291569092093E-2</v>
      </c>
      <c r="G78" s="69">
        <v>32900665</v>
      </c>
      <c r="H78" s="227"/>
    </row>
    <row r="79" spans="1:8" ht="15" customHeight="1" x14ac:dyDescent="0.25">
      <c r="A79" s="75" t="s">
        <v>70</v>
      </c>
      <c r="B79" s="72">
        <v>394326</v>
      </c>
      <c r="C79" s="72">
        <v>397009</v>
      </c>
      <c r="D79" s="72">
        <v>419645</v>
      </c>
      <c r="E79" s="74">
        <f>D79-C79</f>
        <v>22636</v>
      </c>
      <c r="F79" s="70">
        <f t="shared" si="7"/>
        <v>5.7016339679956875E-2</v>
      </c>
      <c r="G79" s="72">
        <v>419645</v>
      </c>
      <c r="H79" s="227"/>
    </row>
    <row r="80" spans="1:8" ht="15" customHeight="1" x14ac:dyDescent="0.25">
      <c r="A80" s="75" t="s">
        <v>71</v>
      </c>
      <c r="B80" s="65">
        <v>14609341</v>
      </c>
      <c r="C80" s="65">
        <v>16187386</v>
      </c>
      <c r="D80" s="65">
        <v>15399771</v>
      </c>
      <c r="E80" s="74">
        <f t="shared" ref="E80:E95" si="8">D80-C80</f>
        <v>-787615</v>
      </c>
      <c r="F80" s="70">
        <f t="shared" si="7"/>
        <v>-4.8656095554896882E-2</v>
      </c>
      <c r="G80" s="65">
        <v>15773869</v>
      </c>
      <c r="H80" s="227"/>
    </row>
    <row r="81" spans="1:8" s="124" customFormat="1" ht="15" customHeight="1" x14ac:dyDescent="0.25">
      <c r="A81" s="94" t="s">
        <v>72</v>
      </c>
      <c r="B81" s="96">
        <v>45339421</v>
      </c>
      <c r="C81" s="96">
        <v>50365822</v>
      </c>
      <c r="D81" s="96">
        <v>47305723</v>
      </c>
      <c r="E81" s="80">
        <f t="shared" si="8"/>
        <v>-3060099</v>
      </c>
      <c r="F81" s="81">
        <f t="shared" si="7"/>
        <v>-6.0757451749720276E-2</v>
      </c>
      <c r="G81" s="96">
        <v>49094179</v>
      </c>
      <c r="H81" s="228"/>
    </row>
    <row r="82" spans="1:8" ht="15" customHeight="1" x14ac:dyDescent="0.25">
      <c r="A82" s="75" t="s">
        <v>73</v>
      </c>
      <c r="B82" s="72">
        <v>208232</v>
      </c>
      <c r="C82" s="72">
        <v>335835</v>
      </c>
      <c r="D82" s="72">
        <v>323091</v>
      </c>
      <c r="E82" s="74">
        <f t="shared" si="8"/>
        <v>-12744</v>
      </c>
      <c r="F82" s="70">
        <f t="shared" si="7"/>
        <v>-3.7947206217338873E-2</v>
      </c>
      <c r="G82" s="72">
        <v>323091</v>
      </c>
      <c r="H82" s="227"/>
    </row>
    <row r="83" spans="1:8" ht="15" customHeight="1" x14ac:dyDescent="0.25">
      <c r="A83" s="75" t="s">
        <v>74</v>
      </c>
      <c r="B83" s="69">
        <v>3426929</v>
      </c>
      <c r="C83" s="69">
        <v>3570030</v>
      </c>
      <c r="D83" s="69">
        <v>2336936</v>
      </c>
      <c r="E83" s="74">
        <f t="shared" si="8"/>
        <v>-1233094</v>
      </c>
      <c r="F83" s="70">
        <f t="shared" si="7"/>
        <v>-0.34540157925843762</v>
      </c>
      <c r="G83" s="69">
        <v>3542551</v>
      </c>
      <c r="H83" s="227"/>
    </row>
    <row r="84" spans="1:8" ht="15" customHeight="1" x14ac:dyDescent="0.25">
      <c r="A84" s="75" t="s">
        <v>75</v>
      </c>
      <c r="B84" s="65">
        <v>1059059</v>
      </c>
      <c r="C84" s="65">
        <v>1110537</v>
      </c>
      <c r="D84" s="65">
        <v>1125310</v>
      </c>
      <c r="E84" s="74">
        <f t="shared" si="8"/>
        <v>14773</v>
      </c>
      <c r="F84" s="70">
        <f t="shared" si="7"/>
        <v>1.3302573439696291E-2</v>
      </c>
      <c r="G84" s="65">
        <v>1125310</v>
      </c>
      <c r="H84" s="227"/>
    </row>
    <row r="85" spans="1:8" s="124" customFormat="1" ht="15" customHeight="1" x14ac:dyDescent="0.25">
      <c r="A85" s="78" t="s">
        <v>76</v>
      </c>
      <c r="B85" s="96">
        <v>4694220</v>
      </c>
      <c r="C85" s="96">
        <v>5016402</v>
      </c>
      <c r="D85" s="96">
        <v>3785337</v>
      </c>
      <c r="E85" s="80">
        <f t="shared" si="8"/>
        <v>-1231065</v>
      </c>
      <c r="F85" s="81">
        <f t="shared" si="7"/>
        <v>-0.2454079637158266</v>
      </c>
      <c r="G85" s="96">
        <v>4990952</v>
      </c>
      <c r="H85" s="228"/>
    </row>
    <row r="86" spans="1:8" ht="15" customHeight="1" x14ac:dyDescent="0.25">
      <c r="A86" s="75" t="s">
        <v>77</v>
      </c>
      <c r="B86" s="65">
        <v>185590</v>
      </c>
      <c r="C86" s="65">
        <v>149040</v>
      </c>
      <c r="D86" s="65">
        <v>148142</v>
      </c>
      <c r="E86" s="74">
        <f t="shared" si="8"/>
        <v>-898</v>
      </c>
      <c r="F86" s="70">
        <f t="shared" si="7"/>
        <v>-6.0252281266774017E-3</v>
      </c>
      <c r="G86" s="65">
        <v>148142</v>
      </c>
      <c r="H86" s="227"/>
    </row>
    <row r="87" spans="1:8" ht="15" customHeight="1" x14ac:dyDescent="0.25">
      <c r="A87" s="75" t="s">
        <v>78</v>
      </c>
      <c r="B87" s="74">
        <v>6962122</v>
      </c>
      <c r="C87" s="74">
        <v>5870158</v>
      </c>
      <c r="D87" s="74">
        <v>3442776</v>
      </c>
      <c r="E87" s="74">
        <f t="shared" si="8"/>
        <v>-2427382</v>
      </c>
      <c r="F87" s="70">
        <f t="shared" si="7"/>
        <v>-0.41351220870034505</v>
      </c>
      <c r="G87" s="74">
        <v>3442776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8"/>
        <v>0</v>
      </c>
      <c r="F88" s="70">
        <f t="shared" si="7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1042554</v>
      </c>
      <c r="C89" s="74">
        <v>1100756</v>
      </c>
      <c r="D89" s="74">
        <v>1120890</v>
      </c>
      <c r="E89" s="74">
        <f t="shared" si="8"/>
        <v>20134</v>
      </c>
      <c r="F89" s="70">
        <f t="shared" si="7"/>
        <v>1.8291065413225092E-2</v>
      </c>
      <c r="G89" s="74">
        <v>1120890</v>
      </c>
      <c r="H89" s="227"/>
    </row>
    <row r="90" spans="1:8" s="124" customFormat="1" ht="15" customHeight="1" x14ac:dyDescent="0.25">
      <c r="A90" s="78" t="s">
        <v>81</v>
      </c>
      <c r="B90" s="80">
        <v>8190266</v>
      </c>
      <c r="C90" s="80">
        <v>7119954</v>
      </c>
      <c r="D90" s="80">
        <v>4711808</v>
      </c>
      <c r="E90" s="80">
        <f t="shared" si="8"/>
        <v>-2408146</v>
      </c>
      <c r="F90" s="81">
        <f t="shared" si="7"/>
        <v>-0.33822493797010489</v>
      </c>
      <c r="G90" s="80">
        <v>4711808</v>
      </c>
      <c r="H90" s="228"/>
    </row>
    <row r="91" spans="1:8" ht="15" customHeight="1" x14ac:dyDescent="0.25">
      <c r="A91" s="75" t="s">
        <v>82</v>
      </c>
      <c r="B91" s="74">
        <v>273003</v>
      </c>
      <c r="C91" s="74">
        <v>5962</v>
      </c>
      <c r="D91" s="74">
        <v>5962</v>
      </c>
      <c r="E91" s="74">
        <f t="shared" si="8"/>
        <v>0</v>
      </c>
      <c r="F91" s="70">
        <f t="shared" si="7"/>
        <v>0</v>
      </c>
      <c r="G91" s="74">
        <v>5962</v>
      </c>
      <c r="H91" s="227"/>
    </row>
    <row r="92" spans="1:8" ht="15" customHeight="1" x14ac:dyDescent="0.25">
      <c r="A92" s="75" t="s">
        <v>83</v>
      </c>
      <c r="B92" s="74">
        <v>398011</v>
      </c>
      <c r="C92" s="74">
        <v>409521</v>
      </c>
      <c r="D92" s="74">
        <v>409521</v>
      </c>
      <c r="E92" s="74">
        <f t="shared" si="8"/>
        <v>0</v>
      </c>
      <c r="F92" s="70">
        <f t="shared" si="7"/>
        <v>0</v>
      </c>
      <c r="G92" s="74">
        <v>409521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8"/>
        <v>0</v>
      </c>
      <c r="F93" s="70">
        <f t="shared" si="7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v>671014</v>
      </c>
      <c r="C94" s="96">
        <v>415483</v>
      </c>
      <c r="D94" s="96">
        <v>415483</v>
      </c>
      <c r="E94" s="74">
        <f t="shared" si="8"/>
        <v>0</v>
      </c>
      <c r="F94" s="81">
        <f t="shared" si="7"/>
        <v>0</v>
      </c>
      <c r="G94" s="96">
        <v>415483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8"/>
        <v>0</v>
      </c>
      <c r="F95" s="70">
        <f t="shared" si="7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v>58894921</v>
      </c>
      <c r="C96" s="196">
        <v>62917661</v>
      </c>
      <c r="D96" s="196">
        <v>56218351</v>
      </c>
      <c r="E96" s="196">
        <f>D96-C96</f>
        <v>-6699310</v>
      </c>
      <c r="F96" s="198">
        <f t="shared" si="7"/>
        <v>-0.10647741657147744</v>
      </c>
      <c r="G96" s="196">
        <v>59212422</v>
      </c>
      <c r="H96" s="228"/>
    </row>
    <row r="97" spans="1:9" ht="15" customHeight="1" thickTop="1" x14ac:dyDescent="0.25">
      <c r="A97" s="184"/>
      <c r="B97" s="185"/>
      <c r="C97" s="185"/>
      <c r="D97" s="185"/>
      <c r="E97" s="185"/>
      <c r="F97" s="186" t="s">
        <v>46</v>
      </c>
      <c r="G97" s="142"/>
      <c r="H97" s="142"/>
      <c r="I97" s="142"/>
    </row>
    <row r="98" spans="1:9" ht="15" customHeight="1" x14ac:dyDescent="0.25">
      <c r="A98" s="139" t="s">
        <v>197</v>
      </c>
      <c r="F98" s="190"/>
      <c r="G98" s="190"/>
      <c r="H98" s="190"/>
    </row>
    <row r="99" spans="1:9" ht="15" customHeight="1" x14ac:dyDescent="0.25">
      <c r="A99" s="139" t="s">
        <v>190</v>
      </c>
      <c r="F99" s="187"/>
      <c r="G99" s="187"/>
      <c r="H99" s="187"/>
    </row>
  </sheetData>
  <mergeCells count="1">
    <mergeCell ref="G2:G3"/>
  </mergeCells>
  <hyperlinks>
    <hyperlink ref="I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39" customWidth="1"/>
    <col min="2" max="5" width="23.7109375" style="187" customWidth="1"/>
    <col min="6" max="6" width="23.7109375" style="188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99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20591028</v>
      </c>
      <c r="C8" s="69">
        <v>20591028</v>
      </c>
      <c r="D8" s="69">
        <v>16481211</v>
      </c>
      <c r="E8" s="69">
        <f>D8-C8</f>
        <v>-4109817</v>
      </c>
      <c r="F8" s="70">
        <f t="shared" ref="F8:F31" si="0">IF(ISBLANK(E8),"  ",IF(C8&gt;0,E8/C8,IF(E8&gt;0,1,0)))</f>
        <v>-0.19959260897513229</v>
      </c>
      <c r="G8" s="69">
        <v>16481211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 t="shared" ref="E9:E31" si="1"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1094885</v>
      </c>
      <c r="C10" s="72">
        <v>1300807</v>
      </c>
      <c r="D10" s="72">
        <v>1114319</v>
      </c>
      <c r="E10" s="69">
        <f t="shared" si="1"/>
        <v>-186488</v>
      </c>
      <c r="F10" s="70">
        <f t="shared" si="0"/>
        <v>-0.14336331215929804</v>
      </c>
      <c r="G10" s="72">
        <v>1114319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1094885</v>
      </c>
      <c r="C12" s="74">
        <v>1300807</v>
      </c>
      <c r="D12" s="74">
        <v>1114319</v>
      </c>
      <c r="E12" s="69">
        <f t="shared" si="1"/>
        <v>-186488</v>
      </c>
      <c r="F12" s="70">
        <f t="shared" si="0"/>
        <v>-0.14336331215929804</v>
      </c>
      <c r="G12" s="74">
        <v>1114319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SUM(B8,B9,B10,B33,B35)</f>
        <v>21685913</v>
      </c>
      <c r="C37" s="80">
        <f t="shared" ref="C37:D37" si="2">SUM(C8,C9,C10,C33,C35)</f>
        <v>21891835</v>
      </c>
      <c r="D37" s="80">
        <f t="shared" si="2"/>
        <v>17595530</v>
      </c>
      <c r="E37" s="80">
        <f>D37-C37</f>
        <v>-4296305</v>
      </c>
      <c r="F37" s="81">
        <f>IF(ISBLANK(E37),"  ",IF(C37&gt;0,E37/C37,IF(E37&gt;0,1,0)))</f>
        <v>-0.19625147914736246</v>
      </c>
      <c r="G37" s="80">
        <f>SUM(G8,G9,G10,G33,G35)</f>
        <v>17595530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4"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224">
        <v>3652546</v>
      </c>
      <c r="C41" s="69">
        <v>0</v>
      </c>
      <c r="D41" s="69">
        <v>0</v>
      </c>
      <c r="E41" s="69">
        <f t="shared" si="4"/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3652546</v>
      </c>
      <c r="C44" s="85">
        <v>0</v>
      </c>
      <c r="D44" s="85">
        <v>0</v>
      </c>
      <c r="E44" s="87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74923</v>
      </c>
      <c r="C46" s="87">
        <v>74923</v>
      </c>
      <c r="D46" s="87">
        <v>74923</v>
      </c>
      <c r="E46" s="87">
        <f>D46-C46</f>
        <v>0</v>
      </c>
      <c r="F46" s="81">
        <f>IF(ISBLANK(E46),"  ",IF(C46&gt;0,E46/C46,IF(E46&gt;0,1,0)))</f>
        <v>0</v>
      </c>
      <c r="G46" s="87">
        <v>74923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3652546</v>
      </c>
      <c r="C48" s="87">
        <v>3652546</v>
      </c>
      <c r="D48" s="87">
        <v>0</v>
      </c>
      <c r="E48" s="87">
        <f>D48-C48</f>
        <v>-3652546</v>
      </c>
      <c r="F48" s="81">
        <f>IF(ISBLANK(E48)," ",IF(C48&gt;0,E48/C48,IF(E48&gt;0,1,0)))</f>
        <v>-1</v>
      </c>
      <c r="G48" s="87">
        <v>3652546</v>
      </c>
      <c r="H48" s="228"/>
    </row>
    <row r="49" spans="1:9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9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9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9" s="124" customFormat="1" ht="15" customHeight="1" x14ac:dyDescent="0.25">
      <c r="A52" s="77" t="s">
        <v>49</v>
      </c>
      <c r="B52" s="85">
        <v>61168333</v>
      </c>
      <c r="C52" s="85">
        <v>61651127</v>
      </c>
      <c r="D52" s="85">
        <v>61651127</v>
      </c>
      <c r="E52" s="85">
        <f>D52-C52</f>
        <v>0</v>
      </c>
      <c r="F52" s="81">
        <f>IF(ISBLANK(E52),"  ",IF(C52&gt;0,E52/C52,IF(E52&gt;0,1,0)))</f>
        <v>0</v>
      </c>
      <c r="G52" s="85">
        <v>61651127</v>
      </c>
      <c r="H52" s="228"/>
    </row>
    <row r="53" spans="1:9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9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9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9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9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9" s="124" customFormat="1" ht="15" customHeight="1" x14ac:dyDescent="0.25">
      <c r="A58" s="91" t="s">
        <v>52</v>
      </c>
      <c r="B58" s="85">
        <v>82929169</v>
      </c>
      <c r="C58" s="85">
        <v>87270431</v>
      </c>
      <c r="D58" s="85">
        <v>79321580</v>
      </c>
      <c r="E58" s="85">
        <f>D58-C58</f>
        <v>-7948851</v>
      </c>
      <c r="F58" s="81">
        <f>IF(ISBLANK(E58),"  ",IF(C58&gt;0,E58/C58,IF(E58&gt;0,1,0)))</f>
        <v>-9.1082980901056848E-2</v>
      </c>
      <c r="G58" s="171">
        <f>G56+G54+G52+G50+G48+G46+G44+G37</f>
        <v>82974126</v>
      </c>
      <c r="H58" s="228"/>
      <c r="I58" s="189"/>
    </row>
    <row r="59" spans="1:9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9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9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9" ht="15" customHeight="1" x14ac:dyDescent="0.25">
      <c r="A62" s="73" t="s">
        <v>54</v>
      </c>
      <c r="B62" s="65">
        <v>37131763</v>
      </c>
      <c r="C62" s="65">
        <v>41497248</v>
      </c>
      <c r="D62" s="65">
        <v>38478907</v>
      </c>
      <c r="E62" s="65">
        <f>D62-C62</f>
        <v>-3018341</v>
      </c>
      <c r="F62" s="70">
        <f t="shared" ref="F62:F75" si="5">IF(ISBLANK(E62),"  ",IF(C62&gt;0,E62/C62,IF(E62&gt;0,1,0)))</f>
        <v>-7.2735931789982791E-2</v>
      </c>
      <c r="G62" s="65">
        <v>38478907</v>
      </c>
      <c r="H62" s="227"/>
    </row>
    <row r="63" spans="1:9" ht="15" customHeight="1" x14ac:dyDescent="0.25">
      <c r="A63" s="75" t="s">
        <v>55</v>
      </c>
      <c r="B63" s="74">
        <v>181565</v>
      </c>
      <c r="C63" s="74">
        <v>181565</v>
      </c>
      <c r="D63" s="74">
        <v>209136</v>
      </c>
      <c r="E63" s="74">
        <f>D63-C63</f>
        <v>27571</v>
      </c>
      <c r="F63" s="70">
        <f t="shared" si="5"/>
        <v>0.15185195384573019</v>
      </c>
      <c r="G63" s="74">
        <v>209136</v>
      </c>
      <c r="H63" s="227"/>
    </row>
    <row r="64" spans="1:9" ht="15" customHeight="1" x14ac:dyDescent="0.25">
      <c r="A64" s="75" t="s">
        <v>56</v>
      </c>
      <c r="B64" s="74">
        <v>204077</v>
      </c>
      <c r="C64" s="74">
        <v>204077</v>
      </c>
      <c r="D64" s="74">
        <v>87763</v>
      </c>
      <c r="E64" s="74">
        <f t="shared" ref="E64:E75" si="6">D64-C64</f>
        <v>-116314</v>
      </c>
      <c r="F64" s="70">
        <f t="shared" si="5"/>
        <v>-0.56995153789991038</v>
      </c>
      <c r="G64" s="74">
        <v>87763</v>
      </c>
      <c r="H64" s="227"/>
    </row>
    <row r="65" spans="1:8" ht="15" customHeight="1" x14ac:dyDescent="0.25">
      <c r="A65" s="75" t="s">
        <v>57</v>
      </c>
      <c r="B65" s="74">
        <v>6648088</v>
      </c>
      <c r="C65" s="74">
        <v>6648088</v>
      </c>
      <c r="D65" s="74">
        <v>6582071</v>
      </c>
      <c r="E65" s="74">
        <f t="shared" si="6"/>
        <v>-66017</v>
      </c>
      <c r="F65" s="70">
        <f t="shared" si="5"/>
        <v>-9.9302235469807265E-3</v>
      </c>
      <c r="G65" s="74">
        <v>6582071</v>
      </c>
      <c r="H65" s="227"/>
    </row>
    <row r="66" spans="1:8" ht="15" customHeight="1" x14ac:dyDescent="0.25">
      <c r="A66" s="75" t="s">
        <v>58</v>
      </c>
      <c r="B66" s="74">
        <v>5684469</v>
      </c>
      <c r="C66" s="74">
        <v>5684469</v>
      </c>
      <c r="D66" s="74">
        <v>5871903</v>
      </c>
      <c r="E66" s="74">
        <f t="shared" si="6"/>
        <v>187434</v>
      </c>
      <c r="F66" s="70">
        <f t="shared" si="5"/>
        <v>3.2973000644387365E-2</v>
      </c>
      <c r="G66" s="74">
        <v>5871903</v>
      </c>
      <c r="H66" s="227"/>
    </row>
    <row r="67" spans="1:8" ht="15" customHeight="1" x14ac:dyDescent="0.25">
      <c r="A67" s="75" t="s">
        <v>59</v>
      </c>
      <c r="B67" s="74">
        <v>10371052</v>
      </c>
      <c r="C67" s="74">
        <v>10346829</v>
      </c>
      <c r="D67" s="74">
        <v>9910154</v>
      </c>
      <c r="E67" s="74">
        <f t="shared" si="6"/>
        <v>-436675</v>
      </c>
      <c r="F67" s="70">
        <f t="shared" si="5"/>
        <v>-4.2203751506862633E-2</v>
      </c>
      <c r="G67" s="74">
        <v>10102443</v>
      </c>
      <c r="H67" s="227"/>
    </row>
    <row r="68" spans="1:8" ht="15" customHeight="1" x14ac:dyDescent="0.25">
      <c r="A68" s="75" t="s">
        <v>60</v>
      </c>
      <c r="B68" s="74">
        <v>11624531</v>
      </c>
      <c r="C68" s="74">
        <v>11624531</v>
      </c>
      <c r="D68" s="74">
        <v>12200148</v>
      </c>
      <c r="E68" s="74">
        <f t="shared" si="6"/>
        <v>575617</v>
      </c>
      <c r="F68" s="70">
        <f t="shared" si="5"/>
        <v>4.9517438596017337E-2</v>
      </c>
      <c r="G68" s="74">
        <v>12200148</v>
      </c>
      <c r="H68" s="227"/>
    </row>
    <row r="69" spans="1:8" ht="15" customHeight="1" x14ac:dyDescent="0.25">
      <c r="A69" s="75" t="s">
        <v>61</v>
      </c>
      <c r="B69" s="74">
        <v>6854539</v>
      </c>
      <c r="C69" s="74">
        <v>6854539</v>
      </c>
      <c r="D69" s="74">
        <v>5804381</v>
      </c>
      <c r="E69" s="74">
        <f t="shared" si="6"/>
        <v>-1050158</v>
      </c>
      <c r="F69" s="70">
        <f t="shared" si="5"/>
        <v>-0.15320621853635963</v>
      </c>
      <c r="G69" s="74">
        <v>5804381</v>
      </c>
      <c r="H69" s="227"/>
    </row>
    <row r="70" spans="1:8" s="124" customFormat="1" ht="15" customHeight="1" x14ac:dyDescent="0.25">
      <c r="A70" s="94" t="s">
        <v>62</v>
      </c>
      <c r="B70" s="80">
        <v>78700084</v>
      </c>
      <c r="C70" s="80">
        <v>83041346</v>
      </c>
      <c r="D70" s="80">
        <v>79144463</v>
      </c>
      <c r="E70" s="74">
        <f t="shared" si="6"/>
        <v>-3896883</v>
      </c>
      <c r="F70" s="81">
        <f t="shared" si="5"/>
        <v>-4.6927021149199583E-2</v>
      </c>
      <c r="G70" s="80">
        <v>79336752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6"/>
        <v>0</v>
      </c>
      <c r="F71" s="70">
        <f t="shared" si="5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127608</v>
      </c>
      <c r="C72" s="74">
        <v>127608</v>
      </c>
      <c r="D72" s="74">
        <v>177117</v>
      </c>
      <c r="E72" s="74">
        <f t="shared" si="6"/>
        <v>49509</v>
      </c>
      <c r="F72" s="70">
        <f t="shared" si="5"/>
        <v>0.38797724280609364</v>
      </c>
      <c r="G72" s="74">
        <v>177117</v>
      </c>
      <c r="H72" s="227"/>
    </row>
    <row r="73" spans="1:8" ht="15" customHeight="1" x14ac:dyDescent="0.25">
      <c r="A73" s="75" t="s">
        <v>65</v>
      </c>
      <c r="B73" s="74">
        <v>4101477</v>
      </c>
      <c r="C73" s="74">
        <v>4101477</v>
      </c>
      <c r="D73" s="74">
        <v>0</v>
      </c>
      <c r="E73" s="74">
        <f t="shared" si="6"/>
        <v>-4101477</v>
      </c>
      <c r="F73" s="70">
        <f t="shared" si="5"/>
        <v>-1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6"/>
        <v>0</v>
      </c>
      <c r="F74" s="70">
        <f t="shared" si="5"/>
        <v>0</v>
      </c>
      <c r="G74" s="74">
        <v>3460257</v>
      </c>
      <c r="H74" s="227"/>
    </row>
    <row r="75" spans="1:8" s="124" customFormat="1" ht="15" customHeight="1" x14ac:dyDescent="0.25">
      <c r="A75" s="95" t="s">
        <v>67</v>
      </c>
      <c r="B75" s="96">
        <v>82929169</v>
      </c>
      <c r="C75" s="96">
        <v>87270431</v>
      </c>
      <c r="D75" s="96">
        <v>79321580</v>
      </c>
      <c r="E75" s="112">
        <f t="shared" si="6"/>
        <v>-7948851</v>
      </c>
      <c r="F75" s="81">
        <f t="shared" si="5"/>
        <v>-9.1082980901056848E-2</v>
      </c>
      <c r="G75" s="96">
        <v>82974126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40192752</v>
      </c>
      <c r="C78" s="69">
        <v>43348969</v>
      </c>
      <c r="D78" s="69">
        <v>40268751</v>
      </c>
      <c r="E78" s="65">
        <f>D78-C78</f>
        <v>-3080218</v>
      </c>
      <c r="F78" s="70">
        <f t="shared" ref="F78:F96" si="7">IF(ISBLANK(E78),"  ",IF(C78&gt;0,E78/C78,IF(E78&gt;0,1,0)))</f>
        <v>-7.1056315087909008E-2</v>
      </c>
      <c r="G78" s="69">
        <v>40268751</v>
      </c>
      <c r="H78" s="227"/>
    </row>
    <row r="79" spans="1:8" ht="15" customHeight="1" x14ac:dyDescent="0.25">
      <c r="A79" s="75" t="s">
        <v>70</v>
      </c>
      <c r="B79" s="72">
        <v>664713</v>
      </c>
      <c r="C79" s="72">
        <v>664713</v>
      </c>
      <c r="D79" s="72">
        <v>632373</v>
      </c>
      <c r="E79" s="74">
        <f>D79-C79</f>
        <v>-32340</v>
      </c>
      <c r="F79" s="70">
        <f t="shared" si="7"/>
        <v>-4.8652576375067133E-2</v>
      </c>
      <c r="G79" s="72">
        <v>632373</v>
      </c>
      <c r="H79" s="227"/>
    </row>
    <row r="80" spans="1:8" ht="15" customHeight="1" x14ac:dyDescent="0.25">
      <c r="A80" s="75" t="s">
        <v>71</v>
      </c>
      <c r="B80" s="65">
        <v>17212733</v>
      </c>
      <c r="C80" s="65">
        <v>18099783</v>
      </c>
      <c r="D80" s="65">
        <v>18016230</v>
      </c>
      <c r="E80" s="74">
        <f t="shared" ref="E80:E95" si="8">D80-C80</f>
        <v>-83553</v>
      </c>
      <c r="F80" s="70">
        <f t="shared" si="7"/>
        <v>-4.6162431892139257E-3</v>
      </c>
      <c r="G80" s="65">
        <v>18016230</v>
      </c>
      <c r="H80" s="227"/>
    </row>
    <row r="81" spans="1:8" s="124" customFormat="1" ht="15" customHeight="1" x14ac:dyDescent="0.25">
      <c r="A81" s="94" t="s">
        <v>72</v>
      </c>
      <c r="B81" s="96">
        <v>58070198</v>
      </c>
      <c r="C81" s="96">
        <v>62113465</v>
      </c>
      <c r="D81" s="96">
        <v>58917354</v>
      </c>
      <c r="E81" s="80">
        <f t="shared" si="8"/>
        <v>-3196111</v>
      </c>
      <c r="F81" s="81">
        <f t="shared" si="7"/>
        <v>-5.1456008773620984E-2</v>
      </c>
      <c r="G81" s="96">
        <v>58917354</v>
      </c>
      <c r="H81" s="228"/>
    </row>
    <row r="82" spans="1:8" ht="15" customHeight="1" x14ac:dyDescent="0.25">
      <c r="A82" s="75" t="s">
        <v>73</v>
      </c>
      <c r="B82" s="72">
        <v>333762</v>
      </c>
      <c r="C82" s="72">
        <v>333762</v>
      </c>
      <c r="D82" s="72">
        <v>170372</v>
      </c>
      <c r="E82" s="74">
        <f t="shared" si="8"/>
        <v>-163390</v>
      </c>
      <c r="F82" s="70">
        <f t="shared" si="7"/>
        <v>-0.48954045098003968</v>
      </c>
      <c r="G82" s="72">
        <v>170372</v>
      </c>
      <c r="H82" s="227"/>
    </row>
    <row r="83" spans="1:8" ht="15" customHeight="1" x14ac:dyDescent="0.25">
      <c r="A83" s="75" t="s">
        <v>74</v>
      </c>
      <c r="B83" s="69">
        <v>6611293</v>
      </c>
      <c r="C83" s="69">
        <v>6587070</v>
      </c>
      <c r="D83" s="69">
        <v>6271169</v>
      </c>
      <c r="E83" s="74">
        <f t="shared" si="8"/>
        <v>-315901</v>
      </c>
      <c r="F83" s="70">
        <f t="shared" si="7"/>
        <v>-4.7957741454091124E-2</v>
      </c>
      <c r="G83" s="69">
        <v>6271169</v>
      </c>
      <c r="H83" s="227"/>
    </row>
    <row r="84" spans="1:8" ht="15" customHeight="1" x14ac:dyDescent="0.25">
      <c r="A84" s="75" t="s">
        <v>75</v>
      </c>
      <c r="B84" s="65">
        <v>682696</v>
      </c>
      <c r="C84" s="65">
        <v>682696</v>
      </c>
      <c r="D84" s="65">
        <v>692551</v>
      </c>
      <c r="E84" s="74">
        <f t="shared" si="8"/>
        <v>9855</v>
      </c>
      <c r="F84" s="70">
        <f t="shared" si="7"/>
        <v>1.4435414884516681E-2</v>
      </c>
      <c r="G84" s="65">
        <v>692551</v>
      </c>
      <c r="H84" s="227"/>
    </row>
    <row r="85" spans="1:8" s="124" customFormat="1" ht="15" customHeight="1" x14ac:dyDescent="0.25">
      <c r="A85" s="78" t="s">
        <v>76</v>
      </c>
      <c r="B85" s="96">
        <v>7627751</v>
      </c>
      <c r="C85" s="96">
        <v>7603528</v>
      </c>
      <c r="D85" s="96">
        <v>7134092</v>
      </c>
      <c r="E85" s="80">
        <f t="shared" si="8"/>
        <v>-469436</v>
      </c>
      <c r="F85" s="81">
        <f t="shared" si="7"/>
        <v>-6.1739234734191815E-2</v>
      </c>
      <c r="G85" s="96">
        <v>7134092</v>
      </c>
      <c r="H85" s="228"/>
    </row>
    <row r="86" spans="1:8" ht="15" customHeight="1" x14ac:dyDescent="0.25">
      <c r="A86" s="75" t="s">
        <v>77</v>
      </c>
      <c r="B86" s="65">
        <v>475290</v>
      </c>
      <c r="C86" s="65">
        <v>475290</v>
      </c>
      <c r="D86" s="65">
        <v>468992</v>
      </c>
      <c r="E86" s="74">
        <f t="shared" si="8"/>
        <v>-6298</v>
      </c>
      <c r="F86" s="70">
        <f t="shared" si="7"/>
        <v>-1.3250857371289108E-2</v>
      </c>
      <c r="G86" s="65">
        <v>468992</v>
      </c>
      <c r="H86" s="227"/>
    </row>
    <row r="87" spans="1:8" ht="15" customHeight="1" x14ac:dyDescent="0.25">
      <c r="A87" s="75" t="s">
        <v>78</v>
      </c>
      <c r="B87" s="74">
        <v>16177726</v>
      </c>
      <c r="C87" s="74">
        <v>16499944</v>
      </c>
      <c r="D87" s="74">
        <v>12454441</v>
      </c>
      <c r="E87" s="74">
        <f t="shared" si="8"/>
        <v>-4045503</v>
      </c>
      <c r="F87" s="70">
        <f t="shared" si="7"/>
        <v>-0.24518283213567271</v>
      </c>
      <c r="G87" s="74">
        <v>16106987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8"/>
        <v>0</v>
      </c>
      <c r="F88" s="70">
        <f t="shared" si="7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0</v>
      </c>
      <c r="C89" s="74">
        <v>0</v>
      </c>
      <c r="D89" s="74">
        <v>0</v>
      </c>
      <c r="E89" s="74">
        <f t="shared" si="8"/>
        <v>0</v>
      </c>
      <c r="F89" s="70">
        <f t="shared" si="7"/>
        <v>0</v>
      </c>
      <c r="G89" s="74">
        <v>0</v>
      </c>
      <c r="H89" s="227"/>
    </row>
    <row r="90" spans="1:8" s="124" customFormat="1" ht="15" customHeight="1" x14ac:dyDescent="0.25">
      <c r="A90" s="78" t="s">
        <v>81</v>
      </c>
      <c r="B90" s="80">
        <v>16653016</v>
      </c>
      <c r="C90" s="80">
        <v>16975234</v>
      </c>
      <c r="D90" s="80">
        <v>12923433</v>
      </c>
      <c r="E90" s="80">
        <f t="shared" si="8"/>
        <v>-4051801</v>
      </c>
      <c r="F90" s="81">
        <f t="shared" si="7"/>
        <v>-0.23868896299161471</v>
      </c>
      <c r="G90" s="80">
        <v>16575979</v>
      </c>
      <c r="H90" s="228"/>
    </row>
    <row r="91" spans="1:8" ht="15" customHeight="1" x14ac:dyDescent="0.25">
      <c r="A91" s="75" t="s">
        <v>82</v>
      </c>
      <c r="B91" s="74">
        <v>195458</v>
      </c>
      <c r="C91" s="74">
        <v>195458</v>
      </c>
      <c r="D91" s="74">
        <v>12910</v>
      </c>
      <c r="E91" s="74">
        <f t="shared" si="8"/>
        <v>-182548</v>
      </c>
      <c r="F91" s="70">
        <f t="shared" si="7"/>
        <v>-0.93395000460456978</v>
      </c>
      <c r="G91" s="74">
        <v>12910</v>
      </c>
      <c r="H91" s="227"/>
    </row>
    <row r="92" spans="1:8" ht="15" customHeight="1" x14ac:dyDescent="0.25">
      <c r="A92" s="75" t="s">
        <v>83</v>
      </c>
      <c r="B92" s="74">
        <v>382746</v>
      </c>
      <c r="C92" s="74">
        <v>382746</v>
      </c>
      <c r="D92" s="74">
        <v>333791</v>
      </c>
      <c r="E92" s="74">
        <f t="shared" si="8"/>
        <v>-48955</v>
      </c>
      <c r="F92" s="70">
        <f t="shared" si="7"/>
        <v>-0.12790466784760651</v>
      </c>
      <c r="G92" s="74">
        <v>333791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8"/>
        <v>0</v>
      </c>
      <c r="F93" s="70">
        <f t="shared" si="7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v>578204</v>
      </c>
      <c r="C94" s="96">
        <v>578204</v>
      </c>
      <c r="D94" s="96">
        <v>346701</v>
      </c>
      <c r="E94" s="74">
        <f t="shared" si="8"/>
        <v>-231503</v>
      </c>
      <c r="F94" s="81">
        <f t="shared" si="7"/>
        <v>-0.40038290983805025</v>
      </c>
      <c r="G94" s="96">
        <v>346701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8"/>
        <v>0</v>
      </c>
      <c r="F95" s="70">
        <f t="shared" si="7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v>82929169</v>
      </c>
      <c r="C96" s="196">
        <v>87270431</v>
      </c>
      <c r="D96" s="196">
        <v>79321580</v>
      </c>
      <c r="E96" s="196">
        <f>D96-C96</f>
        <v>-7948851</v>
      </c>
      <c r="F96" s="198">
        <f t="shared" si="7"/>
        <v>-9.1082980901056848E-2</v>
      </c>
      <c r="G96" s="196">
        <v>82974126</v>
      </c>
      <c r="H96" s="228"/>
    </row>
    <row r="97" spans="1:9" ht="15" customHeight="1" thickTop="1" x14ac:dyDescent="0.25">
      <c r="A97" s="184"/>
      <c r="B97" s="185"/>
      <c r="C97" s="185"/>
      <c r="D97" s="185"/>
      <c r="E97" s="185"/>
      <c r="F97" s="186" t="s">
        <v>46</v>
      </c>
      <c r="G97" s="142"/>
      <c r="H97" s="142"/>
      <c r="I97" s="142"/>
    </row>
    <row r="98" spans="1:9" x14ac:dyDescent="0.25">
      <c r="A98" s="139" t="s">
        <v>197</v>
      </c>
    </row>
    <row r="99" spans="1:9" x14ac:dyDescent="0.25">
      <c r="A99" s="139" t="s">
        <v>190</v>
      </c>
    </row>
  </sheetData>
  <mergeCells count="1">
    <mergeCell ref="G2:G3"/>
  </mergeCells>
  <hyperlinks>
    <hyperlink ref="I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39" customWidth="1"/>
    <col min="2" max="5" width="23.7109375" style="187" customWidth="1"/>
    <col min="6" max="6" width="23.7109375" style="188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100</v>
      </c>
      <c r="F1" s="50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143" t="s">
        <v>4</v>
      </c>
      <c r="B4" s="144" t="s">
        <v>5</v>
      </c>
      <c r="C4" s="145" t="s">
        <v>6</v>
      </c>
      <c r="D4" s="145" t="s">
        <v>6</v>
      </c>
      <c r="E4" s="145" t="s">
        <v>7</v>
      </c>
      <c r="F4" s="146" t="s">
        <v>8</v>
      </c>
      <c r="G4" s="145" t="s">
        <v>210</v>
      </c>
      <c r="H4" s="229"/>
    </row>
    <row r="5" spans="1:9" s="140" customFormat="1" ht="15" customHeight="1" x14ac:dyDescent="0.25">
      <c r="A5" s="147"/>
      <c r="B5" s="148" t="s">
        <v>192</v>
      </c>
      <c r="C5" s="148" t="s">
        <v>198</v>
      </c>
      <c r="D5" s="148" t="s">
        <v>199</v>
      </c>
      <c r="E5" s="148" t="s">
        <v>192</v>
      </c>
      <c r="F5" s="149" t="s">
        <v>9</v>
      </c>
      <c r="G5" s="148" t="s">
        <v>211</v>
      </c>
      <c r="H5" s="230"/>
    </row>
    <row r="6" spans="1:9" ht="15" customHeight="1" x14ac:dyDescent="0.25">
      <c r="A6" s="150" t="s">
        <v>10</v>
      </c>
      <c r="B6" s="151"/>
      <c r="C6" s="151"/>
      <c r="D6" s="151"/>
      <c r="E6" s="151"/>
      <c r="F6" s="152"/>
      <c r="G6" s="151"/>
      <c r="H6" s="185"/>
    </row>
    <row r="7" spans="1:9" ht="15" customHeight="1" x14ac:dyDescent="0.25">
      <c r="A7" s="150" t="s">
        <v>11</v>
      </c>
      <c r="B7" s="151"/>
      <c r="C7" s="151"/>
      <c r="D7" s="151"/>
      <c r="E7" s="151"/>
      <c r="F7" s="153"/>
      <c r="G7" s="151"/>
      <c r="H7" s="185"/>
    </row>
    <row r="8" spans="1:9" ht="15" customHeight="1" x14ac:dyDescent="0.25">
      <c r="A8" s="154" t="s">
        <v>12</v>
      </c>
      <c r="B8" s="155">
        <v>27750156</v>
      </c>
      <c r="C8" s="155">
        <v>27750156</v>
      </c>
      <c r="D8" s="155">
        <v>22060896</v>
      </c>
      <c r="E8" s="155">
        <f>D8-C8</f>
        <v>-5689260</v>
      </c>
      <c r="F8" s="156">
        <f t="shared" ref="F8:F31" si="0">IF(ISBLANK(E8),"  ",IF(C8&gt;0,E8/C8,IF(E8&gt;0,1,0)))</f>
        <v>-0.20501722584910875</v>
      </c>
      <c r="G8" s="155">
        <v>22060896</v>
      </c>
      <c r="H8" s="185"/>
    </row>
    <row r="9" spans="1:9" ht="15" customHeight="1" x14ac:dyDescent="0.25">
      <c r="A9" s="154" t="s">
        <v>13</v>
      </c>
      <c r="B9" s="155">
        <v>0</v>
      </c>
      <c r="C9" s="155">
        <v>0</v>
      </c>
      <c r="D9" s="155">
        <v>0</v>
      </c>
      <c r="E9" s="155">
        <f t="shared" ref="E9:E31" si="1">D9-C9</f>
        <v>0</v>
      </c>
      <c r="F9" s="156">
        <f t="shared" si="0"/>
        <v>0</v>
      </c>
      <c r="G9" s="155">
        <v>0</v>
      </c>
      <c r="H9" s="185"/>
    </row>
    <row r="10" spans="1:9" ht="15" customHeight="1" x14ac:dyDescent="0.25">
      <c r="A10" s="157" t="s">
        <v>14</v>
      </c>
      <c r="B10" s="158">
        <v>1734983.12</v>
      </c>
      <c r="C10" s="158">
        <v>2061293</v>
      </c>
      <c r="D10" s="158">
        <v>1765779</v>
      </c>
      <c r="E10" s="155">
        <f t="shared" si="1"/>
        <v>-295514</v>
      </c>
      <c r="F10" s="156">
        <f t="shared" si="0"/>
        <v>-0.14336341315863393</v>
      </c>
      <c r="G10" s="158">
        <v>1765779</v>
      </c>
      <c r="H10" s="185"/>
    </row>
    <row r="11" spans="1:9" ht="15" customHeight="1" x14ac:dyDescent="0.25">
      <c r="A11" s="159" t="s">
        <v>15</v>
      </c>
      <c r="B11" s="160">
        <v>0</v>
      </c>
      <c r="C11" s="160">
        <v>0</v>
      </c>
      <c r="D11" s="160">
        <v>0</v>
      </c>
      <c r="E11" s="155">
        <f t="shared" si="1"/>
        <v>0</v>
      </c>
      <c r="F11" s="156">
        <f t="shared" si="0"/>
        <v>0</v>
      </c>
      <c r="G11" s="160">
        <v>0</v>
      </c>
      <c r="H11" s="185"/>
    </row>
    <row r="12" spans="1:9" ht="15" customHeight="1" x14ac:dyDescent="0.25">
      <c r="A12" s="161" t="s">
        <v>16</v>
      </c>
      <c r="B12" s="160">
        <v>1734983.12</v>
      </c>
      <c r="C12" s="160">
        <v>2061293</v>
      </c>
      <c r="D12" s="160">
        <v>1765779</v>
      </c>
      <c r="E12" s="155">
        <f t="shared" si="1"/>
        <v>-295514</v>
      </c>
      <c r="F12" s="156">
        <f t="shared" si="0"/>
        <v>-0.14336341315863393</v>
      </c>
      <c r="G12" s="160">
        <v>1765779</v>
      </c>
      <c r="H12" s="185"/>
    </row>
    <row r="13" spans="1:9" ht="15" customHeight="1" x14ac:dyDescent="0.25">
      <c r="A13" s="161" t="s">
        <v>17</v>
      </c>
      <c r="B13" s="160">
        <v>0</v>
      </c>
      <c r="C13" s="160">
        <v>0</v>
      </c>
      <c r="D13" s="160">
        <v>0</v>
      </c>
      <c r="E13" s="155">
        <f t="shared" si="1"/>
        <v>0</v>
      </c>
      <c r="F13" s="156">
        <f t="shared" si="0"/>
        <v>0</v>
      </c>
      <c r="G13" s="160">
        <v>0</v>
      </c>
      <c r="H13" s="185"/>
    </row>
    <row r="14" spans="1:9" ht="15" customHeight="1" x14ac:dyDescent="0.25">
      <c r="A14" s="161" t="s">
        <v>18</v>
      </c>
      <c r="B14" s="160">
        <v>0</v>
      </c>
      <c r="C14" s="160">
        <v>0</v>
      </c>
      <c r="D14" s="160">
        <v>0</v>
      </c>
      <c r="E14" s="155">
        <f t="shared" si="1"/>
        <v>0</v>
      </c>
      <c r="F14" s="156">
        <f t="shared" si="0"/>
        <v>0</v>
      </c>
      <c r="G14" s="160">
        <v>0</v>
      </c>
      <c r="H14" s="185"/>
    </row>
    <row r="15" spans="1:9" ht="15" customHeight="1" x14ac:dyDescent="0.25">
      <c r="A15" s="161" t="s">
        <v>19</v>
      </c>
      <c r="B15" s="160">
        <v>0</v>
      </c>
      <c r="C15" s="160">
        <v>0</v>
      </c>
      <c r="D15" s="160">
        <v>0</v>
      </c>
      <c r="E15" s="155">
        <f t="shared" si="1"/>
        <v>0</v>
      </c>
      <c r="F15" s="156">
        <f t="shared" si="0"/>
        <v>0</v>
      </c>
      <c r="G15" s="160">
        <v>0</v>
      </c>
      <c r="H15" s="185"/>
    </row>
    <row r="16" spans="1:9" ht="15" customHeight="1" x14ac:dyDescent="0.25">
      <c r="A16" s="161" t="s">
        <v>20</v>
      </c>
      <c r="B16" s="160">
        <v>0</v>
      </c>
      <c r="C16" s="160">
        <v>0</v>
      </c>
      <c r="D16" s="160">
        <v>0</v>
      </c>
      <c r="E16" s="155">
        <f t="shared" si="1"/>
        <v>0</v>
      </c>
      <c r="F16" s="156">
        <f t="shared" si="0"/>
        <v>0</v>
      </c>
      <c r="G16" s="160">
        <v>0</v>
      </c>
      <c r="H16" s="185"/>
    </row>
    <row r="17" spans="1:8" ht="15" customHeight="1" x14ac:dyDescent="0.25">
      <c r="A17" s="161" t="s">
        <v>21</v>
      </c>
      <c r="B17" s="160">
        <v>0</v>
      </c>
      <c r="C17" s="160">
        <v>0</v>
      </c>
      <c r="D17" s="160">
        <v>0</v>
      </c>
      <c r="E17" s="155">
        <f t="shared" si="1"/>
        <v>0</v>
      </c>
      <c r="F17" s="156">
        <f t="shared" si="0"/>
        <v>0</v>
      </c>
      <c r="G17" s="160">
        <v>0</v>
      </c>
      <c r="H17" s="185"/>
    </row>
    <row r="18" spans="1:8" ht="15" customHeight="1" x14ac:dyDescent="0.25">
      <c r="A18" s="161" t="s">
        <v>22</v>
      </c>
      <c r="B18" s="160">
        <v>0</v>
      </c>
      <c r="C18" s="160">
        <v>0</v>
      </c>
      <c r="D18" s="160">
        <v>0</v>
      </c>
      <c r="E18" s="155">
        <f t="shared" si="1"/>
        <v>0</v>
      </c>
      <c r="F18" s="156">
        <f t="shared" si="0"/>
        <v>0</v>
      </c>
      <c r="G18" s="160">
        <v>0</v>
      </c>
      <c r="H18" s="185"/>
    </row>
    <row r="19" spans="1:8" ht="15" customHeight="1" x14ac:dyDescent="0.25">
      <c r="A19" s="161" t="s">
        <v>23</v>
      </c>
      <c r="B19" s="160">
        <v>0</v>
      </c>
      <c r="C19" s="160">
        <v>0</v>
      </c>
      <c r="D19" s="160">
        <v>0</v>
      </c>
      <c r="E19" s="155">
        <f t="shared" si="1"/>
        <v>0</v>
      </c>
      <c r="F19" s="156">
        <f t="shared" si="0"/>
        <v>0</v>
      </c>
      <c r="G19" s="160">
        <v>0</v>
      </c>
      <c r="H19" s="185"/>
    </row>
    <row r="20" spans="1:8" ht="15" customHeight="1" x14ac:dyDescent="0.25">
      <c r="A20" s="161" t="s">
        <v>24</v>
      </c>
      <c r="B20" s="160">
        <v>0</v>
      </c>
      <c r="C20" s="160">
        <v>0</v>
      </c>
      <c r="D20" s="160">
        <v>0</v>
      </c>
      <c r="E20" s="155">
        <f t="shared" si="1"/>
        <v>0</v>
      </c>
      <c r="F20" s="156">
        <f t="shared" si="0"/>
        <v>0</v>
      </c>
      <c r="G20" s="160">
        <v>0</v>
      </c>
      <c r="H20" s="185"/>
    </row>
    <row r="21" spans="1:8" ht="15" customHeight="1" x14ac:dyDescent="0.25">
      <c r="A21" s="161" t="s">
        <v>25</v>
      </c>
      <c r="B21" s="160">
        <v>0</v>
      </c>
      <c r="C21" s="160">
        <v>0</v>
      </c>
      <c r="D21" s="160">
        <v>0</v>
      </c>
      <c r="E21" s="155">
        <f t="shared" si="1"/>
        <v>0</v>
      </c>
      <c r="F21" s="156">
        <f t="shared" si="0"/>
        <v>0</v>
      </c>
      <c r="G21" s="160">
        <v>0</v>
      </c>
      <c r="H21" s="185"/>
    </row>
    <row r="22" spans="1:8" ht="15" customHeight="1" x14ac:dyDescent="0.25">
      <c r="A22" s="161" t="s">
        <v>26</v>
      </c>
      <c r="B22" s="160">
        <v>0</v>
      </c>
      <c r="C22" s="160">
        <v>0</v>
      </c>
      <c r="D22" s="160">
        <v>0</v>
      </c>
      <c r="E22" s="155">
        <f t="shared" si="1"/>
        <v>0</v>
      </c>
      <c r="F22" s="156">
        <f t="shared" si="0"/>
        <v>0</v>
      </c>
      <c r="G22" s="160">
        <v>0</v>
      </c>
      <c r="H22" s="185"/>
    </row>
    <row r="23" spans="1:8" ht="15" customHeight="1" x14ac:dyDescent="0.25">
      <c r="A23" s="162" t="s">
        <v>27</v>
      </c>
      <c r="B23" s="160">
        <v>0</v>
      </c>
      <c r="C23" s="160">
        <v>0</v>
      </c>
      <c r="D23" s="160">
        <v>0</v>
      </c>
      <c r="E23" s="155">
        <f t="shared" si="1"/>
        <v>0</v>
      </c>
      <c r="F23" s="156">
        <f t="shared" si="0"/>
        <v>0</v>
      </c>
      <c r="G23" s="160">
        <v>0</v>
      </c>
      <c r="H23" s="185"/>
    </row>
    <row r="24" spans="1:8" ht="15" customHeight="1" x14ac:dyDescent="0.25">
      <c r="A24" s="162" t="s">
        <v>28</v>
      </c>
      <c r="B24" s="160">
        <v>0</v>
      </c>
      <c r="C24" s="160">
        <v>0</v>
      </c>
      <c r="D24" s="160">
        <v>0</v>
      </c>
      <c r="E24" s="155">
        <f t="shared" si="1"/>
        <v>0</v>
      </c>
      <c r="F24" s="156">
        <f t="shared" si="0"/>
        <v>0</v>
      </c>
      <c r="G24" s="160">
        <v>0</v>
      </c>
      <c r="H24" s="185"/>
    </row>
    <row r="25" spans="1:8" ht="15" customHeight="1" x14ac:dyDescent="0.25">
      <c r="A25" s="162" t="s">
        <v>29</v>
      </c>
      <c r="B25" s="160">
        <v>0</v>
      </c>
      <c r="C25" s="160">
        <v>0</v>
      </c>
      <c r="D25" s="160">
        <v>0</v>
      </c>
      <c r="E25" s="155">
        <f t="shared" si="1"/>
        <v>0</v>
      </c>
      <c r="F25" s="156">
        <f t="shared" si="0"/>
        <v>0</v>
      </c>
      <c r="G25" s="160">
        <v>0</v>
      </c>
      <c r="H25" s="185"/>
    </row>
    <row r="26" spans="1:8" ht="15" customHeight="1" x14ac:dyDescent="0.25">
      <c r="A26" s="162" t="s">
        <v>30</v>
      </c>
      <c r="B26" s="160">
        <v>0</v>
      </c>
      <c r="C26" s="160">
        <v>0</v>
      </c>
      <c r="D26" s="160">
        <v>0</v>
      </c>
      <c r="E26" s="155">
        <f t="shared" si="1"/>
        <v>0</v>
      </c>
      <c r="F26" s="156">
        <f t="shared" si="0"/>
        <v>0</v>
      </c>
      <c r="G26" s="160">
        <v>0</v>
      </c>
      <c r="H26" s="185"/>
    </row>
    <row r="27" spans="1:8" ht="15" customHeight="1" x14ac:dyDescent="0.25">
      <c r="A27" s="162" t="s">
        <v>31</v>
      </c>
      <c r="B27" s="160">
        <v>0</v>
      </c>
      <c r="C27" s="160">
        <v>0</v>
      </c>
      <c r="D27" s="160">
        <v>0</v>
      </c>
      <c r="E27" s="155">
        <f t="shared" si="1"/>
        <v>0</v>
      </c>
      <c r="F27" s="156">
        <f t="shared" si="0"/>
        <v>0</v>
      </c>
      <c r="G27" s="160">
        <v>0</v>
      </c>
      <c r="H27" s="185"/>
    </row>
    <row r="28" spans="1:8" ht="15" customHeight="1" x14ac:dyDescent="0.25">
      <c r="A28" s="162" t="s">
        <v>87</v>
      </c>
      <c r="B28" s="160">
        <v>0</v>
      </c>
      <c r="C28" s="160">
        <v>0</v>
      </c>
      <c r="D28" s="160">
        <v>0</v>
      </c>
      <c r="E28" s="155">
        <f t="shared" si="1"/>
        <v>0</v>
      </c>
      <c r="F28" s="156">
        <f t="shared" si="0"/>
        <v>0</v>
      </c>
      <c r="G28" s="160">
        <v>0</v>
      </c>
      <c r="H28" s="185"/>
    </row>
    <row r="29" spans="1:8" ht="15" customHeight="1" x14ac:dyDescent="0.25">
      <c r="A29" s="162" t="s">
        <v>32</v>
      </c>
      <c r="B29" s="160">
        <v>0</v>
      </c>
      <c r="C29" s="160">
        <v>0</v>
      </c>
      <c r="D29" s="160">
        <v>0</v>
      </c>
      <c r="E29" s="155">
        <f t="shared" si="1"/>
        <v>0</v>
      </c>
      <c r="F29" s="156">
        <f t="shared" si="0"/>
        <v>0</v>
      </c>
      <c r="G29" s="160">
        <v>0</v>
      </c>
      <c r="H29" s="185"/>
    </row>
    <row r="30" spans="1:8" ht="15" customHeight="1" x14ac:dyDescent="0.25">
      <c r="A30" s="219" t="s">
        <v>201</v>
      </c>
      <c r="B30" s="160">
        <v>0</v>
      </c>
      <c r="C30" s="160">
        <v>0</v>
      </c>
      <c r="D30" s="160">
        <v>0</v>
      </c>
      <c r="E30" s="155">
        <f t="shared" si="1"/>
        <v>0</v>
      </c>
      <c r="F30" s="156">
        <f t="shared" si="0"/>
        <v>0</v>
      </c>
      <c r="G30" s="160">
        <v>0</v>
      </c>
      <c r="H30" s="185"/>
    </row>
    <row r="31" spans="1:8" ht="15" customHeight="1" x14ac:dyDescent="0.25">
      <c r="A31" s="162" t="s">
        <v>202</v>
      </c>
      <c r="B31" s="160">
        <v>0</v>
      </c>
      <c r="C31" s="160">
        <v>0</v>
      </c>
      <c r="D31" s="160">
        <v>0</v>
      </c>
      <c r="E31" s="155">
        <f t="shared" si="1"/>
        <v>0</v>
      </c>
      <c r="F31" s="156">
        <f t="shared" si="0"/>
        <v>0</v>
      </c>
      <c r="G31" s="160">
        <v>0</v>
      </c>
      <c r="H31" s="185"/>
    </row>
    <row r="32" spans="1:8" ht="15" customHeight="1" x14ac:dyDescent="0.25">
      <c r="A32" s="163" t="s">
        <v>33</v>
      </c>
      <c r="B32" s="160"/>
      <c r="C32" s="160"/>
      <c r="D32" s="160"/>
      <c r="E32" s="160"/>
      <c r="F32" s="152"/>
      <c r="G32" s="160"/>
      <c r="H32" s="185"/>
    </row>
    <row r="33" spans="1:13" ht="15" customHeight="1" x14ac:dyDescent="0.25">
      <c r="A33" s="159" t="s">
        <v>34</v>
      </c>
      <c r="B33" s="155">
        <v>0</v>
      </c>
      <c r="C33" s="155">
        <v>0</v>
      </c>
      <c r="D33" s="155">
        <v>0</v>
      </c>
      <c r="E33" s="155">
        <f>D33-C33</f>
        <v>0</v>
      </c>
      <c r="F33" s="156">
        <f>IF(ISBLANK(E33),"  ",IF(C33&gt;0,E33/C33,IF(E33&gt;0,1,0)))</f>
        <v>0</v>
      </c>
      <c r="G33" s="155">
        <v>0</v>
      </c>
      <c r="H33" s="185"/>
    </row>
    <row r="34" spans="1:13" ht="15" customHeight="1" x14ac:dyDescent="0.25">
      <c r="A34" s="164" t="s">
        <v>35</v>
      </c>
      <c r="B34" s="160"/>
      <c r="C34" s="160"/>
      <c r="D34" s="160"/>
      <c r="E34" s="160"/>
      <c r="F34" s="152"/>
      <c r="G34" s="160"/>
      <c r="H34" s="185"/>
    </row>
    <row r="35" spans="1:13" ht="15" customHeight="1" x14ac:dyDescent="0.25">
      <c r="A35" s="159" t="s">
        <v>34</v>
      </c>
      <c r="B35" s="151">
        <v>0</v>
      </c>
      <c r="C35" s="151">
        <v>0</v>
      </c>
      <c r="D35" s="151">
        <v>0</v>
      </c>
      <c r="E35" s="155">
        <f>D35-C35</f>
        <v>0</v>
      </c>
      <c r="F35" s="156">
        <f>IF(ISBLANK(E35),"  ",IF(C35&gt;0,E35/C35,IF(E35&gt;0,1,0)))</f>
        <v>0</v>
      </c>
      <c r="G35" s="151">
        <v>0</v>
      </c>
      <c r="H35" s="185"/>
    </row>
    <row r="36" spans="1:13" ht="15" customHeight="1" x14ac:dyDescent="0.25">
      <c r="A36" s="161" t="s">
        <v>36</v>
      </c>
      <c r="B36" s="160"/>
      <c r="C36" s="160"/>
      <c r="D36" s="160"/>
      <c r="E36" s="158"/>
      <c r="F36" s="156" t="str">
        <f>IF(ISBLANK(E36),"  ",IF(C36&gt;0,E36/C36,IF(E36&gt;0,1,0)))</f>
        <v xml:space="preserve">  </v>
      </c>
      <c r="G36" s="160"/>
      <c r="H36" s="185"/>
    </row>
    <row r="37" spans="1:13" s="124" customFormat="1" ht="15" customHeight="1" x14ac:dyDescent="0.25">
      <c r="A37" s="165" t="s">
        <v>38</v>
      </c>
      <c r="B37" s="166">
        <f>SUM(B8,B9,B10,B33,B35)</f>
        <v>29485139.120000001</v>
      </c>
      <c r="C37" s="166">
        <f t="shared" ref="C37:D37" si="2">SUM(C8,C9,C10,C33,C35)</f>
        <v>29811449</v>
      </c>
      <c r="D37" s="166">
        <f t="shared" si="2"/>
        <v>23826675</v>
      </c>
      <c r="E37" s="166">
        <f>D37-C37</f>
        <v>-5984774</v>
      </c>
      <c r="F37" s="167">
        <f>IF(ISBLANK(E37),"  ",IF(C37&gt;0,E37/C37,IF(E37&gt;0,1,0)))</f>
        <v>-0.20075421359089254</v>
      </c>
      <c r="G37" s="166">
        <f>SUM(G8,G9,G10,G33,G35)</f>
        <v>23826675</v>
      </c>
      <c r="H37" s="215"/>
    </row>
    <row r="38" spans="1:13" ht="15" customHeight="1" x14ac:dyDescent="0.25">
      <c r="A38" s="163" t="s">
        <v>39</v>
      </c>
      <c r="B38" s="160"/>
      <c r="C38" s="160"/>
      <c r="D38" s="160"/>
      <c r="E38" s="160"/>
      <c r="F38" s="152"/>
      <c r="G38" s="160"/>
      <c r="H38" s="185"/>
    </row>
    <row r="39" spans="1:13" ht="15" customHeight="1" x14ac:dyDescent="0.25">
      <c r="A39" s="168" t="s">
        <v>40</v>
      </c>
      <c r="B39" s="155">
        <v>0</v>
      </c>
      <c r="C39" s="155">
        <v>0</v>
      </c>
      <c r="D39" s="155">
        <v>0</v>
      </c>
      <c r="E39" s="155">
        <f>D39-C39</f>
        <v>0</v>
      </c>
      <c r="F39" s="156">
        <f t="shared" ref="F39:F44" si="3">IF(ISBLANK(E39),"  ",IF(C39&gt;0,E39/C39,IF(E39&gt;0,1,0)))</f>
        <v>0</v>
      </c>
      <c r="G39" s="155">
        <v>0</v>
      </c>
      <c r="H39" s="185"/>
    </row>
    <row r="40" spans="1:13" ht="15" customHeight="1" x14ac:dyDescent="0.25">
      <c r="A40" s="169" t="s">
        <v>41</v>
      </c>
      <c r="B40" s="155">
        <v>0</v>
      </c>
      <c r="C40" s="155">
        <v>0</v>
      </c>
      <c r="D40" s="155">
        <v>0</v>
      </c>
      <c r="E40" s="155">
        <f t="shared" ref="E40:E44" si="4">D40-C40</f>
        <v>0</v>
      </c>
      <c r="F40" s="156">
        <f t="shared" si="3"/>
        <v>0</v>
      </c>
      <c r="G40" s="155">
        <v>0</v>
      </c>
      <c r="H40" s="185"/>
    </row>
    <row r="41" spans="1:13" ht="15" customHeight="1" x14ac:dyDescent="0.25">
      <c r="A41" s="169" t="s">
        <v>42</v>
      </c>
      <c r="B41" s="222">
        <v>5077968</v>
      </c>
      <c r="C41" s="155">
        <v>0</v>
      </c>
      <c r="D41" s="155">
        <v>0</v>
      </c>
      <c r="E41" s="155">
        <f t="shared" si="4"/>
        <v>0</v>
      </c>
      <c r="F41" s="156">
        <f t="shared" si="3"/>
        <v>0</v>
      </c>
      <c r="G41" s="155">
        <v>0</v>
      </c>
      <c r="H41" s="185"/>
    </row>
    <row r="42" spans="1:13" ht="15" customHeight="1" x14ac:dyDescent="0.25">
      <c r="A42" s="169" t="s">
        <v>43</v>
      </c>
      <c r="B42" s="155">
        <v>0</v>
      </c>
      <c r="C42" s="155">
        <v>0</v>
      </c>
      <c r="D42" s="155">
        <v>0</v>
      </c>
      <c r="E42" s="155">
        <f t="shared" si="4"/>
        <v>0</v>
      </c>
      <c r="F42" s="156">
        <f t="shared" si="3"/>
        <v>0</v>
      </c>
      <c r="G42" s="155">
        <v>0</v>
      </c>
      <c r="H42" s="185"/>
    </row>
    <row r="43" spans="1:13" ht="15" customHeight="1" x14ac:dyDescent="0.25">
      <c r="A43" s="170" t="s">
        <v>44</v>
      </c>
      <c r="B43" s="155">
        <v>0</v>
      </c>
      <c r="C43" s="155">
        <v>0</v>
      </c>
      <c r="D43" s="155">
        <v>0</v>
      </c>
      <c r="E43" s="155">
        <f t="shared" si="4"/>
        <v>0</v>
      </c>
      <c r="F43" s="156">
        <f t="shared" si="3"/>
        <v>0</v>
      </c>
      <c r="G43" s="155">
        <v>0</v>
      </c>
      <c r="H43" s="185"/>
    </row>
    <row r="44" spans="1:13" s="124" customFormat="1" ht="15" customHeight="1" x14ac:dyDescent="0.25">
      <c r="A44" s="163" t="s">
        <v>45</v>
      </c>
      <c r="B44" s="171">
        <v>5077968</v>
      </c>
      <c r="C44" s="171">
        <v>0</v>
      </c>
      <c r="D44" s="171">
        <v>0</v>
      </c>
      <c r="E44" s="173">
        <f t="shared" si="4"/>
        <v>0</v>
      </c>
      <c r="F44" s="167">
        <f t="shared" si="3"/>
        <v>0</v>
      </c>
      <c r="G44" s="171">
        <v>0</v>
      </c>
      <c r="H44" s="215"/>
      <c r="M44" s="124" t="s">
        <v>46</v>
      </c>
    </row>
    <row r="45" spans="1:13" ht="15" customHeight="1" x14ac:dyDescent="0.25">
      <c r="A45" s="161" t="s">
        <v>46</v>
      </c>
      <c r="B45" s="160"/>
      <c r="C45" s="160"/>
      <c r="D45" s="160"/>
      <c r="E45" s="160"/>
      <c r="F45" s="152"/>
      <c r="G45" s="160"/>
      <c r="H45" s="185"/>
    </row>
    <row r="46" spans="1:13" s="124" customFormat="1" ht="15" customHeight="1" x14ac:dyDescent="0.25">
      <c r="A46" s="172" t="s">
        <v>47</v>
      </c>
      <c r="B46" s="173">
        <v>0</v>
      </c>
      <c r="C46" s="173">
        <v>0</v>
      </c>
      <c r="D46" s="173">
        <v>0</v>
      </c>
      <c r="E46" s="173">
        <f>D46-C46</f>
        <v>0</v>
      </c>
      <c r="F46" s="167">
        <f>IF(ISBLANK(E46),"  ",IF(C46&gt;0,E46/C46,IF(E46&gt;0,1,0)))</f>
        <v>0</v>
      </c>
      <c r="G46" s="173">
        <v>0</v>
      </c>
      <c r="H46" s="215"/>
    </row>
    <row r="47" spans="1:13" ht="15" customHeight="1" x14ac:dyDescent="0.25">
      <c r="A47" s="161" t="s">
        <v>46</v>
      </c>
      <c r="B47" s="166"/>
      <c r="C47" s="166"/>
      <c r="D47" s="166"/>
      <c r="E47" s="160"/>
      <c r="F47" s="152"/>
      <c r="G47" s="166"/>
      <c r="H47" s="215"/>
    </row>
    <row r="48" spans="1:13" ht="15" customHeight="1" x14ac:dyDescent="0.25">
      <c r="A48" s="172" t="s">
        <v>200</v>
      </c>
      <c r="B48" s="173">
        <v>5077968</v>
      </c>
      <c r="C48" s="173">
        <v>5077968</v>
      </c>
      <c r="D48" s="173">
        <v>0</v>
      </c>
      <c r="E48" s="173">
        <f>D48-C48</f>
        <v>-5077968</v>
      </c>
      <c r="F48" s="167">
        <f>IF(ISBLANK(E48)," ",IF(C48&gt;0,E48/C48,IF(E48&gt;0,1,0)))</f>
        <v>-1</v>
      </c>
      <c r="G48" s="173">
        <v>5077968</v>
      </c>
      <c r="H48" s="215"/>
    </row>
    <row r="49" spans="1:8" ht="15" customHeight="1" x14ac:dyDescent="0.25">
      <c r="A49" s="159"/>
      <c r="B49" s="151"/>
      <c r="C49" s="151"/>
      <c r="D49" s="151"/>
      <c r="E49" s="151"/>
      <c r="F49" s="153"/>
      <c r="G49" s="151"/>
      <c r="H49" s="185"/>
    </row>
    <row r="50" spans="1:8" s="124" customFormat="1" ht="15" customHeight="1" x14ac:dyDescent="0.25">
      <c r="A50" s="172" t="s">
        <v>48</v>
      </c>
      <c r="B50" s="173">
        <v>0</v>
      </c>
      <c r="C50" s="173">
        <v>0</v>
      </c>
      <c r="D50" s="173">
        <v>0</v>
      </c>
      <c r="E50" s="173">
        <f>D50-C50</f>
        <v>0</v>
      </c>
      <c r="F50" s="167">
        <f>IF(ISBLANK(E50),"  ",IF(C50&gt;0,E50/C50,IF(E50&gt;0,1,0)))</f>
        <v>0</v>
      </c>
      <c r="G50" s="173">
        <v>0</v>
      </c>
      <c r="H50" s="215"/>
    </row>
    <row r="51" spans="1:8" ht="15" customHeight="1" x14ac:dyDescent="0.25">
      <c r="A51" s="161" t="s">
        <v>46</v>
      </c>
      <c r="B51" s="160"/>
      <c r="C51" s="160"/>
      <c r="D51" s="160"/>
      <c r="E51" s="160"/>
      <c r="F51" s="152"/>
      <c r="G51" s="160"/>
      <c r="H51" s="185"/>
    </row>
    <row r="52" spans="1:8" s="124" customFormat="1" ht="15" customHeight="1" x14ac:dyDescent="0.25">
      <c r="A52" s="163" t="s">
        <v>49</v>
      </c>
      <c r="B52" s="171">
        <v>95084596.700000003</v>
      </c>
      <c r="C52" s="171">
        <v>96872099</v>
      </c>
      <c r="D52" s="171">
        <v>96872099</v>
      </c>
      <c r="E52" s="171">
        <f>D52-C52</f>
        <v>0</v>
      </c>
      <c r="F52" s="167">
        <f>IF(ISBLANK(E52),"  ",IF(C52&gt;0,E52/C52,IF(E52&gt;0,1,0)))</f>
        <v>0</v>
      </c>
      <c r="G52" s="171">
        <v>96872099</v>
      </c>
      <c r="H52" s="215"/>
    </row>
    <row r="53" spans="1:8" ht="15" customHeight="1" x14ac:dyDescent="0.25">
      <c r="A53" s="161" t="s">
        <v>46</v>
      </c>
      <c r="B53" s="160"/>
      <c r="C53" s="160"/>
      <c r="D53" s="160"/>
      <c r="E53" s="160"/>
      <c r="F53" s="152"/>
      <c r="G53" s="160"/>
      <c r="H53" s="185"/>
    </row>
    <row r="54" spans="1:8" s="124" customFormat="1" ht="15" customHeight="1" x14ac:dyDescent="0.25">
      <c r="A54" s="174" t="s">
        <v>50</v>
      </c>
      <c r="B54" s="175">
        <v>0</v>
      </c>
      <c r="C54" s="175">
        <v>0</v>
      </c>
      <c r="D54" s="175">
        <v>0</v>
      </c>
      <c r="E54" s="175">
        <f>D54-C54</f>
        <v>0</v>
      </c>
      <c r="F54" s="167">
        <f>IF(ISBLANK(E54),"  ",IF(C54&gt;0,E54/C54,IF(E54&gt;0,1,0)))</f>
        <v>0</v>
      </c>
      <c r="G54" s="175">
        <v>0</v>
      </c>
      <c r="H54" s="215"/>
    </row>
    <row r="55" spans="1:8" ht="15" customHeight="1" x14ac:dyDescent="0.25">
      <c r="A55" s="163"/>
      <c r="B55" s="151"/>
      <c r="C55" s="151"/>
      <c r="D55" s="151"/>
      <c r="E55" s="151"/>
      <c r="F55" s="176"/>
      <c r="G55" s="151"/>
      <c r="H55" s="185"/>
    </row>
    <row r="56" spans="1:8" s="124" customFormat="1" ht="15" customHeight="1" x14ac:dyDescent="0.25">
      <c r="A56" s="163" t="s">
        <v>51</v>
      </c>
      <c r="B56" s="171">
        <v>0</v>
      </c>
      <c r="C56" s="171">
        <v>0</v>
      </c>
      <c r="D56" s="171">
        <v>0</v>
      </c>
      <c r="E56" s="175">
        <f>D56-C56</f>
        <v>0</v>
      </c>
      <c r="F56" s="167">
        <f>IF(ISBLANK(E56),"  ",IF(C56&gt;0,E56/C56,IF(E56&gt;0,1,0)))</f>
        <v>0</v>
      </c>
      <c r="G56" s="171">
        <v>0</v>
      </c>
      <c r="H56" s="215"/>
    </row>
    <row r="57" spans="1:8" ht="15" customHeight="1" x14ac:dyDescent="0.25">
      <c r="A57" s="161"/>
      <c r="B57" s="160"/>
      <c r="C57" s="160"/>
      <c r="D57" s="160"/>
      <c r="E57" s="160"/>
      <c r="F57" s="152"/>
      <c r="G57" s="160"/>
      <c r="H57" s="185"/>
    </row>
    <row r="58" spans="1:8" s="124" customFormat="1" ht="15" customHeight="1" x14ac:dyDescent="0.25">
      <c r="A58" s="177" t="s">
        <v>52</v>
      </c>
      <c r="B58" s="171">
        <v>124569735.82000001</v>
      </c>
      <c r="C58" s="171">
        <v>131761516</v>
      </c>
      <c r="D58" s="171">
        <v>120698774</v>
      </c>
      <c r="E58" s="171">
        <f>D58-C58</f>
        <v>-11062742</v>
      </c>
      <c r="F58" s="167">
        <f>IF(ISBLANK(E58),"  ",IF(C58&gt;0,E58/C58,IF(E58&gt;0,1,0)))</f>
        <v>-8.3960342411360842E-2</v>
      </c>
      <c r="G58" s="171">
        <f>G56+G54+G52+G50+G48+G46+G44+G37</f>
        <v>125776742</v>
      </c>
      <c r="H58" s="215"/>
    </row>
    <row r="59" spans="1:8" ht="15" customHeight="1" x14ac:dyDescent="0.25">
      <c r="A59" s="178"/>
      <c r="B59" s="160"/>
      <c r="C59" s="160"/>
      <c r="D59" s="160"/>
      <c r="E59" s="160"/>
      <c r="F59" s="152" t="s">
        <v>46</v>
      </c>
      <c r="G59" s="160"/>
      <c r="H59" s="185"/>
    </row>
    <row r="60" spans="1:8" ht="15" customHeight="1" x14ac:dyDescent="0.25">
      <c r="A60" s="179"/>
      <c r="B60" s="151"/>
      <c r="C60" s="151"/>
      <c r="D60" s="151"/>
      <c r="E60" s="151"/>
      <c r="F60" s="153" t="s">
        <v>46</v>
      </c>
      <c r="G60" s="151"/>
      <c r="H60" s="185"/>
    </row>
    <row r="61" spans="1:8" ht="15" customHeight="1" x14ac:dyDescent="0.25">
      <c r="A61" s="177" t="s">
        <v>53</v>
      </c>
      <c r="B61" s="151"/>
      <c r="C61" s="151"/>
      <c r="D61" s="151"/>
      <c r="E61" s="151"/>
      <c r="F61" s="153"/>
      <c r="G61" s="151"/>
      <c r="H61" s="185"/>
    </row>
    <row r="62" spans="1:8" ht="15" customHeight="1" x14ac:dyDescent="0.25">
      <c r="A62" s="159" t="s">
        <v>54</v>
      </c>
      <c r="B62" s="151">
        <v>57709913.379999995</v>
      </c>
      <c r="C62" s="151">
        <v>58545791</v>
      </c>
      <c r="D62" s="151">
        <v>60698426</v>
      </c>
      <c r="E62" s="151">
        <f>D62-C62</f>
        <v>2152635</v>
      </c>
      <c r="F62" s="156">
        <f t="shared" ref="F62:F75" si="5">IF(ISBLANK(E62),"  ",IF(C62&gt;0,E62/C62,IF(E62&gt;0,1,0)))</f>
        <v>3.6768398944340849E-2</v>
      </c>
      <c r="G62" s="151">
        <v>60698426</v>
      </c>
      <c r="H62" s="185"/>
    </row>
    <row r="63" spans="1:8" ht="15" customHeight="1" x14ac:dyDescent="0.25">
      <c r="A63" s="161" t="s">
        <v>55</v>
      </c>
      <c r="B63" s="160">
        <v>516984.93</v>
      </c>
      <c r="C63" s="160">
        <v>522661</v>
      </c>
      <c r="D63" s="160">
        <v>467348</v>
      </c>
      <c r="E63" s="160">
        <f>D63-C63</f>
        <v>-55313</v>
      </c>
      <c r="F63" s="156">
        <f t="shared" si="5"/>
        <v>-0.10582959126470121</v>
      </c>
      <c r="G63" s="160">
        <v>467348</v>
      </c>
      <c r="H63" s="185"/>
    </row>
    <row r="64" spans="1:8" ht="15" customHeight="1" x14ac:dyDescent="0.25">
      <c r="A64" s="161" t="s">
        <v>56</v>
      </c>
      <c r="B64" s="160">
        <v>1706217.1699999997</v>
      </c>
      <c r="C64" s="160">
        <v>1791724</v>
      </c>
      <c r="D64" s="160">
        <v>1675684</v>
      </c>
      <c r="E64" s="160">
        <f t="shared" ref="E64:E75" si="6">D64-C64</f>
        <v>-116040</v>
      </c>
      <c r="F64" s="156">
        <f t="shared" si="5"/>
        <v>-6.4764439165853671E-2</v>
      </c>
      <c r="G64" s="160">
        <v>1675684</v>
      </c>
      <c r="H64" s="185"/>
    </row>
    <row r="65" spans="1:8" ht="15" customHeight="1" x14ac:dyDescent="0.25">
      <c r="A65" s="161" t="s">
        <v>57</v>
      </c>
      <c r="B65" s="160">
        <v>12559249.940000003</v>
      </c>
      <c r="C65" s="160">
        <v>12806253</v>
      </c>
      <c r="D65" s="160">
        <v>11868950</v>
      </c>
      <c r="E65" s="160">
        <f t="shared" si="6"/>
        <v>-937303</v>
      </c>
      <c r="F65" s="156">
        <f t="shared" si="5"/>
        <v>-7.3191041907418194E-2</v>
      </c>
      <c r="G65" s="160">
        <v>11868950</v>
      </c>
      <c r="H65" s="185"/>
    </row>
    <row r="66" spans="1:8" ht="15" customHeight="1" x14ac:dyDescent="0.25">
      <c r="A66" s="161" t="s">
        <v>58</v>
      </c>
      <c r="B66" s="160">
        <v>6816597.7199999997</v>
      </c>
      <c r="C66" s="160">
        <v>7060950</v>
      </c>
      <c r="D66" s="160">
        <v>7432860</v>
      </c>
      <c r="E66" s="160">
        <f t="shared" si="6"/>
        <v>371910</v>
      </c>
      <c r="F66" s="156">
        <f t="shared" si="5"/>
        <v>5.2671382745947785E-2</v>
      </c>
      <c r="G66" s="160">
        <v>7432860</v>
      </c>
      <c r="H66" s="185"/>
    </row>
    <row r="67" spans="1:8" ht="15" customHeight="1" x14ac:dyDescent="0.25">
      <c r="A67" s="161" t="s">
        <v>59</v>
      </c>
      <c r="B67" s="160">
        <v>14420303.890000001</v>
      </c>
      <c r="C67" s="160">
        <v>14916907</v>
      </c>
      <c r="D67" s="160">
        <v>14308036</v>
      </c>
      <c r="E67" s="160">
        <f t="shared" si="6"/>
        <v>-608871</v>
      </c>
      <c r="F67" s="156">
        <f t="shared" si="5"/>
        <v>-4.0817509956990412E-2</v>
      </c>
      <c r="G67" s="160">
        <v>14308036</v>
      </c>
      <c r="H67" s="185"/>
    </row>
    <row r="68" spans="1:8" ht="15" customHeight="1" x14ac:dyDescent="0.25">
      <c r="A68" s="161" t="s">
        <v>60</v>
      </c>
      <c r="B68" s="160">
        <v>13987894.829999998</v>
      </c>
      <c r="C68" s="160">
        <v>19065865</v>
      </c>
      <c r="D68" s="160">
        <v>7811137</v>
      </c>
      <c r="E68" s="160">
        <f t="shared" si="6"/>
        <v>-11254728</v>
      </c>
      <c r="F68" s="156">
        <f t="shared" si="5"/>
        <v>-0.59030775682089431</v>
      </c>
      <c r="G68" s="160">
        <v>12889105</v>
      </c>
      <c r="H68" s="185"/>
    </row>
    <row r="69" spans="1:8" ht="15" customHeight="1" x14ac:dyDescent="0.25">
      <c r="A69" s="161" t="s">
        <v>61</v>
      </c>
      <c r="B69" s="160">
        <v>13543889.540000003</v>
      </c>
      <c r="C69" s="160">
        <v>13742681</v>
      </c>
      <c r="D69" s="160">
        <v>13512022</v>
      </c>
      <c r="E69" s="160">
        <f t="shared" si="6"/>
        <v>-230659</v>
      </c>
      <c r="F69" s="156">
        <f t="shared" si="5"/>
        <v>-1.6784134041967502E-2</v>
      </c>
      <c r="G69" s="160">
        <v>13512022</v>
      </c>
      <c r="H69" s="185"/>
    </row>
    <row r="70" spans="1:8" s="124" customFormat="1" ht="15" customHeight="1" x14ac:dyDescent="0.25">
      <c r="A70" s="180" t="s">
        <v>62</v>
      </c>
      <c r="B70" s="166">
        <v>121261051.40000001</v>
      </c>
      <c r="C70" s="166">
        <v>128452832</v>
      </c>
      <c r="D70" s="166">
        <v>117774463</v>
      </c>
      <c r="E70" s="160">
        <f t="shared" si="6"/>
        <v>-10678369</v>
      </c>
      <c r="F70" s="167">
        <f t="shared" si="5"/>
        <v>-8.3130662311906051E-2</v>
      </c>
      <c r="G70" s="166">
        <v>122852431</v>
      </c>
      <c r="H70" s="215"/>
    </row>
    <row r="71" spans="1:8" ht="15" customHeight="1" x14ac:dyDescent="0.25">
      <c r="A71" s="161" t="s">
        <v>63</v>
      </c>
      <c r="B71" s="160">
        <v>0</v>
      </c>
      <c r="C71" s="160">
        <v>0</v>
      </c>
      <c r="D71" s="160">
        <v>0</v>
      </c>
      <c r="E71" s="160">
        <f t="shared" si="6"/>
        <v>0</v>
      </c>
      <c r="F71" s="156">
        <f t="shared" si="5"/>
        <v>0</v>
      </c>
      <c r="G71" s="160">
        <v>0</v>
      </c>
      <c r="H71" s="185"/>
    </row>
    <row r="72" spans="1:8" ht="15" customHeight="1" x14ac:dyDescent="0.25">
      <c r="A72" s="161" t="s">
        <v>64</v>
      </c>
      <c r="B72" s="160">
        <v>0</v>
      </c>
      <c r="C72" s="160">
        <v>0</v>
      </c>
      <c r="D72" s="160">
        <v>0</v>
      </c>
      <c r="E72" s="160">
        <f t="shared" si="6"/>
        <v>0</v>
      </c>
      <c r="F72" s="156">
        <f t="shared" si="5"/>
        <v>0</v>
      </c>
      <c r="G72" s="160">
        <v>0</v>
      </c>
      <c r="H72" s="185"/>
    </row>
    <row r="73" spans="1:8" ht="15" customHeight="1" x14ac:dyDescent="0.25">
      <c r="A73" s="161" t="s">
        <v>65</v>
      </c>
      <c r="B73" s="160">
        <v>3308684.42</v>
      </c>
      <c r="C73" s="160">
        <v>3308684</v>
      </c>
      <c r="D73" s="160">
        <v>2924311</v>
      </c>
      <c r="E73" s="160">
        <f t="shared" si="6"/>
        <v>-384373</v>
      </c>
      <c r="F73" s="156">
        <f t="shared" si="5"/>
        <v>-0.1161709610225697</v>
      </c>
      <c r="G73" s="160">
        <v>2924311</v>
      </c>
      <c r="H73" s="185"/>
    </row>
    <row r="74" spans="1:8" ht="15" customHeight="1" x14ac:dyDescent="0.25">
      <c r="A74" s="161" t="s">
        <v>66</v>
      </c>
      <c r="B74" s="160">
        <v>0</v>
      </c>
      <c r="C74" s="160">
        <v>0</v>
      </c>
      <c r="D74" s="160">
        <v>0</v>
      </c>
      <c r="E74" s="160">
        <f t="shared" si="6"/>
        <v>0</v>
      </c>
      <c r="F74" s="156">
        <f t="shared" si="5"/>
        <v>0</v>
      </c>
      <c r="G74" s="160">
        <v>0</v>
      </c>
      <c r="H74" s="185"/>
    </row>
    <row r="75" spans="1:8" s="124" customFormat="1" ht="15" customHeight="1" x14ac:dyDescent="0.25">
      <c r="A75" s="181" t="s">
        <v>67</v>
      </c>
      <c r="B75" s="182">
        <v>124569735.82000001</v>
      </c>
      <c r="C75" s="182">
        <v>131761516</v>
      </c>
      <c r="D75" s="182">
        <v>120698774</v>
      </c>
      <c r="E75" s="234">
        <f t="shared" si="6"/>
        <v>-11062742</v>
      </c>
      <c r="F75" s="167">
        <f t="shared" si="5"/>
        <v>-8.3960342411360842E-2</v>
      </c>
      <c r="G75" s="182">
        <v>125776742</v>
      </c>
      <c r="H75" s="215"/>
    </row>
    <row r="76" spans="1:8" ht="15" customHeight="1" x14ac:dyDescent="0.25">
      <c r="A76" s="179"/>
      <c r="B76" s="151"/>
      <c r="C76" s="151"/>
      <c r="D76" s="151"/>
      <c r="E76" s="151"/>
      <c r="F76" s="153"/>
      <c r="G76" s="151"/>
      <c r="H76" s="185"/>
    </row>
    <row r="77" spans="1:8" ht="15" customHeight="1" x14ac:dyDescent="0.25">
      <c r="A77" s="177" t="s">
        <v>68</v>
      </c>
      <c r="B77" s="151"/>
      <c r="C77" s="151"/>
      <c r="D77" s="151"/>
      <c r="E77" s="151"/>
      <c r="F77" s="153"/>
      <c r="G77" s="151"/>
      <c r="H77" s="185"/>
    </row>
    <row r="78" spans="1:8" ht="15" customHeight="1" x14ac:dyDescent="0.25">
      <c r="A78" s="159" t="s">
        <v>69</v>
      </c>
      <c r="B78" s="155">
        <v>62687713.320000008</v>
      </c>
      <c r="C78" s="155">
        <v>62914272</v>
      </c>
      <c r="D78" s="155">
        <v>64291651</v>
      </c>
      <c r="E78" s="151">
        <f>D78-C78</f>
        <v>1377379</v>
      </c>
      <c r="F78" s="156">
        <f t="shared" ref="F78:F96" si="7">IF(ISBLANK(E78),"  ",IF(C78&gt;0,E78/C78,IF(E78&gt;0,1,0)))</f>
        <v>2.1892949822259724E-2</v>
      </c>
      <c r="G78" s="155">
        <v>64291651</v>
      </c>
      <c r="H78" s="185"/>
    </row>
    <row r="79" spans="1:8" ht="15" customHeight="1" x14ac:dyDescent="0.25">
      <c r="A79" s="161" t="s">
        <v>70</v>
      </c>
      <c r="B79" s="158">
        <v>1399686.31</v>
      </c>
      <c r="C79" s="158">
        <v>1626726</v>
      </c>
      <c r="D79" s="158">
        <v>1519079</v>
      </c>
      <c r="E79" s="160">
        <f>D79-C79</f>
        <v>-107647</v>
      </c>
      <c r="F79" s="156">
        <f t="shared" si="7"/>
        <v>-6.6174020701703917E-2</v>
      </c>
      <c r="G79" s="158">
        <v>1519079</v>
      </c>
      <c r="H79" s="185"/>
    </row>
    <row r="80" spans="1:8" ht="15" customHeight="1" x14ac:dyDescent="0.25">
      <c r="A80" s="161" t="s">
        <v>71</v>
      </c>
      <c r="B80" s="151">
        <v>27746301.02</v>
      </c>
      <c r="C80" s="151">
        <v>28278578</v>
      </c>
      <c r="D80" s="151">
        <v>28370668</v>
      </c>
      <c r="E80" s="160">
        <f t="shared" ref="E80:E95" si="8">D80-C80</f>
        <v>92090</v>
      </c>
      <c r="F80" s="156">
        <f t="shared" si="7"/>
        <v>3.2565286698645174E-3</v>
      </c>
      <c r="G80" s="151">
        <v>28370668</v>
      </c>
      <c r="H80" s="185"/>
    </row>
    <row r="81" spans="1:8" s="124" customFormat="1" ht="15" customHeight="1" x14ac:dyDescent="0.25">
      <c r="A81" s="180" t="s">
        <v>72</v>
      </c>
      <c r="B81" s="182">
        <v>91833700.650000006</v>
      </c>
      <c r="C81" s="182">
        <v>92819576</v>
      </c>
      <c r="D81" s="182">
        <v>94181398</v>
      </c>
      <c r="E81" s="166">
        <f t="shared" si="8"/>
        <v>1361822</v>
      </c>
      <c r="F81" s="167">
        <f t="shared" si="7"/>
        <v>1.4671711062330214E-2</v>
      </c>
      <c r="G81" s="182">
        <v>94181398</v>
      </c>
      <c r="H81" s="215"/>
    </row>
    <row r="82" spans="1:8" ht="15" customHeight="1" x14ac:dyDescent="0.25">
      <c r="A82" s="161" t="s">
        <v>73</v>
      </c>
      <c r="B82" s="158">
        <v>496272.52999999997</v>
      </c>
      <c r="C82" s="158">
        <v>665046</v>
      </c>
      <c r="D82" s="158">
        <v>838602</v>
      </c>
      <c r="E82" s="160">
        <f t="shared" si="8"/>
        <v>173556</v>
      </c>
      <c r="F82" s="156">
        <f t="shared" si="7"/>
        <v>0.26096841421495653</v>
      </c>
      <c r="G82" s="158">
        <v>838602</v>
      </c>
      <c r="H82" s="185"/>
    </row>
    <row r="83" spans="1:8" ht="15" customHeight="1" x14ac:dyDescent="0.25">
      <c r="A83" s="161" t="s">
        <v>74</v>
      </c>
      <c r="B83" s="155">
        <v>9582284.7899999991</v>
      </c>
      <c r="C83" s="155">
        <v>10038952</v>
      </c>
      <c r="D83" s="155">
        <v>9541841</v>
      </c>
      <c r="E83" s="160">
        <f t="shared" si="8"/>
        <v>-497111</v>
      </c>
      <c r="F83" s="156">
        <f t="shared" si="7"/>
        <v>-4.9518216642534002E-2</v>
      </c>
      <c r="G83" s="155">
        <v>9541841</v>
      </c>
      <c r="H83" s="185"/>
    </row>
    <row r="84" spans="1:8" ht="15" customHeight="1" x14ac:dyDescent="0.25">
      <c r="A84" s="161" t="s">
        <v>75</v>
      </c>
      <c r="B84" s="151">
        <v>1356931.6300000001</v>
      </c>
      <c r="C84" s="151">
        <v>1578992</v>
      </c>
      <c r="D84" s="151">
        <v>1988783</v>
      </c>
      <c r="E84" s="160">
        <f t="shared" si="8"/>
        <v>409791</v>
      </c>
      <c r="F84" s="156">
        <f t="shared" si="7"/>
        <v>0.25952696403781655</v>
      </c>
      <c r="G84" s="151">
        <v>1988783</v>
      </c>
      <c r="H84" s="185"/>
    </row>
    <row r="85" spans="1:8" s="124" customFormat="1" ht="15" customHeight="1" x14ac:dyDescent="0.25">
      <c r="A85" s="164" t="s">
        <v>76</v>
      </c>
      <c r="B85" s="182">
        <v>11435488.949999999</v>
      </c>
      <c r="C85" s="182">
        <v>12282990</v>
      </c>
      <c r="D85" s="182">
        <v>12369226</v>
      </c>
      <c r="E85" s="166">
        <f t="shared" si="8"/>
        <v>86236</v>
      </c>
      <c r="F85" s="167">
        <f t="shared" si="7"/>
        <v>7.0207661163934837E-3</v>
      </c>
      <c r="G85" s="182">
        <v>12369226</v>
      </c>
      <c r="H85" s="215"/>
    </row>
    <row r="86" spans="1:8" ht="15" customHeight="1" x14ac:dyDescent="0.25">
      <c r="A86" s="161" t="s">
        <v>77</v>
      </c>
      <c r="B86" s="151">
        <v>1346270.05</v>
      </c>
      <c r="C86" s="151">
        <v>1397959</v>
      </c>
      <c r="D86" s="151">
        <v>1155283</v>
      </c>
      <c r="E86" s="160">
        <f t="shared" si="8"/>
        <v>-242676</v>
      </c>
      <c r="F86" s="156">
        <f t="shared" si="7"/>
        <v>-0.17359307390273965</v>
      </c>
      <c r="G86" s="151">
        <v>1155283</v>
      </c>
      <c r="H86" s="185"/>
    </row>
    <row r="87" spans="1:8" ht="15" customHeight="1" x14ac:dyDescent="0.25">
      <c r="A87" s="161" t="s">
        <v>78</v>
      </c>
      <c r="B87" s="160">
        <v>17973491.379999995</v>
      </c>
      <c r="C87" s="160">
        <v>23075333</v>
      </c>
      <c r="D87" s="160">
        <v>11500436</v>
      </c>
      <c r="E87" s="160">
        <f t="shared" si="8"/>
        <v>-11574897</v>
      </c>
      <c r="F87" s="156">
        <f t="shared" si="7"/>
        <v>-0.50161343283756732</v>
      </c>
      <c r="G87" s="160">
        <v>16578404</v>
      </c>
      <c r="H87" s="185"/>
    </row>
    <row r="88" spans="1:8" ht="15" customHeight="1" x14ac:dyDescent="0.25">
      <c r="A88" s="161" t="s">
        <v>79</v>
      </c>
      <c r="B88" s="160">
        <v>0</v>
      </c>
      <c r="C88" s="160">
        <v>0</v>
      </c>
      <c r="D88" s="160">
        <v>0</v>
      </c>
      <c r="E88" s="160">
        <f t="shared" si="8"/>
        <v>0</v>
      </c>
      <c r="F88" s="156">
        <f t="shared" si="7"/>
        <v>0</v>
      </c>
      <c r="G88" s="160">
        <v>0</v>
      </c>
      <c r="H88" s="185"/>
    </row>
    <row r="89" spans="1:8" ht="15" customHeight="1" x14ac:dyDescent="0.25">
      <c r="A89" s="161" t="s">
        <v>80</v>
      </c>
      <c r="B89" s="160">
        <v>441890.87</v>
      </c>
      <c r="C89" s="160">
        <v>452002</v>
      </c>
      <c r="D89" s="160">
        <v>419428</v>
      </c>
      <c r="E89" s="160">
        <f t="shared" si="8"/>
        <v>-32574</v>
      </c>
      <c r="F89" s="156">
        <f t="shared" si="7"/>
        <v>-7.2066052805076081E-2</v>
      </c>
      <c r="G89" s="160">
        <v>419428</v>
      </c>
      <c r="H89" s="185"/>
    </row>
    <row r="90" spans="1:8" s="124" customFormat="1" ht="15" customHeight="1" x14ac:dyDescent="0.25">
      <c r="A90" s="164" t="s">
        <v>81</v>
      </c>
      <c r="B90" s="166">
        <v>19761652.299999997</v>
      </c>
      <c r="C90" s="166">
        <v>24925294</v>
      </c>
      <c r="D90" s="166">
        <v>13075147</v>
      </c>
      <c r="E90" s="166">
        <f t="shared" si="8"/>
        <v>-11850147</v>
      </c>
      <c r="F90" s="167">
        <f t="shared" si="7"/>
        <v>-0.47542656868962108</v>
      </c>
      <c r="G90" s="166">
        <v>18153115</v>
      </c>
      <c r="H90" s="215"/>
    </row>
    <row r="91" spans="1:8" ht="15" customHeight="1" x14ac:dyDescent="0.25">
      <c r="A91" s="161" t="s">
        <v>82</v>
      </c>
      <c r="B91" s="160">
        <v>738041.22000000009</v>
      </c>
      <c r="C91" s="160">
        <v>878075</v>
      </c>
      <c r="D91" s="160">
        <v>898663</v>
      </c>
      <c r="E91" s="160">
        <f t="shared" si="8"/>
        <v>20588</v>
      </c>
      <c r="F91" s="156">
        <f t="shared" si="7"/>
        <v>2.3446744298607752E-2</v>
      </c>
      <c r="G91" s="160">
        <v>898663</v>
      </c>
      <c r="H91" s="185"/>
    </row>
    <row r="92" spans="1:8" ht="15" customHeight="1" x14ac:dyDescent="0.25">
      <c r="A92" s="161" t="s">
        <v>83</v>
      </c>
      <c r="B92" s="160">
        <v>673605.29</v>
      </c>
      <c r="C92" s="160">
        <v>674406</v>
      </c>
      <c r="D92" s="160">
        <v>30274</v>
      </c>
      <c r="E92" s="160">
        <f t="shared" si="8"/>
        <v>-644132</v>
      </c>
      <c r="F92" s="156">
        <f t="shared" si="7"/>
        <v>-0.9551101265409857</v>
      </c>
      <c r="G92" s="160">
        <v>30274</v>
      </c>
      <c r="H92" s="185"/>
    </row>
    <row r="93" spans="1:8" ht="15" customHeight="1" x14ac:dyDescent="0.25">
      <c r="A93" s="169" t="s">
        <v>84</v>
      </c>
      <c r="B93" s="160">
        <v>127247.41</v>
      </c>
      <c r="C93" s="160">
        <v>181175</v>
      </c>
      <c r="D93" s="160">
        <v>144066</v>
      </c>
      <c r="E93" s="160">
        <f t="shared" si="8"/>
        <v>-37109</v>
      </c>
      <c r="F93" s="156">
        <f t="shared" si="7"/>
        <v>-0.20482406513039877</v>
      </c>
      <c r="G93" s="160">
        <v>144066</v>
      </c>
      <c r="H93" s="185"/>
    </row>
    <row r="94" spans="1:8" s="124" customFormat="1" ht="15" customHeight="1" x14ac:dyDescent="0.25">
      <c r="A94" s="183" t="s">
        <v>85</v>
      </c>
      <c r="B94" s="182">
        <v>1538893.9200000002</v>
      </c>
      <c r="C94" s="182">
        <v>1733656</v>
      </c>
      <c r="D94" s="182">
        <v>1073003</v>
      </c>
      <c r="E94" s="160">
        <f t="shared" si="8"/>
        <v>-660653</v>
      </c>
      <c r="F94" s="167">
        <f t="shared" si="7"/>
        <v>-0.38107502295726486</v>
      </c>
      <c r="G94" s="182">
        <v>1073003</v>
      </c>
      <c r="H94" s="215"/>
    </row>
    <row r="95" spans="1:8" ht="15" customHeight="1" x14ac:dyDescent="0.25">
      <c r="A95" s="169" t="s">
        <v>86</v>
      </c>
      <c r="B95" s="160">
        <v>0</v>
      </c>
      <c r="C95" s="160">
        <v>0</v>
      </c>
      <c r="D95" s="160">
        <v>0</v>
      </c>
      <c r="E95" s="160">
        <f t="shared" si="8"/>
        <v>0</v>
      </c>
      <c r="F95" s="156">
        <f t="shared" si="7"/>
        <v>0</v>
      </c>
      <c r="G95" s="160">
        <v>0</v>
      </c>
      <c r="H95" s="185"/>
    </row>
    <row r="96" spans="1:8" s="124" customFormat="1" ht="15" customHeight="1" thickBot="1" x14ac:dyDescent="0.3">
      <c r="A96" s="203" t="s">
        <v>67</v>
      </c>
      <c r="B96" s="204">
        <v>124569735.82000001</v>
      </c>
      <c r="C96" s="204">
        <v>131761516</v>
      </c>
      <c r="D96" s="204">
        <v>120698774</v>
      </c>
      <c r="E96" s="204">
        <f>D96-C96</f>
        <v>-11062742</v>
      </c>
      <c r="F96" s="205">
        <f t="shared" si="7"/>
        <v>-8.3960342411360842E-2</v>
      </c>
      <c r="G96" s="204">
        <v>125776742</v>
      </c>
      <c r="H96" s="215"/>
    </row>
    <row r="97" spans="1:9" ht="15" customHeight="1" thickTop="1" x14ac:dyDescent="0.25">
      <c r="A97" s="184"/>
      <c r="B97" s="185"/>
      <c r="C97" s="185"/>
      <c r="D97" s="185"/>
      <c r="E97" s="185"/>
      <c r="F97" s="186" t="s">
        <v>46</v>
      </c>
      <c r="G97" s="142"/>
      <c r="H97" s="142"/>
      <c r="I97" s="142"/>
    </row>
    <row r="98" spans="1:9" x14ac:dyDescent="0.25">
      <c r="A98" s="139" t="s">
        <v>197</v>
      </c>
    </row>
    <row r="99" spans="1:9" x14ac:dyDescent="0.25">
      <c r="A99" s="139" t="s">
        <v>190</v>
      </c>
    </row>
  </sheetData>
  <mergeCells count="1">
    <mergeCell ref="G2:G3"/>
  </mergeCells>
  <hyperlinks>
    <hyperlink ref="I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3.7109375" style="12" customWidth="1"/>
    <col min="5" max="5" width="23.7109375" style="2" customWidth="1"/>
    <col min="6" max="6" width="23.7109375" style="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15.42578125" style="139" customWidth="1"/>
    <col min="11" max="16384" width="9.140625" style="139"/>
  </cols>
  <sheetData>
    <row r="1" spans="1:9" ht="19.5" customHeight="1" thickBot="1" x14ac:dyDescent="0.35">
      <c r="A1" s="30" t="s">
        <v>0</v>
      </c>
      <c r="B1" s="35"/>
      <c r="D1" s="225" t="s">
        <v>1</v>
      </c>
      <c r="E1" s="29" t="s">
        <v>92</v>
      </c>
      <c r="F1" s="40"/>
    </row>
    <row r="2" spans="1:9" ht="19.5" customHeight="1" thickBot="1" x14ac:dyDescent="0.35">
      <c r="A2" s="30" t="s">
        <v>2</v>
      </c>
      <c r="B2" s="31"/>
      <c r="C2" s="36"/>
      <c r="D2" s="31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303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BOR!B8+LUMCON!B8+LOSFA!B8+ULSummary!B8+'LSU Summary'!B8+'SU Summary'!B8+'LCTCS Summary'!B8</f>
        <v>1060385195.5</v>
      </c>
      <c r="C8" s="69">
        <f>BOR!C8+LUMCON!C8+LOSFA!C8+ULSummary!C8+'LSU Summary'!C8+'SU Summary'!C8+'LCTCS Summary'!C8</f>
        <v>1060530047</v>
      </c>
      <c r="D8" s="69">
        <f>BOR!D8+LUMCON!D8+LOSFA!D8+ULSummary!D8+'LSU Summary'!D8+'SU Summary'!D8+'LCTCS Summary'!D8</f>
        <v>968474132.28999996</v>
      </c>
      <c r="E8" s="69">
        <f>D8-C8</f>
        <v>-92055914.710000038</v>
      </c>
      <c r="F8" s="70">
        <f t="shared" ref="F8:F31" si="0">IF(ISBLANK(E8),"  ",IF(C8&gt;0,E8/C8,IF(E8&gt;0,1,0)))</f>
        <v>-8.6801797808940373E-2</v>
      </c>
      <c r="G8" s="69">
        <f>BOR!G8+LUMCON!G8+LOSFA!G8+ULSummary!G8+'LSU Summary'!G8+'SU Summary'!G8+'LCTCS Summary'!G8</f>
        <v>968474132.28999996</v>
      </c>
      <c r="H8" s="227"/>
    </row>
    <row r="9" spans="1:9" ht="15" customHeight="1" x14ac:dyDescent="0.25">
      <c r="A9" s="68" t="s">
        <v>13</v>
      </c>
      <c r="B9" s="69">
        <f>BOR!B9+LUMCON!B9+LOSFA!B9+ULSummary!B9+'LSU Summary'!B9+'SU Summary'!B9+'LCTCS Summary'!B9</f>
        <v>0</v>
      </c>
      <c r="C9" s="69">
        <f>BOR!C9+LUMCON!C9+LOSFA!C9+ULSummary!C9+'LSU Summary'!C9+'SU Summary'!C9+'LCTCS Summary'!C9</f>
        <v>0</v>
      </c>
      <c r="D9" s="69">
        <f>BOR!D9+LUMCON!D9+LOSFA!D9+ULSummary!D9+'LSU Summary'!D9+'SU Summary'!D9+'LCTCS Summary'!D9</f>
        <v>0</v>
      </c>
      <c r="E9" s="69">
        <f>D9-C9</f>
        <v>0</v>
      </c>
      <c r="F9" s="70">
        <f t="shared" si="0"/>
        <v>0</v>
      </c>
      <c r="G9" s="69">
        <f>BOR!G9+LUMCON!G9+LOSFA!G9+ULSummary!G9+'LSU Summary'!G9+'SU Summary'!G9+'LCTCS Summary'!G9</f>
        <v>0</v>
      </c>
      <c r="H9" s="227"/>
    </row>
    <row r="10" spans="1:9" ht="15" customHeight="1" x14ac:dyDescent="0.25">
      <c r="A10" s="71" t="s">
        <v>14</v>
      </c>
      <c r="B10" s="69">
        <f>BOR!B10+LUMCON!B10+LOSFA!B10+ULSummary!B10+'LSU Summary'!B10+'SU Summary'!B10+'LCTCS Summary'!B10</f>
        <v>142152373.02000001</v>
      </c>
      <c r="C10" s="69">
        <f>BOR!C10+LUMCON!C10+LOSFA!C10+ULSummary!C10+'LSU Summary'!C10+'SU Summary'!C10+'LCTCS Summary'!C10</f>
        <v>153211744</v>
      </c>
      <c r="D10" s="69">
        <f>BOR!D10+LUMCON!D10+LOSFA!D10+ULSummary!D10+'LSU Summary'!D10+'SU Summary'!D10+'LCTCS Summary'!D10</f>
        <v>144129895</v>
      </c>
      <c r="E10" s="69">
        <f t="shared" ref="E10:E31" si="1">D10-C10</f>
        <v>-9081849</v>
      </c>
      <c r="F10" s="70">
        <f t="shared" si="0"/>
        <v>-5.9276454682220703E-2</v>
      </c>
      <c r="G10" s="69">
        <f>BOR!G10+LUMCON!G10+LOSFA!G10+ULSummary!G10+'LSU Summary'!G10+'SU Summary'!G10+'LCTCS Summary'!G10</f>
        <v>144129895</v>
      </c>
      <c r="H10" s="227"/>
    </row>
    <row r="11" spans="1:9" ht="15" customHeight="1" x14ac:dyDescent="0.25">
      <c r="A11" s="73" t="s">
        <v>15</v>
      </c>
      <c r="B11" s="69">
        <f>BOR!B11+LUMCON!B11+LOSFA!B11+ULSummary!B11+'LSU Summary'!B11+'SU Summary'!B11+'LCTCS Summary'!B11</f>
        <v>3183370.17</v>
      </c>
      <c r="C11" s="69">
        <f>BOR!C11+LUMCON!C11+LOSFA!C11+ULSummary!C11+'LSU Summary'!C11+'SU Summary'!C11+'LCTCS Summary'!C11</f>
        <v>3436092</v>
      </c>
      <c r="D11" s="69">
        <f>BOR!D11+LUMCON!D11+LOSFA!D11+ULSummary!D11+'LSU Summary'!D11+'SU Summary'!D11+'LCTCS Summary'!D11</f>
        <v>180000</v>
      </c>
      <c r="E11" s="69">
        <f t="shared" si="1"/>
        <v>-3256092</v>
      </c>
      <c r="F11" s="70">
        <f t="shared" si="0"/>
        <v>-0.94761490670214887</v>
      </c>
      <c r="G11" s="69">
        <f>BOR!G11+LUMCON!G11+LOSFA!G11+ULSummary!G11+'LSU Summary'!G11+'SU Summary'!G11+'LCTCS Summary'!G11</f>
        <v>180000</v>
      </c>
      <c r="H11" s="227"/>
    </row>
    <row r="12" spans="1:9" ht="15" customHeight="1" x14ac:dyDescent="0.25">
      <c r="A12" s="75" t="s">
        <v>16</v>
      </c>
      <c r="B12" s="69">
        <f>BOR!B12+LUMCON!B12+LOSFA!B12+ULSummary!B12+'LSU Summary'!B12+'SU Summary'!B12+'LCTCS Summary'!B12</f>
        <v>36438136.229999997</v>
      </c>
      <c r="C12" s="69">
        <f>BOR!C12+LUMCON!C12+LOSFA!C12+ULSummary!C12+'LSU Summary'!C12+'SU Summary'!C12+'LCTCS Summary'!C12</f>
        <v>43404070</v>
      </c>
      <c r="D12" s="69">
        <f>BOR!D12+LUMCON!D12+LOSFA!D12+ULSummary!D12+'LSU Summary'!D12+'SU Summary'!D12+'LCTCS Summary'!D12</f>
        <v>37190664</v>
      </c>
      <c r="E12" s="69">
        <f t="shared" si="1"/>
        <v>-6213406</v>
      </c>
      <c r="F12" s="70">
        <f t="shared" si="0"/>
        <v>-0.14315261218590791</v>
      </c>
      <c r="G12" s="69">
        <f>BOR!G12+LUMCON!G12+LOSFA!G12+ULSummary!G12+'LSU Summary'!G12+'SU Summary'!G12+'LCTCS Summary'!G12</f>
        <v>37190664</v>
      </c>
      <c r="H12" s="227"/>
    </row>
    <row r="13" spans="1:9" ht="15" customHeight="1" x14ac:dyDescent="0.25">
      <c r="A13" s="75" t="s">
        <v>17</v>
      </c>
      <c r="B13" s="69">
        <f>BOR!B13+LUMCON!B13+LOSFA!B13+ULSummary!B13+'LSU Summary'!B13+'SU Summary'!B13+'LCTCS Summary'!B13</f>
        <v>6553077.9400000004</v>
      </c>
      <c r="C13" s="69">
        <f>BOR!C13+LUMCON!C13+LOSFA!C13+ULSummary!C13+'LSU Summary'!C13+'SU Summary'!C13+'LCTCS Summary'!C13</f>
        <v>6990293</v>
      </c>
      <c r="D13" s="69">
        <f>BOR!D13+LUMCON!D13+LOSFA!D13+ULSummary!D13+'LSU Summary'!D13+'SU Summary'!D13+'LCTCS Summary'!D13</f>
        <v>6624046</v>
      </c>
      <c r="E13" s="69">
        <f t="shared" si="1"/>
        <v>-366247</v>
      </c>
      <c r="F13" s="70">
        <f t="shared" si="0"/>
        <v>-5.2393655029910766E-2</v>
      </c>
      <c r="G13" s="69">
        <f>BOR!G13+LUMCON!G13+LOSFA!G13+ULSummary!G13+'LSU Summary'!G13+'SU Summary'!G13+'LCTCS Summary'!G13</f>
        <v>6624046</v>
      </c>
      <c r="H13" s="227"/>
    </row>
    <row r="14" spans="1:9" ht="15" customHeight="1" x14ac:dyDescent="0.25">
      <c r="A14" s="75" t="s">
        <v>18</v>
      </c>
      <c r="B14" s="69">
        <f>BOR!B14+LUMCON!B14+LOSFA!B14+ULSummary!B14+'LSU Summary'!B14+'SU Summary'!B14+'LCTCS Summary'!B14</f>
        <v>567481.21</v>
      </c>
      <c r="C14" s="69">
        <f>BOR!C14+LUMCON!C14+LOSFA!C14+ULSummary!C14+'LSU Summary'!C14+'SU Summary'!C14+'LCTCS Summary'!C14</f>
        <v>655827</v>
      </c>
      <c r="D14" s="69">
        <f>BOR!D14+LUMCON!D14+LOSFA!D14+ULSummary!D14+'LSU Summary'!D14+'SU Summary'!D14+'LCTCS Summary'!D14</f>
        <v>314851</v>
      </c>
      <c r="E14" s="69">
        <f t="shared" si="1"/>
        <v>-340976</v>
      </c>
      <c r="F14" s="70">
        <f t="shared" si="0"/>
        <v>-0.51991760022078992</v>
      </c>
      <c r="G14" s="69">
        <f>BOR!G14+LUMCON!G14+LOSFA!G14+ULSummary!G14+'LSU Summary'!G14+'SU Summary'!G14+'LCTCS Summary'!G14</f>
        <v>314851</v>
      </c>
      <c r="H14" s="227"/>
    </row>
    <row r="15" spans="1:9" ht="15" customHeight="1" x14ac:dyDescent="0.25">
      <c r="A15" s="75" t="s">
        <v>19</v>
      </c>
      <c r="B15" s="69">
        <f>BOR!B15+LUMCON!B15+LOSFA!B15+ULSummary!B15+'LSU Summary'!B15+'SU Summary'!B15+'LCTCS Summary'!B15</f>
        <v>2122498</v>
      </c>
      <c r="C15" s="69">
        <f>BOR!C15+LUMCON!C15+LOSFA!C15+ULSummary!C15+'LSU Summary'!C15+'SU Summary'!C15+'LCTCS Summary'!C15</f>
        <v>2122498</v>
      </c>
      <c r="D15" s="69">
        <f>BOR!D15+LUMCON!D15+LOSFA!D15+ULSummary!D15+'LSU Summary'!D15+'SU Summary'!D15+'LCTCS Summary'!D15</f>
        <v>2178837</v>
      </c>
      <c r="E15" s="69">
        <f t="shared" si="1"/>
        <v>56339</v>
      </c>
      <c r="F15" s="70">
        <f t="shared" si="0"/>
        <v>2.6543723480540383E-2</v>
      </c>
      <c r="G15" s="69">
        <f>BOR!G15+LUMCON!G15+LOSFA!G15+ULSummary!G15+'LSU Summary'!G15+'SU Summary'!G15+'LCTCS Summary'!G15</f>
        <v>2178837</v>
      </c>
      <c r="H15" s="227"/>
    </row>
    <row r="16" spans="1:9" ht="15" customHeight="1" x14ac:dyDescent="0.25">
      <c r="A16" s="75" t="s">
        <v>20</v>
      </c>
      <c r="B16" s="69">
        <f>BOR!B16+LUMCON!B16+LOSFA!B16+ULSummary!B16+'LSU Summary'!B16+'SU Summary'!B16+'LCTCS Summary'!B16</f>
        <v>50000</v>
      </c>
      <c r="C16" s="69">
        <f>BOR!C16+LUMCON!C16+LOSFA!C16+ULSummary!C16+'LSU Summary'!C16+'SU Summary'!C16+'LCTCS Summary'!C16</f>
        <v>50000</v>
      </c>
      <c r="D16" s="69">
        <f>BOR!D16+LUMCON!D16+LOSFA!D16+ULSummary!D16+'LSU Summary'!D16+'SU Summary'!D16+'LCTCS Summary'!D16</f>
        <v>50000</v>
      </c>
      <c r="E16" s="69">
        <f t="shared" si="1"/>
        <v>0</v>
      </c>
      <c r="F16" s="70">
        <f t="shared" si="0"/>
        <v>0</v>
      </c>
      <c r="G16" s="69">
        <f>BOR!G16+LUMCON!G16+LOSFA!G16+ULSummary!G16+'LSU Summary'!G16+'SU Summary'!G16+'LCTCS Summary'!G16</f>
        <v>50000</v>
      </c>
      <c r="H16" s="227"/>
    </row>
    <row r="17" spans="1:8" ht="15" customHeight="1" x14ac:dyDescent="0.25">
      <c r="A17" s="75" t="s">
        <v>21</v>
      </c>
      <c r="B17" s="69">
        <f>BOR!B17+LUMCON!B17+LOSFA!B17+ULSummary!B17+'LSU Summary'!B17+'SU Summary'!B17+'LCTCS Summary'!B17</f>
        <v>750000</v>
      </c>
      <c r="C17" s="69">
        <f>BOR!C17+LUMCON!C17+LOSFA!C17+ULSummary!C17+'LSU Summary'!C17+'SU Summary'!C17+'LCTCS Summary'!C17</f>
        <v>750000</v>
      </c>
      <c r="D17" s="69">
        <f>BOR!D17+LUMCON!D17+LOSFA!D17+ULSummary!D17+'LSU Summary'!D17+'SU Summary'!D17+'LCTCS Summary'!D17</f>
        <v>750000</v>
      </c>
      <c r="E17" s="69">
        <f t="shared" si="1"/>
        <v>0</v>
      </c>
      <c r="F17" s="70">
        <f t="shared" si="0"/>
        <v>0</v>
      </c>
      <c r="G17" s="69">
        <f>BOR!G17+LUMCON!G17+LOSFA!G17+ULSummary!G17+'LSU Summary'!G17+'SU Summary'!G17+'LCTCS Summary'!G17</f>
        <v>750000</v>
      </c>
      <c r="H17" s="227"/>
    </row>
    <row r="18" spans="1:8" ht="15" customHeight="1" x14ac:dyDescent="0.25">
      <c r="A18" s="75" t="s">
        <v>22</v>
      </c>
      <c r="B18" s="69">
        <f>BOR!B18+LUMCON!B18+LOSFA!B18+ULSummary!B18+'LSU Summary'!B18+'SU Summary'!B18+'LCTCS Summary'!B18</f>
        <v>750000</v>
      </c>
      <c r="C18" s="69">
        <f>BOR!C18+LUMCON!C18+LOSFA!C18+ULSummary!C18+'LSU Summary'!C18+'SU Summary'!C18+'LCTCS Summary'!C18</f>
        <v>750000</v>
      </c>
      <c r="D18" s="69">
        <f>BOR!D18+LUMCON!D18+LOSFA!D18+ULSummary!D18+'LSU Summary'!D18+'SU Summary'!D18+'LCTCS Summary'!D18</f>
        <v>750000</v>
      </c>
      <c r="E18" s="69">
        <f t="shared" si="1"/>
        <v>0</v>
      </c>
      <c r="F18" s="70">
        <f t="shared" si="0"/>
        <v>0</v>
      </c>
      <c r="G18" s="69">
        <f>BOR!G18+LUMCON!G18+LOSFA!G18+ULSummary!G18+'LSU Summary'!G18+'SU Summary'!G18+'LCTCS Summary'!G18</f>
        <v>750000</v>
      </c>
      <c r="H18" s="227"/>
    </row>
    <row r="19" spans="1:8" ht="15" customHeight="1" x14ac:dyDescent="0.25">
      <c r="A19" s="75" t="s">
        <v>23</v>
      </c>
      <c r="B19" s="69">
        <f>BOR!B19+LUMCON!B19+LOSFA!B19+ULSummary!B19+'LSU Summary'!B19+'SU Summary'!B19+'LCTCS Summary'!B19</f>
        <v>3332132.64</v>
      </c>
      <c r="C19" s="69">
        <f>BOR!C19+LUMCON!C19+LOSFA!C19+ULSummary!C19+'LSU Summary'!C19+'SU Summary'!C19+'LCTCS Summary'!C19</f>
        <v>3357261</v>
      </c>
      <c r="D19" s="69">
        <f>BOR!D19+LUMCON!D19+LOSFA!D19+ULSummary!D19+'LSU Summary'!D19+'SU Summary'!D19+'LCTCS Summary'!D19</f>
        <v>3533359</v>
      </c>
      <c r="E19" s="69">
        <f t="shared" si="1"/>
        <v>176098</v>
      </c>
      <c r="F19" s="70">
        <f t="shared" si="0"/>
        <v>5.2452877509374454E-2</v>
      </c>
      <c r="G19" s="69">
        <f>BOR!G19+LUMCON!G19+LOSFA!G19+ULSummary!G19+'LSU Summary'!G19+'SU Summary'!G19+'LCTCS Summary'!G19</f>
        <v>3533359</v>
      </c>
      <c r="H19" s="227"/>
    </row>
    <row r="20" spans="1:8" ht="15" customHeight="1" x14ac:dyDescent="0.25">
      <c r="A20" s="75" t="s">
        <v>24</v>
      </c>
      <c r="B20" s="69">
        <f>BOR!B20+LUMCON!B20+LOSFA!B20+ULSummary!B20+'LSU Summary'!B20+'SU Summary'!B20+'LCTCS Summary'!B20</f>
        <v>210000</v>
      </c>
      <c r="C20" s="69">
        <f>BOR!C20+LUMCON!C20+LOSFA!C20+ULSummary!C20+'LSU Summary'!C20+'SU Summary'!C20+'LCTCS Summary'!C20</f>
        <v>210000</v>
      </c>
      <c r="D20" s="69">
        <f>BOR!D20+LUMCON!D20+LOSFA!D20+ULSummary!D20+'LSU Summary'!D20+'SU Summary'!D20+'LCTCS Summary'!D20</f>
        <v>210000</v>
      </c>
      <c r="E20" s="69">
        <f t="shared" si="1"/>
        <v>0</v>
      </c>
      <c r="F20" s="70">
        <f t="shared" si="0"/>
        <v>0</v>
      </c>
      <c r="G20" s="69">
        <f>BOR!G20+LUMCON!G20+LOSFA!G20+ULSummary!G20+'LSU Summary'!G20+'SU Summary'!G20+'LCTCS Summary'!G20</f>
        <v>210000</v>
      </c>
      <c r="H20" s="227"/>
    </row>
    <row r="21" spans="1:8" ht="15" customHeight="1" x14ac:dyDescent="0.25">
      <c r="A21" s="75" t="s">
        <v>25</v>
      </c>
      <c r="B21" s="69">
        <f>BOR!B21+LUMCON!B21+LOSFA!B21+ULSummary!B21+'LSU Summary'!B21+'SU Summary'!B21+'LCTCS Summary'!B21</f>
        <v>0</v>
      </c>
      <c r="C21" s="69">
        <f>BOR!C21+LUMCON!C21+LOSFA!C21+ULSummary!C21+'LSU Summary'!C21+'SU Summary'!C21+'LCTCS Summary'!C21</f>
        <v>0</v>
      </c>
      <c r="D21" s="69">
        <f>BOR!D21+LUMCON!D21+LOSFA!D21+ULSummary!D21+'LSU Summary'!D21+'SU Summary'!D21+'LCTCS Summary'!D21</f>
        <v>0</v>
      </c>
      <c r="E21" s="69">
        <f t="shared" si="1"/>
        <v>0</v>
      </c>
      <c r="F21" s="70">
        <f t="shared" si="0"/>
        <v>0</v>
      </c>
      <c r="G21" s="69">
        <f>BOR!G21+LUMCON!G21+LOSFA!G21+ULSummary!G21+'LSU Summary'!G21+'SU Summary'!G21+'LCTCS Summary'!G21</f>
        <v>0</v>
      </c>
      <c r="H21" s="227"/>
    </row>
    <row r="22" spans="1:8" ht="15" customHeight="1" x14ac:dyDescent="0.25">
      <c r="A22" s="75" t="s">
        <v>26</v>
      </c>
      <c r="B22" s="69">
        <f>BOR!B22+LUMCON!B22+LOSFA!B22+ULSummary!B22+'LSU Summary'!B22+'SU Summary'!B22+'LCTCS Summary'!B22</f>
        <v>19190297</v>
      </c>
      <c r="C22" s="69">
        <f>BOR!C22+LUMCON!C22+LOSFA!C22+ULSummary!C22+'LSU Summary'!C22+'SU Summary'!C22+'LCTCS Summary'!C22</f>
        <v>22230000</v>
      </c>
      <c r="D22" s="69">
        <f>BOR!D22+LUMCON!D22+LOSFA!D22+ULSummary!D22+'LSU Summary'!D22+'SU Summary'!D22+'LCTCS Summary'!D22</f>
        <v>24230000</v>
      </c>
      <c r="E22" s="69">
        <f t="shared" si="1"/>
        <v>2000000</v>
      </c>
      <c r="F22" s="70">
        <f t="shared" si="0"/>
        <v>8.9968511021142603E-2</v>
      </c>
      <c r="G22" s="69">
        <f>BOR!G22+LUMCON!G22+LOSFA!G22+ULSummary!G22+'LSU Summary'!G22+'SU Summary'!G22+'LCTCS Summary'!G22</f>
        <v>24230000</v>
      </c>
      <c r="H22" s="227"/>
    </row>
    <row r="23" spans="1:8" ht="15" customHeight="1" x14ac:dyDescent="0.25">
      <c r="A23" s="76" t="s">
        <v>27</v>
      </c>
      <c r="B23" s="69">
        <f>BOR!B23+LUMCON!B23+LOSFA!B23+ULSummary!B23+'LSU Summary'!B23+'SU Summary'!B23+'LCTCS Summary'!B23</f>
        <v>12012</v>
      </c>
      <c r="C23" s="69">
        <f>BOR!C23+LUMCON!C23+LOSFA!C23+ULSummary!C23+'LSU Summary'!C23+'SU Summary'!C23+'LCTCS Summary'!C23</f>
        <v>200000</v>
      </c>
      <c r="D23" s="69">
        <f>BOR!D23+LUMCON!D23+LOSFA!D23+ULSummary!D23+'LSU Summary'!D23+'SU Summary'!D23+'LCTCS Summary'!D23</f>
        <v>0</v>
      </c>
      <c r="E23" s="69">
        <f t="shared" si="1"/>
        <v>-200000</v>
      </c>
      <c r="F23" s="70">
        <f t="shared" si="0"/>
        <v>-1</v>
      </c>
      <c r="G23" s="69">
        <f>BOR!G23+LUMCON!G23+LOSFA!G23+ULSummary!G23+'LSU Summary'!G23+'SU Summary'!G23+'LCTCS Summary'!G23</f>
        <v>0</v>
      </c>
      <c r="H23" s="227"/>
    </row>
    <row r="24" spans="1:8" ht="15" customHeight="1" x14ac:dyDescent="0.25">
      <c r="A24" s="76" t="s">
        <v>28</v>
      </c>
      <c r="B24" s="69">
        <f>BOR!B24+LUMCON!B24+LOSFA!B24+ULSummary!B24+'LSU Summary'!B24+'SU Summary'!B24+'LCTCS Summary'!B24</f>
        <v>10000000</v>
      </c>
      <c r="C24" s="69">
        <f>BOR!C24+LUMCON!C24+LOSFA!C24+ULSummary!C24+'LSU Summary'!C24+'SU Summary'!C24+'LCTCS Summary'!C24</f>
        <v>10000000</v>
      </c>
      <c r="D24" s="69">
        <f>BOR!D24+LUMCON!D24+LOSFA!D24+ULSummary!D24+'LSU Summary'!D24+'SU Summary'!D24+'LCTCS Summary'!D24</f>
        <v>10000000</v>
      </c>
      <c r="E24" s="69">
        <f t="shared" si="1"/>
        <v>0</v>
      </c>
      <c r="F24" s="70">
        <f t="shared" si="0"/>
        <v>0</v>
      </c>
      <c r="G24" s="69">
        <f>BOR!G24+LUMCON!G24+LOSFA!G24+ULSummary!G24+'LSU Summary'!G24+'SU Summary'!G24+'LCTCS Summary'!G24</f>
        <v>10000000</v>
      </c>
      <c r="H24" s="227"/>
    </row>
    <row r="25" spans="1:8" ht="15" customHeight="1" x14ac:dyDescent="0.25">
      <c r="A25" s="76" t="s">
        <v>29</v>
      </c>
      <c r="B25" s="69">
        <f>BOR!B25+LUMCON!B25+LOSFA!B25+ULSummary!B25+'LSU Summary'!B25+'SU Summary'!B25+'LCTCS Summary'!B25</f>
        <v>60000</v>
      </c>
      <c r="C25" s="69">
        <f>BOR!C25+LUMCON!C25+LOSFA!C25+ULSummary!C25+'LSU Summary'!C25+'SU Summary'!C25+'LCTCS Summary'!C25</f>
        <v>60000</v>
      </c>
      <c r="D25" s="69">
        <f>BOR!D25+LUMCON!D25+LOSFA!D25+ULSummary!D25+'LSU Summary'!D25+'SU Summary'!D25+'LCTCS Summary'!D25</f>
        <v>60000</v>
      </c>
      <c r="E25" s="69">
        <f t="shared" si="1"/>
        <v>0</v>
      </c>
      <c r="F25" s="70">
        <f t="shared" si="0"/>
        <v>0</v>
      </c>
      <c r="G25" s="69">
        <f>BOR!G25+LUMCON!G25+LOSFA!G25+ULSummary!G25+'LSU Summary'!G25+'SU Summary'!G25+'LCTCS Summary'!G25</f>
        <v>60000</v>
      </c>
      <c r="H25" s="227"/>
    </row>
    <row r="26" spans="1:8" ht="15" customHeight="1" x14ac:dyDescent="0.25">
      <c r="A26" s="76" t="s">
        <v>30</v>
      </c>
      <c r="B26" s="69">
        <f>BOR!B26+LUMCON!B26+LOSFA!B26+ULSummary!B26+'LSU Summary'!B26+'SU Summary'!B26+'LCTCS Summary'!B26</f>
        <v>312717</v>
      </c>
      <c r="C26" s="69">
        <f>BOR!C26+LUMCON!C26+LOSFA!C26+ULSummary!C26+'LSU Summary'!C26+'SU Summary'!C26+'LCTCS Summary'!C26</f>
        <v>349241</v>
      </c>
      <c r="D26" s="69">
        <f>BOR!D26+LUMCON!D26+LOSFA!D26+ULSummary!D26+'LSU Summary'!D26+'SU Summary'!D26+'LCTCS Summary'!D26</f>
        <v>211552</v>
      </c>
      <c r="E26" s="69">
        <f t="shared" si="1"/>
        <v>-137689</v>
      </c>
      <c r="F26" s="70">
        <f t="shared" si="0"/>
        <v>-0.39425210671141131</v>
      </c>
      <c r="G26" s="69">
        <f>BOR!G26+LUMCON!G26+LOSFA!G26+ULSummary!G26+'LSU Summary'!G26+'SU Summary'!G26+'LCTCS Summary'!G26</f>
        <v>211552</v>
      </c>
      <c r="H26" s="227"/>
    </row>
    <row r="27" spans="1:8" ht="15" customHeight="1" x14ac:dyDescent="0.25">
      <c r="A27" s="76" t="s">
        <v>31</v>
      </c>
      <c r="B27" s="69">
        <f>BOR!B27+LUMCON!B27+LOSFA!B27+ULSummary!B27+'LSU Summary'!B27+'SU Summary'!B27+'LCTCS Summary'!B27</f>
        <v>58411326</v>
      </c>
      <c r="C27" s="69">
        <f>BOR!C27+LUMCON!C27+LOSFA!C27+ULSummary!C27+'LSU Summary'!C27+'SU Summary'!C27+'LCTCS Summary'!C27</f>
        <v>58411326</v>
      </c>
      <c r="D27" s="69">
        <f>BOR!D27+LUMCON!D27+LOSFA!D27+ULSummary!D27+'LSU Summary'!D27+'SU Summary'!D27+'LCTCS Summary'!D27</f>
        <v>57421289</v>
      </c>
      <c r="E27" s="69">
        <f t="shared" si="1"/>
        <v>-990037</v>
      </c>
      <c r="F27" s="70">
        <f t="shared" si="0"/>
        <v>-1.6949401217154356E-2</v>
      </c>
      <c r="G27" s="69">
        <f>BOR!G27+LUMCON!G27+LOSFA!G27+ULSummary!G27+'LSU Summary'!G27+'SU Summary'!G27+'LCTCS Summary'!G27</f>
        <v>57421289</v>
      </c>
      <c r="H27" s="227"/>
    </row>
    <row r="28" spans="1:8" ht="15" customHeight="1" x14ac:dyDescent="0.25">
      <c r="A28" s="76" t="s">
        <v>87</v>
      </c>
      <c r="B28" s="69">
        <f>BOR!B28+LUMCON!B28+LOSFA!B28+ULSummary!B28+'LSU Summary'!B28+'SU Summary'!B28+'LCTCS Summary'!B28</f>
        <v>200000</v>
      </c>
      <c r="C28" s="69">
        <f>BOR!C28+LUMCON!C28+LOSFA!C28+ULSummary!C28+'LSU Summary'!C28+'SU Summary'!C28+'LCTCS Summary'!C28</f>
        <v>200000</v>
      </c>
      <c r="D28" s="69">
        <f>BOR!D28+LUMCON!D28+LOSFA!D28+ULSummary!D28+'LSU Summary'!D28+'SU Summary'!D28+'LCTCS Summary'!D28</f>
        <v>200000</v>
      </c>
      <c r="E28" s="69">
        <f t="shared" si="1"/>
        <v>0</v>
      </c>
      <c r="F28" s="70">
        <f t="shared" si="0"/>
        <v>0</v>
      </c>
      <c r="G28" s="69">
        <f>BOR!G28+LUMCON!G28+LOSFA!G28+ULSummary!G28+'LSU Summary'!G28+'SU Summary'!G28+'LCTCS Summary'!G28</f>
        <v>200000</v>
      </c>
      <c r="H28" s="227"/>
    </row>
    <row r="29" spans="1:8" ht="15" customHeight="1" x14ac:dyDescent="0.25">
      <c r="A29" s="76" t="s">
        <v>32</v>
      </c>
      <c r="B29" s="69">
        <f>BOR!B29+LUMCON!B32+LOSFA!B29+ULSummary!B29+'LSU Summary'!B29+'SU Summary'!B29+'LCTCS Summary'!B29</f>
        <v>0</v>
      </c>
      <c r="C29" s="69">
        <f>BOR!C29+LUMCON!C32+LOSFA!C29+ULSummary!C29+'LSU Summary'!C29+'SU Summary'!C29+'LCTCS Summary'!C29</f>
        <v>0</v>
      </c>
      <c r="D29" s="69">
        <f>BOR!D29+LUMCON!D32+LOSFA!D29+ULSummary!D29+'LSU Summary'!D29+'SU Summary'!D29+'LCTCS Summary'!D29</f>
        <v>0</v>
      </c>
      <c r="E29" s="69">
        <f t="shared" si="1"/>
        <v>0</v>
      </c>
      <c r="F29" s="70">
        <f t="shared" si="0"/>
        <v>0</v>
      </c>
      <c r="G29" s="69">
        <f>BOR!G29+LUMCON!G32+LOSFA!G29+ULSummary!G29+'LSU Summary'!G29+'SU Summary'!G29+'LCTCS Summary'!G29</f>
        <v>0</v>
      </c>
      <c r="H29" s="227"/>
    </row>
    <row r="30" spans="1:8" ht="15" customHeight="1" x14ac:dyDescent="0.25">
      <c r="A30" s="217" t="s">
        <v>201</v>
      </c>
      <c r="B30" s="69">
        <f>BOR!B30+LUMCON!B33+LOSFA!B30+ULSummary!B30+'LSU Summary'!B30+'SU Summary'!B30+'LCTCS Summary'!B30</f>
        <v>9325</v>
      </c>
      <c r="C30" s="69">
        <f>BOR!C30+LUMCON!C33+LOSFA!C30+ULSummary!C30+'LSU Summary'!C30+'SU Summary'!C30+'LCTCS Summary'!C30</f>
        <v>35136</v>
      </c>
      <c r="D30" s="69">
        <f>BOR!D30+LUMCON!D33+LOSFA!D30+ULSummary!D30+'LSU Summary'!D30+'SU Summary'!D30+'LCTCS Summary'!D30</f>
        <v>25297</v>
      </c>
      <c r="E30" s="69">
        <f t="shared" si="1"/>
        <v>-9839</v>
      </c>
      <c r="F30" s="70">
        <f t="shared" si="0"/>
        <v>-0.2800261839708561</v>
      </c>
      <c r="G30" s="69">
        <f>BOR!G30+LUMCON!G33+LOSFA!G30+ULSummary!G30+'LSU Summary'!G30+'SU Summary'!G30+'LCTCS Summary'!G30</f>
        <v>25297</v>
      </c>
      <c r="H30" s="227"/>
    </row>
    <row r="31" spans="1:8" ht="15" customHeight="1" x14ac:dyDescent="0.25">
      <c r="A31" s="76" t="s">
        <v>202</v>
      </c>
      <c r="B31" s="69">
        <f>BOR!B31+LUMCON!B34+LOSFA!B31+ULSummary!B31+'LSU Summary'!B31+'SU Summary'!B31+'LCTCS Summary'!B31</f>
        <v>0</v>
      </c>
      <c r="C31" s="69">
        <f>BOR!C31+LUMCON!C34+LOSFA!C31+ULSummary!C31+'LSU Summary'!C31+'SU Summary'!C31+'LCTCS Summary'!C31</f>
        <v>0</v>
      </c>
      <c r="D31" s="69">
        <f>BOR!D31+LUMCON!D34+LOSFA!D31+ULSummary!D31+'LSU Summary'!D31+'SU Summary'!D31+'LCTCS Summary'!D31</f>
        <v>200000</v>
      </c>
      <c r="E31" s="69">
        <f t="shared" si="1"/>
        <v>200000</v>
      </c>
      <c r="F31" s="70">
        <f t="shared" si="0"/>
        <v>1</v>
      </c>
      <c r="G31" s="69">
        <f>BOR!G31+LUMCON!G34+LOSFA!G31+ULSummary!G31+'LSU Summary'!G31+'SU Summary'!G31+'LCTCS Summary'!G31</f>
        <v>200000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f>BOR!B33+LUMCON!B34+LOSFA!B33+ULSummary!B33+'LSU Summary'!B33+'SU Summary'!B33+'LCTCS Summary'!B33</f>
        <v>0</v>
      </c>
      <c r="C33" s="69">
        <f>BOR!C33+LUMCON!C34+LOSFA!C33+ULSummary!C33+'LSU Summary'!C33+'SU Summary'!C33+'LCTCS Summary'!C33</f>
        <v>0</v>
      </c>
      <c r="D33" s="69">
        <f>BOR!D33+LUMCON!D34+LOSFA!D33+ULSummary!D33+'LSU Summary'!D33+'SU Summary'!D33+'LCTCS Summary'!D33</f>
        <v>0</v>
      </c>
      <c r="E33" s="69">
        <f>D33-C33</f>
        <v>0</v>
      </c>
      <c r="F33" s="70">
        <f>IF(ISBLANK(E33),"  ",IF(C33&gt;0,E33/C33,IF(E33&gt;0,1,0)))</f>
        <v>0</v>
      </c>
      <c r="G33" s="69">
        <f>BOR!G33+LUMCON!G34+LOSFA!G33+ULSummary!G33+'LSU Summary'!G33+'SU Summary'!G33+'LCTCS Summary'!G33</f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9">
        <f>BOR!B35+LUMCON!B36+LOSFA!B35+ULSummary!B35+'LSU Summary'!B35+'SU Summary'!B35+'LCTCS Summary'!B35</f>
        <v>0</v>
      </c>
      <c r="C35" s="69">
        <f>BOR!C35+LUMCON!C36+LOSFA!C35+ULSummary!C35+'LSU Summary'!C35+'SU Summary'!C35+'LCTCS Summary'!C35</f>
        <v>0</v>
      </c>
      <c r="D35" s="69">
        <f>BOR!D35+LUMCON!D36+LOSFA!D35+ULSummary!D35+'LSU Summary'!D35+'SU Summary'!D35+'LCTCS Summary'!D35</f>
        <v>0</v>
      </c>
      <c r="E35" s="69">
        <f>D35-C35</f>
        <v>0</v>
      </c>
      <c r="F35" s="70">
        <f>IF(ISBLANK(E35),"  ",IF(C35&gt;0,E35/C35,IF(E35&gt;0,1,0)))</f>
        <v>0</v>
      </c>
      <c r="G35" s="69">
        <f>BOR!G35+LUMCON!G36+LOSFA!G35+ULSummary!G35+'LSU Summary'!G35+'SU Summary'!G35+'LCTCS Summary'!G35</f>
        <v>0</v>
      </c>
      <c r="H35" s="227"/>
    </row>
    <row r="36" spans="1:13" ht="15" customHeight="1" x14ac:dyDescent="0.25">
      <c r="A36" s="75" t="s">
        <v>36</v>
      </c>
      <c r="B36" s="122"/>
      <c r="C36" s="122"/>
      <c r="D36" s="122"/>
      <c r="E36" s="72"/>
      <c r="F36" s="70" t="s">
        <v>37</v>
      </c>
      <c r="G36" s="122"/>
      <c r="H36" s="227"/>
    </row>
    <row r="37" spans="1:13" s="124" customFormat="1" ht="15" customHeight="1" x14ac:dyDescent="0.25">
      <c r="A37" s="79" t="s">
        <v>38</v>
      </c>
      <c r="B37" s="123">
        <f>B35+B33+B10+B9+B8</f>
        <v>1202537568.52</v>
      </c>
      <c r="C37" s="123">
        <f>C35+C33+C10+C9+C8</f>
        <v>1213741791</v>
      </c>
      <c r="D37" s="123">
        <f>D35+D33+D10+D9+D8</f>
        <v>1112604027.29</v>
      </c>
      <c r="E37" s="87">
        <f>D37-C37</f>
        <v>-101137763.71000004</v>
      </c>
      <c r="F37" s="81">
        <f>IF(ISBLANK(E37),"  ",IF(C37&gt;0,E37/C37,IF(E37&gt;0,1,0)))</f>
        <v>-8.3327248398255116E-2</v>
      </c>
      <c r="G37" s="123">
        <f>G35+G33+G10+G9+G8</f>
        <v>1112604027.29</v>
      </c>
      <c r="H37" s="228"/>
      <c r="J37" s="189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f>BOR!B39+LUMCON!B39+LOSFA!B39+ULSummary!B39+'LSU Summary'!B39+'SU Summary'!B39+'LCTCS Summary'!B39</f>
        <v>0</v>
      </c>
      <c r="C39" s="69">
        <f>BOR!C39+LUMCON!C39+LOSFA!C39+ULSummary!C39+'LSU Summary'!C39+'SU Summary'!C39+'LCTCS Summary'!C39</f>
        <v>0</v>
      </c>
      <c r="D39" s="69">
        <f>BOR!D39+LUMCON!D39+LOSFA!D39+ULSummary!D39+'LSU Summary'!D39+'SU Summary'!D39+'LCTCS Summary'!D39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BOR!G39+LUMCON!G39+LOSFA!G39+ULSummary!G39+'LSU Summary'!G39+'SU Summary'!G39+'LCTCS Summary'!G39</f>
        <v>0</v>
      </c>
      <c r="H39" s="227"/>
    </row>
    <row r="40" spans="1:13" ht="15" customHeight="1" x14ac:dyDescent="0.25">
      <c r="A40" s="83" t="s">
        <v>41</v>
      </c>
      <c r="B40" s="69">
        <f>BOR!B40+LUMCON!B40+LOSFA!B40+ULSummary!B40+'LSU Summary'!B40+'SU Summary'!B40+'LCTCS Summary'!B40</f>
        <v>0</v>
      </c>
      <c r="C40" s="69">
        <f>BOR!C40+LUMCON!C40+LOSFA!C40+ULSummary!C40+'LSU Summary'!C40+'SU Summary'!C40+'LCTCS Summary'!C40</f>
        <v>0</v>
      </c>
      <c r="D40" s="69">
        <f>BOR!D40+LUMCON!D40+LOSFA!D40+ULSummary!D40+'LSU Summary'!D40+'SU Summary'!D40+'LCTCS Summary'!D40</f>
        <v>0</v>
      </c>
      <c r="E40" s="69">
        <f>D40-C40</f>
        <v>0</v>
      </c>
      <c r="F40" s="70">
        <f t="shared" si="2"/>
        <v>0</v>
      </c>
      <c r="G40" s="69">
        <f>BOR!G40+LUMCON!G40+LOSFA!G40+ULSummary!G40+'LSU Summary'!G40+'SU Summary'!G40+'LCTCS Summary'!G40</f>
        <v>0</v>
      </c>
      <c r="H40" s="227"/>
    </row>
    <row r="41" spans="1:13" ht="15" customHeight="1" x14ac:dyDescent="0.25">
      <c r="A41" s="83" t="s">
        <v>42</v>
      </c>
      <c r="B41" s="69">
        <f>BOR!B41+LUMCON!B41+LOSFA!B41+ULSummary!B41+'LSU Summary'!B41+'SU Summary'!B41+'LCTCS Summary'!B41</f>
        <v>73825103</v>
      </c>
      <c r="C41" s="69">
        <f>BOR!C41+LUMCON!C41+LOSFA!C41+ULSummary!C41+'LSU Summary'!C41+'SU Summary'!C41+'LCTCS Summary'!C41</f>
        <v>15954000</v>
      </c>
      <c r="D41" s="69">
        <f>BOR!D41+LUMCON!D41+LOSFA!D41+ULSummary!D41+'LSU Summary'!D41+'SU Summary'!D41+'LCTCS Summary'!D41</f>
        <v>0</v>
      </c>
      <c r="E41" s="69">
        <f t="shared" ref="E41:E44" si="3">D41-C41</f>
        <v>-15954000</v>
      </c>
      <c r="F41" s="70">
        <f t="shared" si="2"/>
        <v>-1</v>
      </c>
      <c r="G41" s="69">
        <f>BOR!G41+LUMCON!G41+LOSFA!G41+ULSummary!G41+'LSU Summary'!G41+'SU Summary'!G41+'LCTCS Summary'!G41</f>
        <v>0</v>
      </c>
      <c r="H41" s="227"/>
    </row>
    <row r="42" spans="1:13" ht="15" customHeight="1" x14ac:dyDescent="0.25">
      <c r="A42" s="83" t="s">
        <v>43</v>
      </c>
      <c r="B42" s="69">
        <f>BOR!B42+LUMCON!B42+LOSFA!B42+ULSummary!B42+'LSU Summary'!B42+'SU Summary'!B42+'LCTCS Summary'!B42</f>
        <v>0</v>
      </c>
      <c r="C42" s="69">
        <f>BOR!C42+LUMCON!C42+LOSFA!C42+ULSummary!C42+'LSU Summary'!C42+'SU Summary'!C42+'LCTCS Summary'!C42</f>
        <v>0</v>
      </c>
      <c r="D42" s="69">
        <f>BOR!D42+LUMCON!D42+LOSFA!D42+ULSummary!D42+'LSU Summary'!D42+'SU Summary'!D42+'LCTCS Summary'!D42</f>
        <v>0</v>
      </c>
      <c r="E42" s="69">
        <f t="shared" si="3"/>
        <v>0</v>
      </c>
      <c r="F42" s="70">
        <f t="shared" si="2"/>
        <v>0</v>
      </c>
      <c r="G42" s="69">
        <f>BOR!G42+LUMCON!G42+LOSFA!G42+ULSummary!G42+'LSU Summary'!G42+'SU Summary'!G42+'LCTCS Summary'!G42</f>
        <v>0</v>
      </c>
      <c r="H42" s="227"/>
    </row>
    <row r="43" spans="1:13" ht="15" customHeight="1" x14ac:dyDescent="0.25">
      <c r="A43" s="84" t="s">
        <v>44</v>
      </c>
      <c r="B43" s="69">
        <f>BOR!B43+LUMCON!B43+LOSFA!B43+ULSummary!B43+'LSU Summary'!B43+'SU Summary'!B43+'LCTCS Summary'!B43</f>
        <v>0</v>
      </c>
      <c r="C43" s="69">
        <f>BOR!C43+LUMCON!C43+LOSFA!C43+ULSummary!C43+'LSU Summary'!C43+'SU Summary'!C43+'LCTCS Summary'!C43</f>
        <v>0</v>
      </c>
      <c r="D43" s="69">
        <f>BOR!D43+LUMCON!D43+LOSFA!D43+ULSummary!D43+'LSU Summary'!D43+'SU Summary'!D43+'LCTCS Summary'!D43</f>
        <v>0</v>
      </c>
      <c r="E43" s="69">
        <f t="shared" si="3"/>
        <v>0</v>
      </c>
      <c r="F43" s="70">
        <f t="shared" si="2"/>
        <v>0</v>
      </c>
      <c r="G43" s="69">
        <f>BOR!G43+LUMCON!G43+LOSFA!G43+ULSummary!G43+'LSU Summary'!G43+'SU Summary'!G43+'LCTCS Summary'!G43</f>
        <v>0</v>
      </c>
      <c r="H43" s="227"/>
    </row>
    <row r="44" spans="1:13" s="124" customFormat="1" ht="15" customHeight="1" x14ac:dyDescent="0.25">
      <c r="A44" s="77" t="s">
        <v>45</v>
      </c>
      <c r="B44" s="87">
        <f>SUM(B39:B43)</f>
        <v>73825103</v>
      </c>
      <c r="C44" s="87">
        <f>SUM(C39:C43)</f>
        <v>15954000</v>
      </c>
      <c r="D44" s="87">
        <f>SUM(D39:D43)</f>
        <v>0</v>
      </c>
      <c r="E44" s="87">
        <f t="shared" si="3"/>
        <v>-15954000</v>
      </c>
      <c r="F44" s="81">
        <f t="shared" si="2"/>
        <v>-1</v>
      </c>
      <c r="G44" s="87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f>BOR!B46+LUMCON!B46+LOSFA!B46+ULSummary!B46+'LSU Summary'!B46+'SU Summary'!B46+'LCTCS Summary'!B46</f>
        <v>17199708.469999999</v>
      </c>
      <c r="C46" s="87">
        <f>BOR!C46+LUMCON!C46+LOSFA!C46+ULSummary!C46+'LSU Summary'!C46+'SU Summary'!C46+'LCTCS Summary'!C46</f>
        <v>20727851</v>
      </c>
      <c r="D46" s="87">
        <f>BOR!D46+LUMCON!D46+LOSFA!D46+ULSummary!D46+'LSU Summary'!D46+'SU Summary'!D46+'LCTCS Summary'!D46</f>
        <v>21767256</v>
      </c>
      <c r="E46" s="87">
        <f>D46-C46</f>
        <v>1039405</v>
      </c>
      <c r="F46" s="81">
        <f>IF(ISBLANK(E46),"  ",IF(C46&gt;0,E46/C46,IF(E46&gt;0,1,0)))</f>
        <v>5.0145333445324361E-2</v>
      </c>
      <c r="G46" s="87">
        <f>BOR!G46+LUMCON!G46+LOSFA!G46+ULSummary!G46+'LSU Summary'!G46+'SU Summary'!G46+'LCTCS Summary'!G46</f>
        <v>21767256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f>BOR!B48+LUMCON!B48+LOSFA!B48+ULSummary!B48+'LSU Summary'!B48+'SU Summary'!B48+'LCTCS Summary'!B48</f>
        <v>97273987.530000001</v>
      </c>
      <c r="C48" s="304">
        <f>BOR!C48+LUMCON!C48+LOSFA!C48+ULSummary!C48+'LSU Summary'!C48+'SU Summary'!C48+'LCTCS Summary'!C48</f>
        <v>97371117</v>
      </c>
      <c r="D48" s="87">
        <f>BOR!D48+LUMCON!D48+LOSFA!D48+ULSummary!D48+'LSU Summary'!D48+'SU Summary'!D48+'LCTCS Summary'!D48</f>
        <v>3250000</v>
      </c>
      <c r="E48" s="87">
        <f>D48-C48</f>
        <v>-94121117</v>
      </c>
      <c r="F48" s="81">
        <f>IF(ISBLANK(E48)," ",IF(C48&gt;0,E48/C48,IF(E48&gt;0,1,0)))</f>
        <v>-0.96662254578018247</v>
      </c>
      <c r="G48" s="304">
        <f>BOR!G48+LUMCON!G48+LOSFA!G48+ULSummary!G48+'LSU Summary'!G48+'SU Summary'!G48+'LCTCS Summary'!G48</f>
        <v>100621117.41</v>
      </c>
      <c r="H48" s="228"/>
      <c r="J48" s="187"/>
    </row>
    <row r="49" spans="1:10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10" s="124" customFormat="1" ht="15" customHeight="1" x14ac:dyDescent="0.25">
      <c r="A50" s="86" t="s">
        <v>48</v>
      </c>
      <c r="B50" s="87">
        <f>BOR!B50+LUMCON!B50+LOSFA!B50+ULSummary!B50+'LSU Summary'!B50+'SU Summary'!B50+'LCTCS Summary'!B50</f>
        <v>691758</v>
      </c>
      <c r="C50" s="87">
        <f>BOR!C50+LUMCON!C50+LOSFA!C50+ULSummary!C50+'LSU Summary'!C50+'SU Summary'!C50+'LCTCS Summary'!C50</f>
        <v>0</v>
      </c>
      <c r="D50" s="87">
        <f>BOR!D50+LUMCON!D50+LOSFA!D50+ULSummary!D50+'LSU Summary'!D50+'SU Summary'!D50+'LCTCS Summary'!D50</f>
        <v>0</v>
      </c>
      <c r="E50" s="87">
        <f>D50-C50</f>
        <v>0</v>
      </c>
      <c r="F50" s="81">
        <f>IF(ISBLANK(E50),"  ",IF(C50&gt;0,E50/C50,IF(E50&gt;0,1,0)))</f>
        <v>0</v>
      </c>
      <c r="G50" s="87">
        <f>BOR!G50+LUMCON!G50+LOSFA!G50+ULSummary!G50+'LSU Summary'!G50+'SU Summary'!G50+'LCTCS Summary'!G50</f>
        <v>0</v>
      </c>
      <c r="H50" s="228"/>
    </row>
    <row r="51" spans="1:10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10" s="124" customFormat="1" ht="15" customHeight="1" x14ac:dyDescent="0.25">
      <c r="A52" s="77" t="s">
        <v>49</v>
      </c>
      <c r="B52" s="87">
        <f>BOR!B52+LUMCON!B52+LOSFA!B52+ULSummary!B52+'LSU Summary'!B52+'SU Summary'!B52+'LCTCS Summary'!B52</f>
        <v>1498152830.7299998</v>
      </c>
      <c r="C52" s="87">
        <f>BOR!C52+LUMCON!C52+LOSFA!C52+ULSummary!C52+'LSU Summary'!C52+'SU Summary'!C52+'LCTCS Summary'!C52</f>
        <v>1569990041</v>
      </c>
      <c r="D52" s="87">
        <f>BOR!D52+LUMCON!D52+LOSFA!D52+ULSummary!D52+'LSU Summary'!D52+'SU Summary'!D52+'LCTCS Summary'!D52</f>
        <v>1580606057</v>
      </c>
      <c r="E52" s="87">
        <f>D52-C52</f>
        <v>10616016</v>
      </c>
      <c r="F52" s="81">
        <f>IF(ISBLANK(E52),"  ",IF(C52&gt;0,E52/C52,IF(E52&gt;0,1,0)))</f>
        <v>6.7618365230126959E-3</v>
      </c>
      <c r="G52" s="87">
        <f>BOR!G52+LUMCON!G52+LOSFA!G52+ULSummary!G52+'LSU Summary'!G52+'SU Summary'!G52+'LCTCS Summary'!G52</f>
        <v>1580606057</v>
      </c>
      <c r="H52" s="228"/>
      <c r="J52" s="189"/>
    </row>
    <row r="53" spans="1:10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  <c r="J53" s="187"/>
    </row>
    <row r="54" spans="1:10" s="124" customFormat="1" ht="15" customHeight="1" x14ac:dyDescent="0.25">
      <c r="A54" s="88" t="s">
        <v>50</v>
      </c>
      <c r="B54" s="87">
        <f>BOR!B54+LUMCON!B54+LOSFA!B54+ULSummary!B54+'LSU Summary'!B54+'SU Summary'!B54+'LCTCS Summary'!B54</f>
        <v>49113740.729999997</v>
      </c>
      <c r="C54" s="87">
        <f>BOR!C54+LUMCON!C54+LOSFA!C54+ULSummary!C54+'LSU Summary'!C54+'SU Summary'!C54+'LCTCS Summary'!C54</f>
        <v>73046796</v>
      </c>
      <c r="D54" s="87">
        <f>BOR!D54+LUMCON!D54+LOSFA!D54+ULSummary!D54+'LSU Summary'!D54+'SU Summary'!D54+'LCTCS Summary'!D54</f>
        <v>70217796</v>
      </c>
      <c r="E54" s="87">
        <f>D54-C54</f>
        <v>-2829000</v>
      </c>
      <c r="F54" s="81">
        <f>IF(ISBLANK(E54),"  ",IF(C54&gt;0,E54/C54,IF(E54&gt;0,1,0)))</f>
        <v>-3.872859803460784E-2</v>
      </c>
      <c r="G54" s="87">
        <f>BOR!G54+LUMCON!G54+LOSFA!G54+ULSummary!G54+'LSU Summary'!G54+'SU Summary'!G54+'LCTCS Summary'!G54</f>
        <v>70217796</v>
      </c>
      <c r="H54" s="228"/>
    </row>
    <row r="55" spans="1:10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10" s="124" customFormat="1" ht="15" customHeight="1" x14ac:dyDescent="0.25">
      <c r="A56" s="77" t="s">
        <v>51</v>
      </c>
      <c r="B56" s="87">
        <f>BOR!B56+LUMCON!B56+LOSFA!B56+ULSummary!B56+'LSU Summary'!B56+'SU Summary'!B56+'LCTCS Summary'!B56</f>
        <v>0</v>
      </c>
      <c r="C56" s="87">
        <f>BOR!C56+LUMCON!C56+LOSFA!C56+ULSummary!C56+'LSU Summary'!C56+'SU Summary'!C56+'LCTCS Summary'!C56</f>
        <v>0</v>
      </c>
      <c r="D56" s="87">
        <f>BOR!D56+LUMCON!D56+LOSFA!D56+ULSummary!D56+'LSU Summary'!D56+'SU Summary'!D56+'LCTCS Summary'!D56</f>
        <v>0</v>
      </c>
      <c r="E56" s="87">
        <f>D56-C56</f>
        <v>0</v>
      </c>
      <c r="F56" s="81">
        <f>IF(ISBLANK(E56),"  ",IF(C56&gt;0,E56/C56,IF(E56&gt;0,1,0)))</f>
        <v>0</v>
      </c>
      <c r="G56" s="87">
        <f>BOR!G56+LUMCON!G56+LOSFA!G56+ULSummary!G56+'LSU Summary'!G56+'SU Summary'!G56+'LCTCS Summary'!G56</f>
        <v>0</v>
      </c>
      <c r="H56" s="228"/>
    </row>
    <row r="57" spans="1:10" ht="15" customHeight="1" x14ac:dyDescent="0.25">
      <c r="A57" s="75"/>
      <c r="B57" s="74"/>
      <c r="C57" s="74"/>
      <c r="D57" s="74"/>
      <c r="E57" s="74"/>
      <c r="F57" s="66"/>
      <c r="G57" s="74"/>
      <c r="H57" s="227"/>
      <c r="J57" s="187"/>
    </row>
    <row r="58" spans="1:10" s="124" customFormat="1" ht="15" customHeight="1" x14ac:dyDescent="0.25">
      <c r="A58" s="91" t="s">
        <v>52</v>
      </c>
      <c r="B58" s="87">
        <f>BOR!B58+LUMCON!B58+LOSFA!B58+ULSummary!B58+'LSU Summary'!B58+'SU Summary'!B58+'LCTCS Summary'!B58</f>
        <v>2791144481.98</v>
      </c>
      <c r="C58" s="87">
        <f>BOR!C58+LUMCON!C58+LOSFA!C58+ULSummary!C58+'LSU Summary'!C58+'SU Summary'!C58+'LCTCS Summary'!C58</f>
        <v>2958923596</v>
      </c>
      <c r="D58" s="87">
        <f>BOR!D58+LUMCON!D58+LOSFA!D58+ULSummary!D58+'LSU Summary'!D58+'SU Summary'!D58+'LCTCS Summary'!D58</f>
        <v>2788445136.4699998</v>
      </c>
      <c r="E58" s="87">
        <f>D58-C58</f>
        <v>-170478459.53000021</v>
      </c>
      <c r="F58" s="81">
        <f>IF(ISBLANK(E58),"  ",IF(C58&gt;0,E58/C58,IF(E58&gt;0,1,0)))</f>
        <v>-5.7615025869698126E-2</v>
      </c>
      <c r="G58" s="87">
        <f>BOR!G58+LUMCON!G58+LOSFA!G58+ULSummary!G58+'LSU Summary'!G58+'SU Summary'!G58+'LCTCS Summary'!G58</f>
        <v>2885816253.8800001</v>
      </c>
      <c r="H58" s="228"/>
      <c r="J58" s="189"/>
    </row>
    <row r="59" spans="1:10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  <c r="J59" s="187"/>
    </row>
    <row r="60" spans="1:10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10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10" ht="15" customHeight="1" x14ac:dyDescent="0.25">
      <c r="A62" s="73" t="s">
        <v>54</v>
      </c>
      <c r="B62" s="69">
        <f>BOR!B62+LUMCON!B62+LOSFA!B62+ULSummary!B62+'LSU Summary'!B62+'SU Summary'!B62+'LCTCS Summary'!B62</f>
        <v>928731185.05999994</v>
      </c>
      <c r="C62" s="69">
        <f>BOR!C62+LUMCON!C62+LOSFA!C62+ULSummary!C62+'LSU Summary'!C62+'SU Summary'!C62+'LCTCS Summary'!C62</f>
        <v>1027490689.6860086</v>
      </c>
      <c r="D62" s="69">
        <f>BOR!D62+LUMCON!D62+LOSFA!D62+ULSummary!D62+'LSU Summary'!D62+'SU Summary'!D62+'LCTCS Summary'!D62</f>
        <v>906427945.11000001</v>
      </c>
      <c r="E62" s="69">
        <f>D62-C62</f>
        <v>-121062744.57600856</v>
      </c>
      <c r="F62" s="70">
        <f t="shared" ref="F62:F75" si="4">IF(ISBLANK(E62),"  ",IF(C62&gt;0,E62/C62,IF(E62&gt;0,1,0)))</f>
        <v>-0.11782369007450977</v>
      </c>
      <c r="G62" s="69">
        <f>BOR!G62+LUMCON!G62+LOSFA!G62+ULSummary!G62+'LSU Summary'!G62+'SU Summary'!G62+'LCTCS Summary'!G62</f>
        <v>974962503</v>
      </c>
      <c r="H62" s="227"/>
    </row>
    <row r="63" spans="1:10" ht="15" customHeight="1" x14ac:dyDescent="0.25">
      <c r="A63" s="75" t="s">
        <v>55</v>
      </c>
      <c r="B63" s="69">
        <f>BOR!B63+LUMCON!B63+LOSFA!B63+ULSummary!B63+'LSU Summary'!B63+'SU Summary'!B63+'LCTCS Summary'!B63</f>
        <v>173181710.12</v>
      </c>
      <c r="C63" s="69">
        <f>BOR!C63+LUMCON!C63+LOSFA!C63+ULSummary!C63+'LSU Summary'!C63+'SU Summary'!C63+'LCTCS Summary'!C63</f>
        <v>180632687</v>
      </c>
      <c r="D63" s="69">
        <f>BOR!D63+LUMCON!D63+LOSFA!D63+ULSummary!D63+'LSU Summary'!D63+'SU Summary'!D63+'LCTCS Summary'!D63</f>
        <v>178612413.55000001</v>
      </c>
      <c r="E63" s="69">
        <f>D63-C63</f>
        <v>-2020273.4499999881</v>
      </c>
      <c r="F63" s="70">
        <f t="shared" si="4"/>
        <v>-1.1184428928967812E-2</v>
      </c>
      <c r="G63" s="69">
        <f>BOR!G63+LUMCON!G63+LOSFA!G63+ULSummary!G63+'LSU Summary'!G63+'SU Summary'!G63+'LCTCS Summary'!G63</f>
        <v>179549035.80000001</v>
      </c>
      <c r="H63" s="227"/>
    </row>
    <row r="64" spans="1:10" ht="15" customHeight="1" x14ac:dyDescent="0.25">
      <c r="A64" s="75" t="s">
        <v>56</v>
      </c>
      <c r="B64" s="69">
        <f>BOR!B64+LUMCON!B64+LOSFA!B64+ULSummary!B64+'LSU Summary'!B64+'SU Summary'!B64+'LCTCS Summary'!B64</f>
        <v>41195487.700000003</v>
      </c>
      <c r="C64" s="69">
        <f>BOR!C64+LUMCON!C64+LOSFA!C64+ULSummary!C64+'LSU Summary'!C64+'SU Summary'!C64+'LCTCS Summary'!C64</f>
        <v>38971299.189999998</v>
      </c>
      <c r="D64" s="69">
        <f>BOR!D64+LUMCON!D64+LOSFA!D64+ULSummary!D64+'LSU Summary'!D64+'SU Summary'!D64+'LCTCS Summary'!D64</f>
        <v>52115287.986000001</v>
      </c>
      <c r="E64" s="69">
        <f t="shared" ref="E64:E75" si="5">D64-C64</f>
        <v>13143988.796000004</v>
      </c>
      <c r="F64" s="70">
        <f t="shared" si="4"/>
        <v>0.33727355949613147</v>
      </c>
      <c r="G64" s="69">
        <f>BOR!G64+LUMCON!G64+LOSFA!G64+ULSummary!G64+'LSU Summary'!G64+'SU Summary'!G64+'LCTCS Summary'!G64</f>
        <v>53519424.816</v>
      </c>
      <c r="H64" s="227"/>
    </row>
    <row r="65" spans="1:10" ht="15" customHeight="1" x14ac:dyDescent="0.25">
      <c r="A65" s="75" t="s">
        <v>57</v>
      </c>
      <c r="B65" s="69">
        <f>BOR!B65+LUMCON!B65+LOSFA!B65+ULSummary!B65+'LSU Summary'!B65+'SU Summary'!B65+'LCTCS Summary'!B65</f>
        <v>244473798.75</v>
      </c>
      <c r="C65" s="69">
        <f>BOR!C65+LUMCON!C65+LOSFA!C65+ULSummary!C65+'LSU Summary'!C65+'SU Summary'!C65+'LCTCS Summary'!C65</f>
        <v>253726035.30000001</v>
      </c>
      <c r="D65" s="69">
        <f>BOR!D65+LUMCON!D65+LOSFA!D65+ULSummary!D65+'LSU Summary'!D65+'SU Summary'!D65+'LCTCS Summary'!D65</f>
        <v>244159459.53299999</v>
      </c>
      <c r="E65" s="69">
        <f t="shared" si="5"/>
        <v>-9566575.7670000196</v>
      </c>
      <c r="F65" s="70">
        <f t="shared" si="4"/>
        <v>-3.7704352080734298E-2</v>
      </c>
      <c r="G65" s="69">
        <f>BOR!G65+LUMCON!G65+LOSFA!G65+ULSummary!G65+'LSU Summary'!G65+'SU Summary'!G65+'LCTCS Summary'!G65</f>
        <v>247841695.933</v>
      </c>
      <c r="H65" s="227"/>
    </row>
    <row r="66" spans="1:10" ht="15" customHeight="1" x14ac:dyDescent="0.25">
      <c r="A66" s="75" t="s">
        <v>58</v>
      </c>
      <c r="B66" s="69">
        <f>BOR!B66+LUMCON!B66+LOSFA!B66+ULSummary!B66+'LSU Summary'!B66+'SU Summary'!B66+'LCTCS Summary'!B66</f>
        <v>123546833.41</v>
      </c>
      <c r="C66" s="69">
        <f>BOR!C66+LUMCON!C66+LOSFA!C66+ULSummary!C66+'LSU Summary'!C66+'SU Summary'!C66+'LCTCS Summary'!C66</f>
        <v>127776086.29124501</v>
      </c>
      <c r="D66" s="69">
        <f>BOR!D66+LUMCON!D66+LOSFA!D66+ULSummary!D66+'LSU Summary'!D66+'SU Summary'!D66+'LCTCS Summary'!D66</f>
        <v>130586018.97600001</v>
      </c>
      <c r="E66" s="69">
        <f t="shared" si="5"/>
        <v>2809932.6847549975</v>
      </c>
      <c r="F66" s="70">
        <f t="shared" si="4"/>
        <v>2.1991068644489613E-2</v>
      </c>
      <c r="G66" s="69">
        <f>BOR!G66+LUMCON!G66+LOSFA!G66+ULSummary!G66+'LSU Summary'!G66+'SU Summary'!G66+'LCTCS Summary'!G66</f>
        <v>131263817.99599999</v>
      </c>
      <c r="H66" s="227"/>
    </row>
    <row r="67" spans="1:10" ht="15" customHeight="1" x14ac:dyDescent="0.25">
      <c r="A67" s="75" t="s">
        <v>59</v>
      </c>
      <c r="B67" s="69">
        <f>BOR!B67+LUMCON!B67+LOSFA!B67+ULSummary!B67+'LSU Summary'!B67+'SU Summary'!B67+'LCTCS Summary'!B67</f>
        <v>383179544.76999998</v>
      </c>
      <c r="C67" s="69">
        <f>BOR!C67+LUMCON!C67+LOSFA!C67+ULSummary!C67+'LSU Summary'!C67+'SU Summary'!C67+'LCTCS Summary'!C67</f>
        <v>399364091.35053605</v>
      </c>
      <c r="D67" s="69">
        <f>BOR!D67+LUMCON!D67+LOSFA!D67+ULSummary!D67+'LSU Summary'!D67+'SU Summary'!D67+'LCTCS Summary'!D67</f>
        <v>385668475.28100002</v>
      </c>
      <c r="E67" s="69">
        <f t="shared" si="5"/>
        <v>-13695616.06953603</v>
      </c>
      <c r="F67" s="70">
        <f t="shared" si="4"/>
        <v>-3.4293559100973106E-2</v>
      </c>
      <c r="G67" s="69">
        <f>BOR!G67+LUMCON!G67+LOSFA!G67+ULSummary!G67+'LSU Summary'!G67+'SU Summary'!G67+'LCTCS Summary'!G67</f>
        <v>388587543.97100002</v>
      </c>
      <c r="H67" s="227"/>
    </row>
    <row r="68" spans="1:10" ht="15" customHeight="1" x14ac:dyDescent="0.25">
      <c r="A68" s="75" t="s">
        <v>60</v>
      </c>
      <c r="B68" s="69">
        <f>BOR!B68+LUMCON!B68+LOSFA!B68+ULSummary!B68+'LSU Summary'!B68+'SU Summary'!B68+'LCTCS Summary'!B68</f>
        <v>576987844.38000011</v>
      </c>
      <c r="C68" s="69">
        <f>BOR!C68+LUMCON!C68+LOSFA!C68+ULSummary!C68+'LSU Summary'!C68+'SU Summary'!C68+'LCTCS Summary'!C68</f>
        <v>584766226.60000002</v>
      </c>
      <c r="D68" s="69">
        <f>BOR!D68+LUMCON!D68+LOSFA!D68+ULSummary!D68+'LSU Summary'!D68+'SU Summary'!D68+'LCTCS Summary'!D68</f>
        <v>600521726.87</v>
      </c>
      <c r="E68" s="69">
        <f t="shared" si="5"/>
        <v>15755500.269999981</v>
      </c>
      <c r="F68" s="70">
        <f t="shared" si="4"/>
        <v>2.6943245955921593E-2</v>
      </c>
      <c r="G68" s="69">
        <f>BOR!G68+LUMCON!G68+LOSFA!G68+ULSummary!G68+'LSU Summary'!G68+'SU Summary'!G68+'LCTCS Summary'!G68</f>
        <v>612413222.87</v>
      </c>
      <c r="H68" s="227"/>
    </row>
    <row r="69" spans="1:10" ht="15" customHeight="1" x14ac:dyDescent="0.25">
      <c r="A69" s="75" t="s">
        <v>61</v>
      </c>
      <c r="B69" s="69">
        <f>BOR!B69+LUMCON!B69+LOSFA!B69+ULSummary!B69+'LSU Summary'!B69+'SU Summary'!B69+'LCTCS Summary'!B69</f>
        <v>239239372.25999999</v>
      </c>
      <c r="C69" s="69">
        <f>BOR!C69+LUMCON!C69+LOSFA!C69+ULSummary!C69+'LSU Summary'!C69+'SU Summary'!C69+'LCTCS Summary'!C69</f>
        <v>251569397.88999999</v>
      </c>
      <c r="D69" s="69">
        <f>BOR!D69+LUMCON!D69+LOSFA!D69+ULSummary!D69+'LSU Summary'!D69+'SU Summary'!D69+'LCTCS Summary'!D69</f>
        <v>244719209.15600002</v>
      </c>
      <c r="E69" s="69">
        <f t="shared" si="5"/>
        <v>-6850188.7339999676</v>
      </c>
      <c r="F69" s="70">
        <f t="shared" si="4"/>
        <v>-2.7229817264957035E-2</v>
      </c>
      <c r="G69" s="69">
        <f>BOR!G69+LUMCON!G69+LOSFA!G69+ULSummary!G69+'LSU Summary'!G69+'SU Summary'!G69+'LCTCS Summary'!G69</f>
        <v>248886226.236</v>
      </c>
      <c r="H69" s="227"/>
    </row>
    <row r="70" spans="1:10" s="124" customFormat="1" ht="15" customHeight="1" x14ac:dyDescent="0.25">
      <c r="A70" s="94" t="s">
        <v>62</v>
      </c>
      <c r="B70" s="87">
        <f>BOR!B70+LUMCON!B70+LOSFA!B70+ULSummary!B70+'LSU Summary'!B70+'SU Summary'!B70+'LCTCS Summary'!B70</f>
        <v>2710535776.4499998</v>
      </c>
      <c r="C70" s="87">
        <f>BOR!C70+LUMCON!C70+LOSFA!C70+ULSummary!C70+'LSU Summary'!C70+'SU Summary'!C70+'LCTCS Summary'!C70</f>
        <v>2864296513.3077898</v>
      </c>
      <c r="D70" s="87">
        <f>BOR!D70+LUMCON!D70+LOSFA!D70+ULSummary!D70+'LSU Summary'!D70+'SU Summary'!D70+'LCTCS Summary'!D70</f>
        <v>2742810536.4619999</v>
      </c>
      <c r="E70" s="87">
        <f t="shared" si="5"/>
        <v>-121485976.84578991</v>
      </c>
      <c r="F70" s="81">
        <f t="shared" si="4"/>
        <v>-4.2413896843903794E-2</v>
      </c>
      <c r="G70" s="87">
        <f>BOR!G70+LUMCON!G70+LOSFA!G70+ULSummary!G70+'LSU Summary'!G70+'SU Summary'!G70+'LCTCS Summary'!G70</f>
        <v>2837023470.6219997</v>
      </c>
      <c r="H70" s="228"/>
    </row>
    <row r="71" spans="1:10" ht="15" customHeight="1" x14ac:dyDescent="0.25">
      <c r="A71" s="75" t="s">
        <v>63</v>
      </c>
      <c r="B71" s="69">
        <f>BOR!B71+LUMCON!B71+LOSFA!B71+ULSummary!B71+'LSU Summary'!B71+'SU Summary'!B71+'LCTCS Summary'!B71</f>
        <v>4056276.4899999998</v>
      </c>
      <c r="C71" s="69">
        <f>BOR!C71+LUMCON!C71+LOSFA!C71+ULSummary!C71+'LSU Summary'!C71+'SU Summary'!C71+'LCTCS Summary'!C71</f>
        <v>4366686</v>
      </c>
      <c r="D71" s="69">
        <f>BOR!D71+LUMCON!D71+LOSFA!D71+ULSummary!D71+'LSU Summary'!D71+'SU Summary'!D71+'LCTCS Summary'!D71</f>
        <v>4204241</v>
      </c>
      <c r="E71" s="69">
        <f t="shared" si="5"/>
        <v>-162445</v>
      </c>
      <c r="F71" s="70">
        <f t="shared" si="4"/>
        <v>-3.7200980331537466E-2</v>
      </c>
      <c r="G71" s="69">
        <f>BOR!G71+LUMCON!G71+LOSFA!G71+ULSummary!G71+'LSU Summary'!G71+'SU Summary'!G71+'LCTCS Summary'!G71</f>
        <v>4204241</v>
      </c>
      <c r="H71" s="227"/>
    </row>
    <row r="72" spans="1:10" ht="15" customHeight="1" x14ac:dyDescent="0.25">
      <c r="A72" s="75" t="s">
        <v>64</v>
      </c>
      <c r="B72" s="69">
        <f>BOR!B72+LUMCON!B72+LOSFA!B72+ULSummary!B72+'LSU Summary'!B72+'SU Summary'!B72+'LCTCS Summary'!B72</f>
        <v>12259820.710000001</v>
      </c>
      <c r="C72" s="69">
        <f>BOR!C72+LUMCON!C72+LOSFA!C72+ULSummary!C72+'LSU Summary'!C72+'SU Summary'!C72+'LCTCS Summary'!C72</f>
        <v>11495939</v>
      </c>
      <c r="D72" s="69">
        <f>BOR!D72+LUMCON!D72+LOSFA!D72+ULSummary!D72+'LSU Summary'!D72+'SU Summary'!D72+'LCTCS Summary'!D72</f>
        <v>-31935007</v>
      </c>
      <c r="E72" s="69">
        <f t="shared" si="5"/>
        <v>-43430946</v>
      </c>
      <c r="F72" s="70">
        <f t="shared" si="4"/>
        <v>-3.7779381049255742</v>
      </c>
      <c r="G72" s="69">
        <f>BOR!G72+LUMCON!G72+LOSFA!G72+ULSummary!G72+'LSU Summary'!G72+'SU Summary'!G72+'LCTCS Summary'!G72</f>
        <v>-32237081</v>
      </c>
      <c r="H72" s="227"/>
    </row>
    <row r="73" spans="1:10" ht="15" customHeight="1" x14ac:dyDescent="0.25">
      <c r="A73" s="75" t="s">
        <v>65</v>
      </c>
      <c r="B73" s="69">
        <f>BOR!B73+LUMCON!B73+LOSFA!B73+ULSummary!B73+'LSU Summary'!B73+'SU Summary'!B73+'LCTCS Summary'!B73</f>
        <v>29589640.400000002</v>
      </c>
      <c r="C73" s="69">
        <f>BOR!C73+LUMCON!C73+LOSFA!C73+ULSummary!C73+'LSU Summary'!C73+'SU Summary'!C73+'LCTCS Summary'!C73</f>
        <v>27654968</v>
      </c>
      <c r="D73" s="69">
        <f>BOR!D73+LUMCON!D73+LOSFA!D73+ULSummary!D73+'LSU Summary'!D73+'SU Summary'!D73+'LCTCS Summary'!D73</f>
        <v>23136246</v>
      </c>
      <c r="E73" s="69">
        <f t="shared" si="5"/>
        <v>-4518722</v>
      </c>
      <c r="F73" s="70">
        <f t="shared" si="4"/>
        <v>-0.16339639228655048</v>
      </c>
      <c r="G73" s="69">
        <f>BOR!G73+LUMCON!G73+LOSFA!G73+ULSummary!G73+'LSU Summary'!G73+'SU Summary'!G73+'LCTCS Summary'!G73</f>
        <v>23136246</v>
      </c>
      <c r="H73" s="227"/>
    </row>
    <row r="74" spans="1:10" ht="15" customHeight="1" x14ac:dyDescent="0.25">
      <c r="A74" s="75" t="s">
        <v>66</v>
      </c>
      <c r="B74" s="69">
        <f>BOR!B74+LUMCON!B74+LOSFA!B74+ULSummary!B74+'LSU Summary'!B74+'SU Summary'!B74+'LCTCS Summary'!B74</f>
        <v>34702968.899999999</v>
      </c>
      <c r="C74" s="69">
        <f>BOR!C74+LUMCON!C74+LOSFA!C74+ULSummary!C74+'LSU Summary'!C74+'SU Summary'!C74+'LCTCS Summary'!C74</f>
        <v>51109490</v>
      </c>
      <c r="D74" s="69">
        <f>BOR!D74+LUMCON!D74+LOSFA!D74+ULSummary!D74+'LSU Summary'!D74+'SU Summary'!D74+'LCTCS Summary'!D74</f>
        <v>50229120</v>
      </c>
      <c r="E74" s="69">
        <f t="shared" si="5"/>
        <v>-880370</v>
      </c>
      <c r="F74" s="70">
        <f t="shared" si="4"/>
        <v>-1.7225176772454588E-2</v>
      </c>
      <c r="G74" s="69">
        <f>BOR!G74+LUMCON!G74+LOSFA!G74+ULSummary!G74+'LSU Summary'!G74+'SU Summary'!G74+'LCTCS Summary'!G74</f>
        <v>53689377</v>
      </c>
      <c r="H74" s="227"/>
    </row>
    <row r="75" spans="1:10" s="124" customFormat="1" ht="15" customHeight="1" x14ac:dyDescent="0.25">
      <c r="A75" s="95" t="s">
        <v>67</v>
      </c>
      <c r="B75" s="87">
        <f>BOR!B75+LUMCON!B75+LOSFA!B75+ULSummary!B75+'LSU Summary'!B75+'SU Summary'!B75+'LCTCS Summary'!B75</f>
        <v>2791144481.9499998</v>
      </c>
      <c r="C75" s="87">
        <f>BOR!C75+LUMCON!C75+LOSFA!C75+ULSummary!C75+'LSU Summary'!C75+'SU Summary'!C75+'LCTCS Summary'!C75</f>
        <v>2958923596.3077898</v>
      </c>
      <c r="D75" s="87">
        <f>BOR!D75+LUMCON!D75+LOSFA!D75+ULSummary!D75+'LSU Summary'!D75+'SU Summary'!D75+'LCTCS Summary'!D75</f>
        <v>2788445136.4619999</v>
      </c>
      <c r="E75" s="87">
        <f t="shared" si="5"/>
        <v>-170478459.84578991</v>
      </c>
      <c r="F75" s="81">
        <f t="shared" si="4"/>
        <v>-5.761502597042948E-2</v>
      </c>
      <c r="G75" s="87">
        <f>BOR!G75+LUMCON!G75+LOSFA!G75+ULSummary!G75+'LSU Summary'!G75+'SU Summary'!G75+'LCTCS Summary'!G75</f>
        <v>2885816253.6219997</v>
      </c>
      <c r="H75" s="228"/>
      <c r="J75" s="189"/>
    </row>
    <row r="76" spans="1:10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10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10" ht="15" customHeight="1" x14ac:dyDescent="0.25">
      <c r="A78" s="73" t="s">
        <v>69</v>
      </c>
      <c r="B78" s="69">
        <f>BOR!B78+LUMCON!B78+LOSFA!B78+ULSummary!B78+'LSU Summary'!B78+'SU Summary'!B78+'LCTCS Summary'!B78</f>
        <v>1134965376.4099998</v>
      </c>
      <c r="C78" s="69">
        <f>BOR!C78+LUMCON!C78+LOSFA!C78+ULSummary!C78+'LSU Summary'!C78+'SU Summary'!C78+'LCTCS Summary'!C78</f>
        <v>1212878112.29</v>
      </c>
      <c r="D78" s="69">
        <f>BOR!D78+LUMCON!D78+LOSFA!D78+ULSummary!D78+'LSU Summary'!D78+'SU Summary'!D78+'LCTCS Summary'!D78</f>
        <v>1127742696.1187396</v>
      </c>
      <c r="E78" s="69">
        <f>D78-C78</f>
        <v>-85135416.171260357</v>
      </c>
      <c r="F78" s="70">
        <f t="shared" ref="F78:F96" si="6">IF(ISBLANK(E78),"  ",IF(C78&gt;0,E78/C78,IF(E78&gt;0,1,0)))</f>
        <v>-7.0192886909731314E-2</v>
      </c>
      <c r="G78" s="69">
        <f>BOR!G78+LUMCON!G78+LOSFA!G78+ULSummary!G78+'LSU Summary'!G78+'SU Summary'!G78+'LCTCS Summary'!G78</f>
        <v>1186170888.99</v>
      </c>
      <c r="H78" s="227"/>
      <c r="I78" s="187"/>
    </row>
    <row r="79" spans="1:10" ht="15" customHeight="1" x14ac:dyDescent="0.25">
      <c r="A79" s="75" t="s">
        <v>70</v>
      </c>
      <c r="B79" s="69">
        <f>BOR!B79+LUMCON!B79+LOSFA!B79+ULSummary!B79+'LSU Summary'!B79+'SU Summary'!B79+'LCTCS Summary'!B79</f>
        <v>51410032.950000003</v>
      </c>
      <c r="C79" s="69">
        <f>BOR!C79+LUMCON!C79+LOSFA!C79+ULSummary!C79+'LSU Summary'!C79+'SU Summary'!C79+'LCTCS Summary'!C79</f>
        <v>49280360.189999998</v>
      </c>
      <c r="D79" s="69">
        <f>BOR!D79+LUMCON!D79+LOSFA!D79+ULSummary!D79+'LSU Summary'!D79+'SU Summary'!D79+'LCTCS Summary'!D79</f>
        <v>46383554.536000006</v>
      </c>
      <c r="E79" s="69">
        <f>D79-C79</f>
        <v>-2896805.6539999917</v>
      </c>
      <c r="F79" s="70">
        <f t="shared" si="6"/>
        <v>-5.8782152622898508E-2</v>
      </c>
      <c r="G79" s="69">
        <f>BOR!G79+LUMCON!G79+LOSFA!G79+ULSummary!G79+'LSU Summary'!G79+'SU Summary'!G79+'LCTCS Summary'!G79</f>
        <v>46383554.536000006</v>
      </c>
      <c r="H79" s="227"/>
      <c r="I79" s="187"/>
    </row>
    <row r="80" spans="1:10" ht="15" customHeight="1" x14ac:dyDescent="0.25">
      <c r="A80" s="75" t="s">
        <v>71</v>
      </c>
      <c r="B80" s="69">
        <f>BOR!B80+LUMCON!B80+LOSFA!B80+ULSummary!B80+'LSU Summary'!B80+'SU Summary'!B80+'LCTCS Summary'!B80</f>
        <v>507407922.04999995</v>
      </c>
      <c r="C80" s="69">
        <f>BOR!C80+LUMCON!C80+LOSFA!C80+ULSummary!C80+'LSU Summary'!C80+'SU Summary'!C80+'LCTCS Summary'!C80</f>
        <v>541945142.73778963</v>
      </c>
      <c r="D80" s="69">
        <f>BOR!D80+LUMCON!D80+LOSFA!D80+ULSummary!D80+'LSU Summary'!D80+'SU Summary'!D80+'LCTCS Summary'!D80</f>
        <v>503584325.69726038</v>
      </c>
      <c r="E80" s="69">
        <f t="shared" ref="E80:E95" si="7">D80-C80</f>
        <v>-38360817.040529251</v>
      </c>
      <c r="F80" s="70">
        <f t="shared" si="6"/>
        <v>-7.0783579398347771E-2</v>
      </c>
      <c r="G80" s="69">
        <f>BOR!G80+LUMCON!G80+LOSFA!G80+ULSummary!G80+'LSU Summary'!G80+'SU Summary'!G80+'LCTCS Summary'!G80</f>
        <v>524309505.87599993</v>
      </c>
      <c r="H80" s="227"/>
      <c r="I80" s="187"/>
    </row>
    <row r="81" spans="1:12" s="124" customFormat="1" ht="15" customHeight="1" x14ac:dyDescent="0.25">
      <c r="A81" s="94" t="s">
        <v>72</v>
      </c>
      <c r="B81" s="87">
        <f>BOR!B81+LUMCON!B81+LOSFA!B81+ULSummary!B81+'LSU Summary'!B81+'SU Summary'!B81+'LCTCS Summary'!B81</f>
        <v>1693783331.4099998</v>
      </c>
      <c r="C81" s="87">
        <f>BOR!C81+LUMCON!C81+LOSFA!C81+ULSummary!C81+'LSU Summary'!C81+'SU Summary'!C81+'LCTCS Summary'!C81</f>
        <v>1804103615.2177896</v>
      </c>
      <c r="D81" s="87">
        <f>BOR!D81+LUMCON!D81+LOSFA!D81+ULSummary!D81+'LSU Summary'!D81+'SU Summary'!D81+'LCTCS Summary'!D81</f>
        <v>1677710576.352</v>
      </c>
      <c r="E81" s="87">
        <f t="shared" si="7"/>
        <v>-126393038.86578965</v>
      </c>
      <c r="F81" s="81">
        <f t="shared" si="6"/>
        <v>-7.0058636211164399E-2</v>
      </c>
      <c r="G81" s="87">
        <f>BOR!G81+LUMCON!G81+LOSFA!G81+ULSummary!G81+'LSU Summary'!G81+'SU Summary'!G81+'LCTCS Summary'!G81</f>
        <v>1756863949.4020002</v>
      </c>
      <c r="H81" s="228"/>
      <c r="I81" s="187"/>
    </row>
    <row r="82" spans="1:12" ht="15" customHeight="1" x14ac:dyDescent="0.25">
      <c r="A82" s="75" t="s">
        <v>73</v>
      </c>
      <c r="B82" s="69">
        <f>BOR!B82+LUMCON!B82+LOSFA!B82+ULSummary!B82+'LSU Summary'!B82+'SU Summary'!B82+'LCTCS Summary'!B82</f>
        <v>9647237.1100000013</v>
      </c>
      <c r="C82" s="69">
        <f>BOR!C82+LUMCON!C82+LOSFA!C82+ULSummary!C82+'LSU Summary'!C82+'SU Summary'!C82+'LCTCS Summary'!C82</f>
        <v>13269330</v>
      </c>
      <c r="D82" s="69">
        <f>BOR!D82+LUMCON!D82+LOSFA!D82+ULSummary!D82+'LSU Summary'!D82+'SU Summary'!D82+'LCTCS Summary'!D82</f>
        <v>10420797.310000001</v>
      </c>
      <c r="E82" s="69">
        <f t="shared" si="7"/>
        <v>-2848532.6899999995</v>
      </c>
      <c r="F82" s="70">
        <f t="shared" si="6"/>
        <v>-0.21467042345016663</v>
      </c>
      <c r="G82" s="69">
        <f>BOR!G82+LUMCON!G82+LOSFA!G82+ULSummary!G82+'LSU Summary'!G82+'SU Summary'!G82+'LCTCS Summary'!G82</f>
        <v>10470797.310000001</v>
      </c>
      <c r="H82" s="227"/>
      <c r="I82" s="187"/>
    </row>
    <row r="83" spans="1:12" ht="15" customHeight="1" x14ac:dyDescent="0.25">
      <c r="A83" s="75" t="s">
        <v>74</v>
      </c>
      <c r="B83" s="69">
        <f>BOR!B83+LUMCON!B83+LOSFA!B83+ULSummary!B83+'LSU Summary'!B83+'SU Summary'!B83+'LCTCS Summary'!B83</f>
        <v>196346686.77000004</v>
      </c>
      <c r="C83" s="69">
        <f>BOR!C83+LUMCON!C83+LOSFA!C83+ULSummary!C83+'LSU Summary'!C83+'SU Summary'!C83+'LCTCS Summary'!C83</f>
        <v>218763927</v>
      </c>
      <c r="D83" s="69">
        <f>BOR!D83+LUMCON!D83+LOSFA!D83+ULSummary!D83+'LSU Summary'!D83+'SU Summary'!D83+'LCTCS Summary'!D83</f>
        <v>211165822.08000001</v>
      </c>
      <c r="E83" s="69">
        <f t="shared" si="7"/>
        <v>-7598104.9199999869</v>
      </c>
      <c r="F83" s="70">
        <f t="shared" si="6"/>
        <v>-3.4731982663668254E-2</v>
      </c>
      <c r="G83" s="69">
        <f>BOR!G83+LUMCON!G83+LOSFA!G83+ULSummary!G83+'LSU Summary'!G83+'SU Summary'!G83+'LCTCS Summary'!G83</f>
        <v>213619817.08000001</v>
      </c>
      <c r="H83" s="227"/>
      <c r="I83" s="187"/>
    </row>
    <row r="84" spans="1:12" ht="15" customHeight="1" x14ac:dyDescent="0.25">
      <c r="A84" s="75" t="s">
        <v>75</v>
      </c>
      <c r="B84" s="69">
        <f>BOR!B84+LUMCON!B84+LOSFA!B84+ULSummary!B84+'LSU Summary'!B84+'SU Summary'!B84+'LCTCS Summary'!B84</f>
        <v>52617847.25</v>
      </c>
      <c r="C84" s="69">
        <f>BOR!C84+LUMCON!C84+LOSFA!C84+ULSummary!C84+'LSU Summary'!C84+'SU Summary'!C84+'LCTCS Summary'!C84</f>
        <v>51972778.489999995</v>
      </c>
      <c r="D84" s="69">
        <f>BOR!D84+LUMCON!D84+LOSFA!D84+ULSummary!D84+'LSU Summary'!D84+'SU Summary'!D84+'LCTCS Summary'!D84</f>
        <v>50416231.650000006</v>
      </c>
      <c r="E84" s="69">
        <f t="shared" si="7"/>
        <v>-1556546.8399999887</v>
      </c>
      <c r="F84" s="70">
        <f t="shared" si="6"/>
        <v>-2.9949271238201774E-2</v>
      </c>
      <c r="G84" s="69">
        <f>BOR!G84+LUMCON!G84+LOSFA!G84+ULSummary!G84+'LSU Summary'!G84+'SU Summary'!G84+'LCTCS Summary'!G84</f>
        <v>50443334.549999997</v>
      </c>
      <c r="H84" s="227"/>
      <c r="I84" s="187"/>
    </row>
    <row r="85" spans="1:12" s="124" customFormat="1" ht="15" customHeight="1" x14ac:dyDescent="0.25">
      <c r="A85" s="78" t="s">
        <v>76</v>
      </c>
      <c r="B85" s="87">
        <f>BOR!B85+LUMCON!B85+LOSFA!B85+ULSummary!B85+'LSU Summary'!B85+'SU Summary'!B85+'LCTCS Summary'!B85</f>
        <v>258611771.13</v>
      </c>
      <c r="C85" s="87">
        <f>BOR!C85+LUMCON!C85+LOSFA!C85+ULSummary!C85+'LSU Summary'!C85+'SU Summary'!C85+'LCTCS Summary'!C85</f>
        <v>284006035.49000001</v>
      </c>
      <c r="D85" s="87">
        <f>BOR!D85+LUMCON!D85+LOSFA!D85+ULSummary!D85+'LSU Summary'!D85+'SU Summary'!D85+'LCTCS Summary'!D85</f>
        <v>272002851.04000002</v>
      </c>
      <c r="E85" s="87">
        <f t="shared" si="7"/>
        <v>-12003184.449999988</v>
      </c>
      <c r="F85" s="81">
        <f t="shared" si="6"/>
        <v>-4.2263835799442456E-2</v>
      </c>
      <c r="G85" s="87">
        <f>BOR!G85+LUMCON!G85+LOSFA!G85+ULSummary!G85+'LSU Summary'!G85+'SU Summary'!G85+'LCTCS Summary'!G85</f>
        <v>274533948.94000006</v>
      </c>
      <c r="H85" s="228"/>
      <c r="I85" s="187"/>
    </row>
    <row r="86" spans="1:12" ht="15" customHeight="1" x14ac:dyDescent="0.25">
      <c r="A86" s="75" t="s">
        <v>77</v>
      </c>
      <c r="B86" s="69">
        <f>BOR!B86+LUMCON!B86+LOSFA!B86+ULSummary!B86+'LSU Summary'!B86+'SU Summary'!B86+'LCTCS Summary'!B86</f>
        <v>44993946.539999999</v>
      </c>
      <c r="C86" s="69">
        <f>BOR!C86+LUMCON!C86+LOSFA!C86+ULSummary!C86+'LSU Summary'!C86+'SU Summary'!C86+'LCTCS Summary'!C86</f>
        <v>47844239.600000001</v>
      </c>
      <c r="D86" s="69">
        <f>BOR!D86+LUMCON!D86+LOSFA!D86+ULSummary!D86+'LSU Summary'!D86+'SU Summary'!D86+'LCTCS Summary'!D86</f>
        <v>47056571.439999998</v>
      </c>
      <c r="E86" s="69">
        <f t="shared" si="7"/>
        <v>-787668.16000000387</v>
      </c>
      <c r="F86" s="70">
        <f t="shared" si="6"/>
        <v>-1.6463176478198303E-2</v>
      </c>
      <c r="G86" s="69">
        <f>BOR!G86+LUMCON!G86+LOSFA!G86+ULSummary!G86+'LSU Summary'!G86+'SU Summary'!G86+'LCTCS Summary'!G86</f>
        <v>47408645.439999998</v>
      </c>
      <c r="H86" s="227"/>
      <c r="I86" s="187"/>
    </row>
    <row r="87" spans="1:12" ht="15" customHeight="1" x14ac:dyDescent="0.25">
      <c r="A87" s="75" t="s">
        <v>78</v>
      </c>
      <c r="B87" s="69">
        <f>BOR!B87+LUMCON!B87+LOSFA!B87+ULSummary!B87+'LSU Summary'!B87+'SU Summary'!B87+'LCTCS Summary'!B87</f>
        <v>716812125.30000007</v>
      </c>
      <c r="C87" s="69">
        <f>BOR!C87+LUMCON!C87+LOSFA!C87+ULSummary!C87+'LSU Summary'!C87+'SU Summary'!C87+'LCTCS Summary'!C87</f>
        <v>749480567</v>
      </c>
      <c r="D87" s="69">
        <f>BOR!D87+LUMCON!D87+LOSFA!D87+ULSummary!D87+'LSU Summary'!D87+'SU Summary'!D87+'LCTCS Summary'!D87</f>
        <v>723393934.23000002</v>
      </c>
      <c r="E87" s="69">
        <f t="shared" si="7"/>
        <v>-26086632.769999981</v>
      </c>
      <c r="F87" s="70">
        <f t="shared" si="6"/>
        <v>-3.4806283069378073E-2</v>
      </c>
      <c r="G87" s="69">
        <f>BOR!G87+LUMCON!G87+LOSFA!G87+ULSummary!G87+'LSU Summary'!G87+'SU Summary'!G87+'LCTCS Summary'!G87</f>
        <v>738937976.23000002</v>
      </c>
      <c r="H87" s="227"/>
      <c r="I87" s="187"/>
    </row>
    <row r="88" spans="1:12" ht="15" customHeight="1" x14ac:dyDescent="0.25">
      <c r="A88" s="75" t="s">
        <v>79</v>
      </c>
      <c r="B88" s="69">
        <f>BOR!B88+LUMCON!B88+LOSFA!B88+ULSummary!B88+'LSU Summary'!B88+'SU Summary'!B88+'LCTCS Summary'!B88</f>
        <v>5067135</v>
      </c>
      <c r="C88" s="69">
        <f>BOR!C88+LUMCON!C88+LOSFA!C88+ULSummary!C88+'LSU Summary'!C88+'SU Summary'!C88+'LCTCS Summary'!C88</f>
        <v>260039</v>
      </c>
      <c r="D88" s="69">
        <f>BOR!D88+LUMCON!D88+LOSFA!D88+ULSummary!D88+'LSU Summary'!D88+'SU Summary'!D88+'LCTCS Summary'!D88</f>
        <v>262124</v>
      </c>
      <c r="E88" s="69">
        <f t="shared" si="7"/>
        <v>2085</v>
      </c>
      <c r="F88" s="70">
        <f t="shared" si="6"/>
        <v>8.0180280650210163E-3</v>
      </c>
      <c r="G88" s="69">
        <f>BOR!G88+LUMCON!G88+LOSFA!G88+ULSummary!G88+'LSU Summary'!G88+'SU Summary'!G88+'LCTCS Summary'!G88</f>
        <v>262124</v>
      </c>
      <c r="H88" s="227"/>
      <c r="I88" s="187"/>
    </row>
    <row r="89" spans="1:12" ht="15" customHeight="1" x14ac:dyDescent="0.25">
      <c r="A89" s="75" t="s">
        <v>80</v>
      </c>
      <c r="B89" s="69">
        <f>BOR!B89+LUMCON!B89+LOSFA!B89+ULSummary!B89+'LSU Summary'!B89+'SU Summary'!B89+'LCTCS Summary'!B89</f>
        <v>43317612.789999999</v>
      </c>
      <c r="C89" s="69">
        <f>BOR!C89+LUMCON!C89+LOSFA!C89+ULSummary!C89+'LSU Summary'!C89+'SU Summary'!C89+'LCTCS Summary'!C89</f>
        <v>48410946</v>
      </c>
      <c r="D89" s="69">
        <f>BOR!D89+LUMCON!D89+LOSFA!D89+ULSummary!D89+'LSU Summary'!D89+'SU Summary'!D89+'LCTCS Summary'!D89</f>
        <v>47066166.68</v>
      </c>
      <c r="E89" s="69">
        <f t="shared" si="7"/>
        <v>-1344779.3200000003</v>
      </c>
      <c r="F89" s="70">
        <f t="shared" si="6"/>
        <v>-2.777841441065829E-2</v>
      </c>
      <c r="G89" s="69">
        <f>BOR!G89+LUMCON!G89+LOSFA!G89+ULSummary!G89+'LSU Summary'!G89+'SU Summary'!G89+'LCTCS Summary'!G89</f>
        <v>46764092.68</v>
      </c>
      <c r="H89" s="227"/>
      <c r="I89" s="187"/>
    </row>
    <row r="90" spans="1:12" s="124" customFormat="1" ht="15" customHeight="1" x14ac:dyDescent="0.25">
      <c r="A90" s="78" t="s">
        <v>81</v>
      </c>
      <c r="B90" s="87">
        <f>BOR!B90+LUMCON!B90+LOSFA!B90+ULSummary!B90+'LSU Summary'!B90+'SU Summary'!B90+'LCTCS Summary'!B90</f>
        <v>810190819.63000011</v>
      </c>
      <c r="C90" s="87">
        <f>BOR!C90+LUMCON!C90+LOSFA!C90+ULSummary!C90+'LSU Summary'!C90+'SU Summary'!C90+'LCTCS Summary'!C90</f>
        <v>845995791.60000002</v>
      </c>
      <c r="D90" s="87">
        <f>BOR!D90+LUMCON!D90+LOSFA!D90+ULSummary!D90+'LSU Summary'!D90+'SU Summary'!D90+'LCTCS Summary'!D90</f>
        <v>817778796.3499999</v>
      </c>
      <c r="E90" s="87">
        <f t="shared" si="7"/>
        <v>-28216995.250000119</v>
      </c>
      <c r="F90" s="81">
        <f t="shared" si="6"/>
        <v>-3.3353588197684032E-2</v>
      </c>
      <c r="G90" s="87">
        <f>BOR!G90+LUMCON!G90+LOSFA!G90+ULSummary!G90+'LSU Summary'!G90+'SU Summary'!G90+'LCTCS Summary'!G90</f>
        <v>833372838.3499999</v>
      </c>
      <c r="H90" s="228"/>
      <c r="I90" s="187"/>
    </row>
    <row r="91" spans="1:12" ht="15" customHeight="1" x14ac:dyDescent="0.25">
      <c r="A91" s="75" t="s">
        <v>82</v>
      </c>
      <c r="B91" s="69">
        <f>BOR!B91+LUMCON!B91+LOSFA!B91+ULSummary!B91+'LSU Summary'!B91+'SU Summary'!B91+'LCTCS Summary'!B91</f>
        <v>20379203.969999999</v>
      </c>
      <c r="C91" s="69">
        <f>BOR!C91+LUMCON!C91+LOSFA!C91+ULSummary!C91+'LSU Summary'!C91+'SU Summary'!C91+'LCTCS Summary'!C91</f>
        <v>18686817</v>
      </c>
      <c r="D91" s="69">
        <f>BOR!D91+LUMCON!D91+LOSFA!D91+ULSummary!D91+'LSU Summary'!D91+'SU Summary'!D91+'LCTCS Summary'!D91</f>
        <v>12579201.129999999</v>
      </c>
      <c r="E91" s="69">
        <f t="shared" si="7"/>
        <v>-6107615.870000001</v>
      </c>
      <c r="F91" s="70">
        <f t="shared" si="6"/>
        <v>-0.32684088841882492</v>
      </c>
      <c r="G91" s="69">
        <f>BOR!G91+LUMCON!G91+LOSFA!G91+ULSummary!G91+'LSU Summary'!G91+'SU Summary'!G91+'LCTCS Summary'!G91</f>
        <v>12671806.329999998</v>
      </c>
      <c r="H91" s="227"/>
      <c r="I91" s="187"/>
    </row>
    <row r="92" spans="1:12" ht="15" customHeight="1" x14ac:dyDescent="0.25">
      <c r="A92" s="75" t="s">
        <v>83</v>
      </c>
      <c r="B92" s="69">
        <f>BOR!B92+LUMCON!B92+LOSFA!B92+ULSummary!B92+'LSU Summary'!B92+'SU Summary'!B92+'LCTCS Summary'!B92</f>
        <v>5953529.9900000002</v>
      </c>
      <c r="C92" s="69">
        <f>BOR!C92+LUMCON!C92+LOSFA!C92+ULSummary!C92+'LSU Summary'!C92+'SU Summary'!C92+'LCTCS Summary'!C92</f>
        <v>5749311</v>
      </c>
      <c r="D92" s="69">
        <f>BOR!D92+LUMCON!D92+LOSFA!D92+ULSummary!D92+'LSU Summary'!D92+'SU Summary'!D92+'LCTCS Summary'!D92</f>
        <v>4996079.21</v>
      </c>
      <c r="E92" s="69">
        <f t="shared" si="7"/>
        <v>-753231.79</v>
      </c>
      <c r="F92" s="70">
        <f t="shared" si="6"/>
        <v>-0.13101253176250163</v>
      </c>
      <c r="G92" s="69">
        <f>BOR!G92+LUMCON!G92+LOSFA!G92+ULSummary!G92+'LSU Summary'!G92+'SU Summary'!G92+'LCTCS Summary'!G92</f>
        <v>4996079.21</v>
      </c>
      <c r="H92" s="227"/>
      <c r="I92" s="187"/>
    </row>
    <row r="93" spans="1:12" ht="15" customHeight="1" x14ac:dyDescent="0.25">
      <c r="A93" s="83" t="s">
        <v>84</v>
      </c>
      <c r="B93" s="69">
        <f>BOR!B93+LUMCON!B93+LOSFA!B93+ULSummary!B93+'LSU Summary'!B93+'SU Summary'!B93+'LCTCS Summary'!B93</f>
        <v>2225828.2200000002</v>
      </c>
      <c r="C93" s="69">
        <f>BOR!C93+LUMCON!C93+LOSFA!C93+ULSummary!C93+'LSU Summary'!C93+'SU Summary'!C93+'LCTCS Summary'!C93</f>
        <v>382026</v>
      </c>
      <c r="D93" s="69">
        <f>BOR!D93+LUMCON!D93+LOSFA!D93+ULSummary!D93+'LSU Summary'!D93+'SU Summary'!D93+'LCTCS Summary'!D93</f>
        <v>2272950</v>
      </c>
      <c r="E93" s="69">
        <f t="shared" si="7"/>
        <v>1890924</v>
      </c>
      <c r="F93" s="70">
        <f t="shared" si="6"/>
        <v>4.9497259348840128</v>
      </c>
      <c r="G93" s="69">
        <f>BOR!G93+LUMCON!G93+LOSFA!G93+ULSummary!G93+'LSU Summary'!G93+'SU Summary'!G93+'LCTCS Summary'!G93</f>
        <v>2272950</v>
      </c>
      <c r="H93" s="227"/>
      <c r="I93" s="187"/>
    </row>
    <row r="94" spans="1:12" s="124" customFormat="1" ht="15" customHeight="1" x14ac:dyDescent="0.25">
      <c r="A94" s="97" t="s">
        <v>85</v>
      </c>
      <c r="B94" s="87">
        <f>BOR!B94+LUMCON!B94+LOSFA!B94+ULSummary!B94+'LSU Summary'!B94+'SU Summary'!B94+'LCTCS Summary'!B94</f>
        <v>28558562.18</v>
      </c>
      <c r="C94" s="87">
        <f>BOR!C94+LUMCON!C94+LOSFA!C94+ULSummary!C94+'LSU Summary'!C94+'SU Summary'!C94+'LCTCS Summary'!C94</f>
        <v>24818154</v>
      </c>
      <c r="D94" s="87">
        <f>BOR!D94+LUMCON!D94+LOSFA!D94+ULSummary!D94+'LSU Summary'!D94+'SU Summary'!D94+'LCTCS Summary'!D94</f>
        <v>19848230.34</v>
      </c>
      <c r="E94" s="87">
        <f t="shared" si="7"/>
        <v>-4969923.66</v>
      </c>
      <c r="F94" s="81">
        <f t="shared" si="6"/>
        <v>-0.20025355874574718</v>
      </c>
      <c r="G94" s="87">
        <f>BOR!G94+LUMCON!G94+LOSFA!G94+ULSummary!G94+'LSU Summary'!G94+'SU Summary'!G94+'LCTCS Summary'!G94</f>
        <v>19940835.539999999</v>
      </c>
      <c r="H94" s="228"/>
      <c r="I94" s="187"/>
      <c r="L94" s="189"/>
    </row>
    <row r="95" spans="1:12" ht="15" customHeight="1" x14ac:dyDescent="0.25">
      <c r="A95" s="83" t="s">
        <v>86</v>
      </c>
      <c r="B95" s="69">
        <f>BOR!B95+LUMCON!B95+LOSFA!B95+ULSummary!B95+'LSU Summary'!B95+'SU Summary'!B95+'LCTCS Summary'!B95</f>
        <v>0</v>
      </c>
      <c r="C95" s="69">
        <f>BOR!C95+LUMCON!C95+LOSFA!C95+ULSummary!C95+'LSU Summary'!C95+'SU Summary'!C95+'LCTCS Summary'!C95</f>
        <v>0</v>
      </c>
      <c r="D95" s="69">
        <f>BOR!D95+LUMCON!D95+LOSFA!D95+ULSummary!D95+'LSU Summary'!D95+'SU Summary'!D95+'LCTCS Summary'!D95</f>
        <v>1104682</v>
      </c>
      <c r="E95" s="69">
        <f t="shared" si="7"/>
        <v>1104682</v>
      </c>
      <c r="F95" s="70">
        <f t="shared" si="6"/>
        <v>1</v>
      </c>
      <c r="G95" s="69">
        <f>BOR!G95+LUMCON!G95+LOSFA!G95+ULSummary!G95+'LSU Summary'!G95+'SU Summary'!G95+'LCTCS Summary'!G95</f>
        <v>1104682</v>
      </c>
      <c r="H95" s="227"/>
      <c r="I95" s="187"/>
    </row>
    <row r="96" spans="1:12" s="124" customFormat="1" ht="15" customHeight="1" thickBot="1" x14ac:dyDescent="0.3">
      <c r="A96" s="195" t="s">
        <v>67</v>
      </c>
      <c r="B96" s="196">
        <f>BOR!B96+LUMCON!B96+LOSFA!B96+ULSummary!B96+'LSU Summary'!B96+'SU Summary'!B96+'LCTCS Summary'!B96</f>
        <v>2791144482.3499994</v>
      </c>
      <c r="C96" s="196">
        <f>BOR!C96+LUMCON!C96+LOSFA!C96+ULSummary!C96+'LSU Summary'!C96+'SU Summary'!C96+'LCTCS Summary'!C96</f>
        <v>2958923596.3077898</v>
      </c>
      <c r="D96" s="196">
        <f>BOR!D96+LUMCON!D96+LOSFA!D96+ULSummary!D96+'LSU Summary'!D96+'SU Summary'!D96+'LCTCS Summary'!D96</f>
        <v>2788445136.0819998</v>
      </c>
      <c r="E96" s="197">
        <f>D96-C96</f>
        <v>-170478460.22579002</v>
      </c>
      <c r="F96" s="198">
        <f t="shared" si="6"/>
        <v>-5.7615026098854598E-2</v>
      </c>
      <c r="G96" s="196">
        <f>BOR!G96+LUMCON!G96+LOSFA!G96+ULSummary!G96+'LSU Summary'!G96+'SU Summary'!G96+'LCTCS Summary'!G96</f>
        <v>2885816254.2320004</v>
      </c>
      <c r="H96" s="228"/>
      <c r="I96" s="187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" t="s">
        <v>197</v>
      </c>
    </row>
    <row r="99" spans="1:9" x14ac:dyDescent="0.25">
      <c r="A99" s="1" t="s">
        <v>190</v>
      </c>
    </row>
  </sheetData>
  <mergeCells count="1">
    <mergeCell ref="G2:G3"/>
  </mergeCells>
  <hyperlinks>
    <hyperlink ref="I2" location="Home!A1" tooltip="Home" display="Home" xr:uid="{00000000-0004-0000-0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39" customWidth="1"/>
    <col min="2" max="5" width="23.7109375" style="187" customWidth="1"/>
    <col min="6" max="6" width="23.7109375" style="188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191" t="s">
        <v>124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143" t="s">
        <v>4</v>
      </c>
      <c r="B4" s="144" t="s">
        <v>5</v>
      </c>
      <c r="C4" s="145" t="s">
        <v>6</v>
      </c>
      <c r="D4" s="145" t="s">
        <v>6</v>
      </c>
      <c r="E4" s="145" t="s">
        <v>7</v>
      </c>
      <c r="F4" s="146" t="s">
        <v>8</v>
      </c>
      <c r="G4" s="145" t="s">
        <v>210</v>
      </c>
      <c r="H4" s="229"/>
    </row>
    <row r="5" spans="1:9" s="140" customFormat="1" ht="15" customHeight="1" x14ac:dyDescent="0.25">
      <c r="A5" s="147"/>
      <c r="B5" s="148" t="s">
        <v>192</v>
      </c>
      <c r="C5" s="148" t="s">
        <v>198</v>
      </c>
      <c r="D5" s="148" t="s">
        <v>199</v>
      </c>
      <c r="E5" s="148" t="s">
        <v>192</v>
      </c>
      <c r="F5" s="149" t="s">
        <v>9</v>
      </c>
      <c r="G5" s="148" t="s">
        <v>211</v>
      </c>
      <c r="H5" s="230"/>
    </row>
    <row r="6" spans="1:9" ht="15" customHeight="1" x14ac:dyDescent="0.25">
      <c r="A6" s="150" t="s">
        <v>10</v>
      </c>
      <c r="B6" s="151"/>
      <c r="C6" s="151"/>
      <c r="D6" s="151"/>
      <c r="E6" s="151"/>
      <c r="F6" s="152"/>
      <c r="G6" s="151"/>
      <c r="H6" s="185"/>
    </row>
    <row r="7" spans="1:9" ht="15" customHeight="1" x14ac:dyDescent="0.25">
      <c r="A7" s="150" t="s">
        <v>11</v>
      </c>
      <c r="B7" s="151"/>
      <c r="C7" s="151"/>
      <c r="D7" s="151"/>
      <c r="E7" s="151"/>
      <c r="F7" s="153"/>
      <c r="G7" s="151"/>
      <c r="H7" s="185"/>
    </row>
    <row r="8" spans="1:9" ht="15" customHeight="1" x14ac:dyDescent="0.25">
      <c r="A8" s="154" t="s">
        <v>12</v>
      </c>
      <c r="B8" s="155">
        <v>47370919</v>
      </c>
      <c r="C8" s="155">
        <v>47370919</v>
      </c>
      <c r="D8" s="155">
        <v>38627802</v>
      </c>
      <c r="E8" s="155">
        <f>D8-C8</f>
        <v>-8743117</v>
      </c>
      <c r="F8" s="156">
        <f t="shared" ref="F8:F31" si="0">IF(ISBLANK(E8),"  ",IF(C8&gt;0,E8/C8,IF(E8&gt;0,1,0)))</f>
        <v>-0.1845671813966708</v>
      </c>
      <c r="G8" s="155">
        <v>38627802</v>
      </c>
      <c r="H8" s="185"/>
    </row>
    <row r="9" spans="1:9" ht="15" customHeight="1" x14ac:dyDescent="0.25">
      <c r="A9" s="154" t="s">
        <v>13</v>
      </c>
      <c r="B9" s="155">
        <v>0</v>
      </c>
      <c r="C9" s="155">
        <v>0</v>
      </c>
      <c r="D9" s="155">
        <v>0</v>
      </c>
      <c r="E9" s="155">
        <f t="shared" ref="E9:E31" si="1">D9-C9</f>
        <v>0</v>
      </c>
      <c r="F9" s="156">
        <f t="shared" si="0"/>
        <v>0</v>
      </c>
      <c r="G9" s="155">
        <v>0</v>
      </c>
      <c r="H9" s="185"/>
    </row>
    <row r="10" spans="1:9" ht="15" customHeight="1" x14ac:dyDescent="0.25">
      <c r="A10" s="157" t="s">
        <v>14</v>
      </c>
      <c r="B10" s="158">
        <v>2234909</v>
      </c>
      <c r="C10" s="158">
        <v>2655243</v>
      </c>
      <c r="D10" s="158">
        <v>2274579</v>
      </c>
      <c r="E10" s="155">
        <f t="shared" si="1"/>
        <v>-380664</v>
      </c>
      <c r="F10" s="156">
        <f t="shared" si="0"/>
        <v>-0.14336314981340692</v>
      </c>
      <c r="G10" s="158">
        <v>2274579</v>
      </c>
      <c r="H10" s="185"/>
    </row>
    <row r="11" spans="1:9" ht="15" customHeight="1" x14ac:dyDescent="0.25">
      <c r="A11" s="159" t="s">
        <v>15</v>
      </c>
      <c r="B11" s="160">
        <v>0</v>
      </c>
      <c r="C11" s="160">
        <v>0</v>
      </c>
      <c r="D11" s="160">
        <v>0</v>
      </c>
      <c r="E11" s="155">
        <f t="shared" si="1"/>
        <v>0</v>
      </c>
      <c r="F11" s="156">
        <f t="shared" si="0"/>
        <v>0</v>
      </c>
      <c r="G11" s="160">
        <v>0</v>
      </c>
      <c r="H11" s="185"/>
    </row>
    <row r="12" spans="1:9" ht="15" customHeight="1" x14ac:dyDescent="0.25">
      <c r="A12" s="161" t="s">
        <v>16</v>
      </c>
      <c r="B12" s="160">
        <v>2234909</v>
      </c>
      <c r="C12" s="160">
        <v>2655243</v>
      </c>
      <c r="D12" s="160">
        <v>2274579</v>
      </c>
      <c r="E12" s="155">
        <f t="shared" si="1"/>
        <v>-380664</v>
      </c>
      <c r="F12" s="156">
        <f t="shared" si="0"/>
        <v>-0.14336314981340692</v>
      </c>
      <c r="G12" s="160">
        <v>2274579</v>
      </c>
      <c r="H12" s="185"/>
    </row>
    <row r="13" spans="1:9" ht="15" customHeight="1" x14ac:dyDescent="0.25">
      <c r="A13" s="161" t="s">
        <v>17</v>
      </c>
      <c r="B13" s="160">
        <v>0</v>
      </c>
      <c r="C13" s="160">
        <v>0</v>
      </c>
      <c r="D13" s="160">
        <v>0</v>
      </c>
      <c r="E13" s="155">
        <f t="shared" si="1"/>
        <v>0</v>
      </c>
      <c r="F13" s="156">
        <f t="shared" si="0"/>
        <v>0</v>
      </c>
      <c r="G13" s="160">
        <v>0</v>
      </c>
      <c r="H13" s="185"/>
    </row>
    <row r="14" spans="1:9" ht="15" customHeight="1" x14ac:dyDescent="0.25">
      <c r="A14" s="161" t="s">
        <v>18</v>
      </c>
      <c r="B14" s="160">
        <v>0</v>
      </c>
      <c r="C14" s="160">
        <v>0</v>
      </c>
      <c r="D14" s="160">
        <v>0</v>
      </c>
      <c r="E14" s="155">
        <f t="shared" si="1"/>
        <v>0</v>
      </c>
      <c r="F14" s="156">
        <f t="shared" si="0"/>
        <v>0</v>
      </c>
      <c r="G14" s="160">
        <v>0</v>
      </c>
      <c r="H14" s="185"/>
    </row>
    <row r="15" spans="1:9" ht="15" customHeight="1" x14ac:dyDescent="0.25">
      <c r="A15" s="161" t="s">
        <v>19</v>
      </c>
      <c r="B15" s="160">
        <v>0</v>
      </c>
      <c r="C15" s="160">
        <v>0</v>
      </c>
      <c r="D15" s="160">
        <v>0</v>
      </c>
      <c r="E15" s="155">
        <f t="shared" si="1"/>
        <v>0</v>
      </c>
      <c r="F15" s="156">
        <f t="shared" si="0"/>
        <v>0</v>
      </c>
      <c r="G15" s="160">
        <v>0</v>
      </c>
      <c r="H15" s="185"/>
    </row>
    <row r="16" spans="1:9" ht="15" customHeight="1" x14ac:dyDescent="0.25">
      <c r="A16" s="161" t="s">
        <v>20</v>
      </c>
      <c r="B16" s="160">
        <v>0</v>
      </c>
      <c r="C16" s="160">
        <v>0</v>
      </c>
      <c r="D16" s="160">
        <v>0</v>
      </c>
      <c r="E16" s="155">
        <f t="shared" si="1"/>
        <v>0</v>
      </c>
      <c r="F16" s="156">
        <f t="shared" si="0"/>
        <v>0</v>
      </c>
      <c r="G16" s="160">
        <v>0</v>
      </c>
      <c r="H16" s="185"/>
    </row>
    <row r="17" spans="1:8" ht="15" customHeight="1" x14ac:dyDescent="0.25">
      <c r="A17" s="161" t="s">
        <v>21</v>
      </c>
      <c r="B17" s="160">
        <v>0</v>
      </c>
      <c r="C17" s="160">
        <v>0</v>
      </c>
      <c r="D17" s="160">
        <v>0</v>
      </c>
      <c r="E17" s="155">
        <f t="shared" si="1"/>
        <v>0</v>
      </c>
      <c r="F17" s="156">
        <f t="shared" si="0"/>
        <v>0</v>
      </c>
      <c r="G17" s="160">
        <v>0</v>
      </c>
      <c r="H17" s="185"/>
    </row>
    <row r="18" spans="1:8" ht="15" customHeight="1" x14ac:dyDescent="0.25">
      <c r="A18" s="161" t="s">
        <v>22</v>
      </c>
      <c r="B18" s="160">
        <v>0</v>
      </c>
      <c r="C18" s="160">
        <v>0</v>
      </c>
      <c r="D18" s="160">
        <v>0</v>
      </c>
      <c r="E18" s="155">
        <f t="shared" si="1"/>
        <v>0</v>
      </c>
      <c r="F18" s="156">
        <f t="shared" si="0"/>
        <v>0</v>
      </c>
      <c r="G18" s="160">
        <v>0</v>
      </c>
      <c r="H18" s="185"/>
    </row>
    <row r="19" spans="1:8" ht="15" customHeight="1" x14ac:dyDescent="0.25">
      <c r="A19" s="161" t="s">
        <v>23</v>
      </c>
      <c r="B19" s="160">
        <v>0</v>
      </c>
      <c r="C19" s="160">
        <v>0</v>
      </c>
      <c r="D19" s="160">
        <v>0</v>
      </c>
      <c r="E19" s="155">
        <f t="shared" si="1"/>
        <v>0</v>
      </c>
      <c r="F19" s="156">
        <f t="shared" si="0"/>
        <v>0</v>
      </c>
      <c r="G19" s="160">
        <v>0</v>
      </c>
      <c r="H19" s="185"/>
    </row>
    <row r="20" spans="1:8" ht="15" customHeight="1" x14ac:dyDescent="0.25">
      <c r="A20" s="161" t="s">
        <v>24</v>
      </c>
      <c r="B20" s="160">
        <v>0</v>
      </c>
      <c r="C20" s="160">
        <v>0</v>
      </c>
      <c r="D20" s="160">
        <v>0</v>
      </c>
      <c r="E20" s="155">
        <f t="shared" si="1"/>
        <v>0</v>
      </c>
      <c r="F20" s="156">
        <f t="shared" si="0"/>
        <v>0</v>
      </c>
      <c r="G20" s="160">
        <v>0</v>
      </c>
      <c r="H20" s="185"/>
    </row>
    <row r="21" spans="1:8" ht="15" customHeight="1" x14ac:dyDescent="0.25">
      <c r="A21" s="161" t="s">
        <v>25</v>
      </c>
      <c r="B21" s="160">
        <v>0</v>
      </c>
      <c r="C21" s="160">
        <v>0</v>
      </c>
      <c r="D21" s="160">
        <v>0</v>
      </c>
      <c r="E21" s="155">
        <f t="shared" si="1"/>
        <v>0</v>
      </c>
      <c r="F21" s="156">
        <f t="shared" si="0"/>
        <v>0</v>
      </c>
      <c r="G21" s="160">
        <v>0</v>
      </c>
      <c r="H21" s="185"/>
    </row>
    <row r="22" spans="1:8" ht="15" customHeight="1" x14ac:dyDescent="0.25">
      <c r="A22" s="161" t="s">
        <v>26</v>
      </c>
      <c r="B22" s="160">
        <v>0</v>
      </c>
      <c r="C22" s="160">
        <v>0</v>
      </c>
      <c r="D22" s="160">
        <v>0</v>
      </c>
      <c r="E22" s="155">
        <f t="shared" si="1"/>
        <v>0</v>
      </c>
      <c r="F22" s="156">
        <f t="shared" si="0"/>
        <v>0</v>
      </c>
      <c r="G22" s="160">
        <v>0</v>
      </c>
      <c r="H22" s="185"/>
    </row>
    <row r="23" spans="1:8" ht="15" customHeight="1" x14ac:dyDescent="0.25">
      <c r="A23" s="162" t="s">
        <v>27</v>
      </c>
      <c r="B23" s="160">
        <v>0</v>
      </c>
      <c r="C23" s="160">
        <v>0</v>
      </c>
      <c r="D23" s="160">
        <v>0</v>
      </c>
      <c r="E23" s="155">
        <f t="shared" si="1"/>
        <v>0</v>
      </c>
      <c r="F23" s="156">
        <f t="shared" si="0"/>
        <v>0</v>
      </c>
      <c r="G23" s="160">
        <v>0</v>
      </c>
      <c r="H23" s="185"/>
    </row>
    <row r="24" spans="1:8" ht="15" customHeight="1" x14ac:dyDescent="0.25">
      <c r="A24" s="162" t="s">
        <v>28</v>
      </c>
      <c r="B24" s="160">
        <v>0</v>
      </c>
      <c r="C24" s="160">
        <v>0</v>
      </c>
      <c r="D24" s="160">
        <v>0</v>
      </c>
      <c r="E24" s="155">
        <f t="shared" si="1"/>
        <v>0</v>
      </c>
      <c r="F24" s="156">
        <f t="shared" si="0"/>
        <v>0</v>
      </c>
      <c r="G24" s="160">
        <v>0</v>
      </c>
      <c r="H24" s="185"/>
    </row>
    <row r="25" spans="1:8" ht="15" customHeight="1" x14ac:dyDescent="0.25">
      <c r="A25" s="162" t="s">
        <v>29</v>
      </c>
      <c r="B25" s="160">
        <v>0</v>
      </c>
      <c r="C25" s="160">
        <v>0</v>
      </c>
      <c r="D25" s="160">
        <v>0</v>
      </c>
      <c r="E25" s="155">
        <f t="shared" si="1"/>
        <v>0</v>
      </c>
      <c r="F25" s="156">
        <f t="shared" si="0"/>
        <v>0</v>
      </c>
      <c r="G25" s="160">
        <v>0</v>
      </c>
      <c r="H25" s="185"/>
    </row>
    <row r="26" spans="1:8" ht="15" customHeight="1" x14ac:dyDescent="0.25">
      <c r="A26" s="162" t="s">
        <v>30</v>
      </c>
      <c r="B26" s="160">
        <v>0</v>
      </c>
      <c r="C26" s="160">
        <v>0</v>
      </c>
      <c r="D26" s="160">
        <v>0</v>
      </c>
      <c r="E26" s="155">
        <f t="shared" si="1"/>
        <v>0</v>
      </c>
      <c r="F26" s="156">
        <f t="shared" si="0"/>
        <v>0</v>
      </c>
      <c r="G26" s="160">
        <v>0</v>
      </c>
      <c r="H26" s="185"/>
    </row>
    <row r="27" spans="1:8" ht="15" customHeight="1" x14ac:dyDescent="0.25">
      <c r="A27" s="162" t="s">
        <v>31</v>
      </c>
      <c r="B27" s="160">
        <v>0</v>
      </c>
      <c r="C27" s="160">
        <v>0</v>
      </c>
      <c r="D27" s="160">
        <v>0</v>
      </c>
      <c r="E27" s="155">
        <f t="shared" si="1"/>
        <v>0</v>
      </c>
      <c r="F27" s="156">
        <f t="shared" si="0"/>
        <v>0</v>
      </c>
      <c r="G27" s="160">
        <v>0</v>
      </c>
      <c r="H27" s="185"/>
    </row>
    <row r="28" spans="1:8" ht="15" customHeight="1" x14ac:dyDescent="0.25">
      <c r="A28" s="162" t="s">
        <v>87</v>
      </c>
      <c r="B28" s="160">
        <v>0</v>
      </c>
      <c r="C28" s="160">
        <v>0</v>
      </c>
      <c r="D28" s="160">
        <v>0</v>
      </c>
      <c r="E28" s="155">
        <f t="shared" si="1"/>
        <v>0</v>
      </c>
      <c r="F28" s="156">
        <f t="shared" si="0"/>
        <v>0</v>
      </c>
      <c r="G28" s="160">
        <v>0</v>
      </c>
      <c r="H28" s="185"/>
    </row>
    <row r="29" spans="1:8" ht="15" customHeight="1" x14ac:dyDescent="0.25">
      <c r="A29" s="162" t="s">
        <v>32</v>
      </c>
      <c r="B29" s="160">
        <v>0</v>
      </c>
      <c r="C29" s="160">
        <v>0</v>
      </c>
      <c r="D29" s="160">
        <v>0</v>
      </c>
      <c r="E29" s="155">
        <f t="shared" si="1"/>
        <v>0</v>
      </c>
      <c r="F29" s="156">
        <f t="shared" si="0"/>
        <v>0</v>
      </c>
      <c r="G29" s="160">
        <v>0</v>
      </c>
      <c r="H29" s="185"/>
    </row>
    <row r="30" spans="1:8" ht="15" customHeight="1" x14ac:dyDescent="0.25">
      <c r="A30" s="219" t="s">
        <v>201</v>
      </c>
      <c r="B30" s="160">
        <v>0</v>
      </c>
      <c r="C30" s="160">
        <v>0</v>
      </c>
      <c r="D30" s="160">
        <v>0</v>
      </c>
      <c r="E30" s="155">
        <f t="shared" si="1"/>
        <v>0</v>
      </c>
      <c r="F30" s="156">
        <f t="shared" si="0"/>
        <v>0</v>
      </c>
      <c r="G30" s="160">
        <v>0</v>
      </c>
      <c r="H30" s="185"/>
    </row>
    <row r="31" spans="1:8" ht="15" customHeight="1" x14ac:dyDescent="0.25">
      <c r="A31" s="162" t="s">
        <v>202</v>
      </c>
      <c r="B31" s="160">
        <v>0</v>
      </c>
      <c r="C31" s="160">
        <v>0</v>
      </c>
      <c r="D31" s="160">
        <v>0</v>
      </c>
      <c r="E31" s="155">
        <f t="shared" si="1"/>
        <v>0</v>
      </c>
      <c r="F31" s="156">
        <f t="shared" si="0"/>
        <v>0</v>
      </c>
      <c r="G31" s="160">
        <v>0</v>
      </c>
      <c r="H31" s="185"/>
    </row>
    <row r="32" spans="1:8" ht="15" customHeight="1" x14ac:dyDescent="0.25">
      <c r="A32" s="163" t="s">
        <v>33</v>
      </c>
      <c r="B32" s="160"/>
      <c r="C32" s="160"/>
      <c r="D32" s="160"/>
      <c r="E32" s="160"/>
      <c r="F32" s="152"/>
      <c r="G32" s="160"/>
      <c r="H32" s="185"/>
    </row>
    <row r="33" spans="1:13" ht="15" customHeight="1" x14ac:dyDescent="0.25">
      <c r="A33" s="159" t="s">
        <v>34</v>
      </c>
      <c r="B33" s="155">
        <v>0</v>
      </c>
      <c r="C33" s="155">
        <v>0</v>
      </c>
      <c r="D33" s="155">
        <v>0</v>
      </c>
      <c r="E33" s="155">
        <f>D33-C33</f>
        <v>0</v>
      </c>
      <c r="F33" s="156">
        <f>IF(ISBLANK(E33),"  ",IF(C33&gt;0,E33/C33,IF(E33&gt;0,1,0)))</f>
        <v>0</v>
      </c>
      <c r="G33" s="155">
        <v>0</v>
      </c>
      <c r="H33" s="185"/>
    </row>
    <row r="34" spans="1:13" ht="15" customHeight="1" x14ac:dyDescent="0.25">
      <c r="A34" s="164" t="s">
        <v>35</v>
      </c>
      <c r="B34" s="160"/>
      <c r="C34" s="160"/>
      <c r="D34" s="160"/>
      <c r="E34" s="160"/>
      <c r="F34" s="152"/>
      <c r="G34" s="160"/>
      <c r="H34" s="185"/>
    </row>
    <row r="35" spans="1:13" ht="15" customHeight="1" x14ac:dyDescent="0.25">
      <c r="A35" s="159" t="s">
        <v>34</v>
      </c>
      <c r="B35" s="151">
        <v>0</v>
      </c>
      <c r="C35" s="151">
        <v>0</v>
      </c>
      <c r="D35" s="151">
        <v>0</v>
      </c>
      <c r="E35" s="155">
        <f>D35-C35</f>
        <v>0</v>
      </c>
      <c r="F35" s="156">
        <f>IF(ISBLANK(E35),"  ",IF(C35&gt;0,E35/C35,IF(E35&gt;0,1,0)))</f>
        <v>0</v>
      </c>
      <c r="G35" s="151">
        <v>0</v>
      </c>
      <c r="H35" s="185"/>
    </row>
    <row r="36" spans="1:13" ht="15" customHeight="1" x14ac:dyDescent="0.25">
      <c r="A36" s="161" t="s">
        <v>36</v>
      </c>
      <c r="B36" s="160"/>
      <c r="C36" s="160"/>
      <c r="D36" s="160"/>
      <c r="E36" s="158"/>
      <c r="F36" s="156" t="str">
        <f>IF(ISBLANK(E36),"  ",IF(C36&gt;0,E36/C36,IF(E36&gt;0,1,0)))</f>
        <v xml:space="preserve">  </v>
      </c>
      <c r="G36" s="160"/>
      <c r="H36" s="185"/>
    </row>
    <row r="37" spans="1:13" s="124" customFormat="1" ht="15" customHeight="1" x14ac:dyDescent="0.25">
      <c r="A37" s="165" t="s">
        <v>38</v>
      </c>
      <c r="B37" s="166">
        <f>SUM(B8,B9,B10,B33,B35)</f>
        <v>49605828</v>
      </c>
      <c r="C37" s="166">
        <f t="shared" ref="C37:D37" si="2">SUM(C8,C9,C10,C33,C35)</f>
        <v>50026162</v>
      </c>
      <c r="D37" s="166">
        <f t="shared" si="2"/>
        <v>40902381</v>
      </c>
      <c r="E37" s="166">
        <f>D37-C37</f>
        <v>-9123781</v>
      </c>
      <c r="F37" s="167">
        <f>IF(ISBLANK(E37),"  ",IF(C37&gt;0,E37/C37,IF(E37&gt;0,1,0)))</f>
        <v>-0.1823801913886578</v>
      </c>
      <c r="G37" s="166">
        <f>SUM(G8,G9,G10,G33,G35)</f>
        <v>40902381</v>
      </c>
      <c r="H37" s="215"/>
    </row>
    <row r="38" spans="1:13" ht="15" customHeight="1" x14ac:dyDescent="0.25">
      <c r="A38" s="163" t="s">
        <v>39</v>
      </c>
      <c r="B38" s="160"/>
      <c r="C38" s="160"/>
      <c r="D38" s="160"/>
      <c r="E38" s="160"/>
      <c r="F38" s="152"/>
      <c r="G38" s="160"/>
      <c r="H38" s="185"/>
    </row>
    <row r="39" spans="1:13" ht="15" customHeight="1" x14ac:dyDescent="0.25">
      <c r="A39" s="168" t="s">
        <v>40</v>
      </c>
      <c r="B39" s="155">
        <v>0</v>
      </c>
      <c r="C39" s="155">
        <v>0</v>
      </c>
      <c r="D39" s="155">
        <v>0</v>
      </c>
      <c r="E39" s="155">
        <f>D39-C39</f>
        <v>0</v>
      </c>
      <c r="F39" s="156">
        <f t="shared" ref="F39:F44" si="3">IF(ISBLANK(E39),"  ",IF(C39&gt;0,E39/C39,IF(E39&gt;0,1,0)))</f>
        <v>0</v>
      </c>
      <c r="G39" s="155">
        <v>0</v>
      </c>
      <c r="H39" s="185"/>
    </row>
    <row r="40" spans="1:13" ht="15" customHeight="1" x14ac:dyDescent="0.25">
      <c r="A40" s="169" t="s">
        <v>41</v>
      </c>
      <c r="B40" s="155">
        <v>0</v>
      </c>
      <c r="C40" s="155">
        <v>0</v>
      </c>
      <c r="D40" s="155">
        <v>0</v>
      </c>
      <c r="E40" s="155">
        <f t="shared" ref="E40:E44" si="4">D40-C40</f>
        <v>0</v>
      </c>
      <c r="F40" s="156">
        <f t="shared" si="3"/>
        <v>0</v>
      </c>
      <c r="G40" s="155">
        <v>0</v>
      </c>
      <c r="H40" s="185"/>
    </row>
    <row r="41" spans="1:13" ht="15" customHeight="1" x14ac:dyDescent="0.25">
      <c r="A41" s="169" t="s">
        <v>42</v>
      </c>
      <c r="B41" s="222">
        <v>8260596</v>
      </c>
      <c r="C41" s="155">
        <v>0</v>
      </c>
      <c r="D41" s="155">
        <v>0</v>
      </c>
      <c r="E41" s="155">
        <f t="shared" si="4"/>
        <v>0</v>
      </c>
      <c r="F41" s="156">
        <f t="shared" si="3"/>
        <v>0</v>
      </c>
      <c r="G41" s="155">
        <v>0</v>
      </c>
      <c r="H41" s="185"/>
    </row>
    <row r="42" spans="1:13" ht="15" customHeight="1" x14ac:dyDescent="0.25">
      <c r="A42" s="169" t="s">
        <v>43</v>
      </c>
      <c r="B42" s="155">
        <v>0</v>
      </c>
      <c r="C42" s="155">
        <v>0</v>
      </c>
      <c r="D42" s="155">
        <v>0</v>
      </c>
      <c r="E42" s="155">
        <f t="shared" si="4"/>
        <v>0</v>
      </c>
      <c r="F42" s="156">
        <f t="shared" si="3"/>
        <v>0</v>
      </c>
      <c r="G42" s="155">
        <v>0</v>
      </c>
      <c r="H42" s="185"/>
    </row>
    <row r="43" spans="1:13" ht="15" customHeight="1" x14ac:dyDescent="0.25">
      <c r="A43" s="170" t="s">
        <v>44</v>
      </c>
      <c r="B43" s="155">
        <v>0</v>
      </c>
      <c r="C43" s="155">
        <v>0</v>
      </c>
      <c r="D43" s="155">
        <v>0</v>
      </c>
      <c r="E43" s="155">
        <f t="shared" si="4"/>
        <v>0</v>
      </c>
      <c r="F43" s="156">
        <f t="shared" si="3"/>
        <v>0</v>
      </c>
      <c r="G43" s="155">
        <v>0</v>
      </c>
      <c r="H43" s="185"/>
    </row>
    <row r="44" spans="1:13" s="124" customFormat="1" ht="15" customHeight="1" x14ac:dyDescent="0.25">
      <c r="A44" s="163" t="s">
        <v>45</v>
      </c>
      <c r="B44" s="171">
        <v>8260596</v>
      </c>
      <c r="C44" s="171">
        <v>0</v>
      </c>
      <c r="D44" s="171">
        <v>0</v>
      </c>
      <c r="E44" s="173">
        <f t="shared" si="4"/>
        <v>0</v>
      </c>
      <c r="F44" s="167">
        <f t="shared" si="3"/>
        <v>0</v>
      </c>
      <c r="G44" s="171">
        <v>0</v>
      </c>
      <c r="H44" s="215"/>
      <c r="M44" s="124" t="s">
        <v>46</v>
      </c>
    </row>
    <row r="45" spans="1:13" ht="15" customHeight="1" x14ac:dyDescent="0.25">
      <c r="A45" s="161" t="s">
        <v>46</v>
      </c>
      <c r="B45" s="160"/>
      <c r="C45" s="160"/>
      <c r="D45" s="160"/>
      <c r="E45" s="160"/>
      <c r="F45" s="152"/>
      <c r="G45" s="160"/>
      <c r="H45" s="185"/>
    </row>
    <row r="46" spans="1:13" s="124" customFormat="1" ht="15" customHeight="1" x14ac:dyDescent="0.25">
      <c r="A46" s="172" t="s">
        <v>47</v>
      </c>
      <c r="B46" s="173">
        <v>185000</v>
      </c>
      <c r="C46" s="173">
        <v>185000</v>
      </c>
      <c r="D46" s="173">
        <v>185000</v>
      </c>
      <c r="E46" s="173">
        <f>D46-C46</f>
        <v>0</v>
      </c>
      <c r="F46" s="167">
        <f>IF(ISBLANK(E46),"  ",IF(C46&gt;0,E46/C46,IF(E46&gt;0,1,0)))</f>
        <v>0</v>
      </c>
      <c r="G46" s="173">
        <v>185000</v>
      </c>
      <c r="H46" s="215"/>
    </row>
    <row r="47" spans="1:13" ht="15" customHeight="1" x14ac:dyDescent="0.25">
      <c r="A47" s="161" t="s">
        <v>46</v>
      </c>
      <c r="B47" s="166"/>
      <c r="C47" s="166"/>
      <c r="D47" s="166"/>
      <c r="E47" s="160"/>
      <c r="F47" s="152"/>
      <c r="G47" s="166"/>
      <c r="H47" s="215"/>
    </row>
    <row r="48" spans="1:13" ht="15" customHeight="1" x14ac:dyDescent="0.25">
      <c r="A48" s="172" t="s">
        <v>200</v>
      </c>
      <c r="B48" s="173">
        <v>8260596</v>
      </c>
      <c r="C48" s="173">
        <v>8260596</v>
      </c>
      <c r="D48" s="173">
        <v>0</v>
      </c>
      <c r="E48" s="173">
        <f>D48-C48</f>
        <v>-8260596</v>
      </c>
      <c r="F48" s="167">
        <f>IF(ISBLANK(E48)," ",IF(C48&gt;0,E48/C48,IF(E48&gt;0,1,0)))</f>
        <v>-1</v>
      </c>
      <c r="G48" s="173">
        <v>8260596</v>
      </c>
      <c r="H48" s="215"/>
    </row>
    <row r="49" spans="1:8" ht="15" customHeight="1" x14ac:dyDescent="0.25">
      <c r="A49" s="159"/>
      <c r="B49" s="151"/>
      <c r="C49" s="151"/>
      <c r="D49" s="151"/>
      <c r="E49" s="151"/>
      <c r="F49" s="153"/>
      <c r="G49" s="151"/>
      <c r="H49" s="185"/>
    </row>
    <row r="50" spans="1:8" s="124" customFormat="1" ht="15" customHeight="1" x14ac:dyDescent="0.25">
      <c r="A50" s="172" t="s">
        <v>48</v>
      </c>
      <c r="B50" s="173">
        <v>0</v>
      </c>
      <c r="C50" s="173">
        <v>0</v>
      </c>
      <c r="D50" s="173">
        <v>0</v>
      </c>
      <c r="E50" s="173">
        <f>D50-C50</f>
        <v>0</v>
      </c>
      <c r="F50" s="167">
        <f>IF(ISBLANK(E50),"  ",IF(C50&gt;0,E50/C50,IF(E50&gt;0,1,0)))</f>
        <v>0</v>
      </c>
      <c r="G50" s="173">
        <v>0</v>
      </c>
      <c r="H50" s="215"/>
    </row>
    <row r="51" spans="1:8" ht="15" customHeight="1" x14ac:dyDescent="0.25">
      <c r="A51" s="161" t="s">
        <v>46</v>
      </c>
      <c r="B51" s="160"/>
      <c r="C51" s="160"/>
      <c r="D51" s="160"/>
      <c r="E51" s="160"/>
      <c r="F51" s="152"/>
      <c r="G51" s="160"/>
      <c r="H51" s="185"/>
    </row>
    <row r="52" spans="1:8" s="124" customFormat="1" ht="15" customHeight="1" x14ac:dyDescent="0.25">
      <c r="A52" s="163" t="s">
        <v>49</v>
      </c>
      <c r="B52" s="171">
        <v>131554699</v>
      </c>
      <c r="C52" s="171">
        <v>136939525</v>
      </c>
      <c r="D52" s="171">
        <v>136939525</v>
      </c>
      <c r="E52" s="171">
        <f>D52-C52</f>
        <v>0</v>
      </c>
      <c r="F52" s="167">
        <f>IF(ISBLANK(E52),"  ",IF(C52&gt;0,E52/C52,IF(E52&gt;0,1,0)))</f>
        <v>0</v>
      </c>
      <c r="G52" s="171">
        <v>136939525</v>
      </c>
      <c r="H52" s="215"/>
    </row>
    <row r="53" spans="1:8" ht="15" customHeight="1" x14ac:dyDescent="0.25">
      <c r="A53" s="161" t="s">
        <v>46</v>
      </c>
      <c r="B53" s="160"/>
      <c r="C53" s="160"/>
      <c r="D53" s="160"/>
      <c r="E53" s="160"/>
      <c r="F53" s="152"/>
      <c r="G53" s="160"/>
      <c r="H53" s="185"/>
    </row>
    <row r="54" spans="1:8" s="124" customFormat="1" ht="15" customHeight="1" x14ac:dyDescent="0.25">
      <c r="A54" s="174" t="s">
        <v>50</v>
      </c>
      <c r="B54" s="175">
        <v>0</v>
      </c>
      <c r="C54" s="175">
        <v>0</v>
      </c>
      <c r="D54" s="175">
        <v>0</v>
      </c>
      <c r="E54" s="175">
        <f>D54-C54</f>
        <v>0</v>
      </c>
      <c r="F54" s="167">
        <f>IF(ISBLANK(E54),"  ",IF(C54&gt;0,E54/C54,IF(E54&gt;0,1,0)))</f>
        <v>0</v>
      </c>
      <c r="G54" s="175">
        <v>0</v>
      </c>
      <c r="H54" s="215"/>
    </row>
    <row r="55" spans="1:8" ht="15" customHeight="1" x14ac:dyDescent="0.25">
      <c r="A55" s="163"/>
      <c r="B55" s="151"/>
      <c r="C55" s="151"/>
      <c r="D55" s="151"/>
      <c r="E55" s="151"/>
      <c r="F55" s="176"/>
      <c r="G55" s="151"/>
      <c r="H55" s="185"/>
    </row>
    <row r="56" spans="1:8" s="124" customFormat="1" ht="15" customHeight="1" x14ac:dyDescent="0.25">
      <c r="A56" s="163" t="s">
        <v>51</v>
      </c>
      <c r="B56" s="171">
        <v>0</v>
      </c>
      <c r="C56" s="171">
        <v>0</v>
      </c>
      <c r="D56" s="171">
        <v>0</v>
      </c>
      <c r="E56" s="175">
        <f>D56-C56</f>
        <v>0</v>
      </c>
      <c r="F56" s="167">
        <f>IF(ISBLANK(E56),"  ",IF(C56&gt;0,E56/C56,IF(E56&gt;0,1,0)))</f>
        <v>0</v>
      </c>
      <c r="G56" s="171">
        <v>0</v>
      </c>
      <c r="H56" s="215"/>
    </row>
    <row r="57" spans="1:8" ht="15" customHeight="1" x14ac:dyDescent="0.25">
      <c r="A57" s="161"/>
      <c r="B57" s="160"/>
      <c r="C57" s="160"/>
      <c r="D57" s="160"/>
      <c r="E57" s="160"/>
      <c r="F57" s="152"/>
      <c r="G57" s="160"/>
      <c r="H57" s="185"/>
    </row>
    <row r="58" spans="1:8" s="124" customFormat="1" ht="15" customHeight="1" x14ac:dyDescent="0.25">
      <c r="A58" s="177" t="s">
        <v>52</v>
      </c>
      <c r="B58" s="171">
        <v>181345527</v>
      </c>
      <c r="C58" s="171">
        <v>195411283</v>
      </c>
      <c r="D58" s="171">
        <v>178026906</v>
      </c>
      <c r="E58" s="171">
        <f>D58-C58</f>
        <v>-17384377</v>
      </c>
      <c r="F58" s="167">
        <f>IF(ISBLANK(E58),"  ",IF(C58&gt;0,E58/C58,IF(E58&gt;0,1,0)))</f>
        <v>-8.8963015508167972E-2</v>
      </c>
      <c r="G58" s="171">
        <f>G56+G54+G52+G50+G48+G46+G44+G37</f>
        <v>186287502</v>
      </c>
      <c r="H58" s="215"/>
    </row>
    <row r="59" spans="1:8" ht="15" customHeight="1" x14ac:dyDescent="0.25">
      <c r="A59" s="178"/>
      <c r="B59" s="160"/>
      <c r="C59" s="160"/>
      <c r="D59" s="160"/>
      <c r="E59" s="160"/>
      <c r="F59" s="152" t="s">
        <v>46</v>
      </c>
      <c r="G59" s="160"/>
      <c r="H59" s="185"/>
    </row>
    <row r="60" spans="1:8" ht="15" customHeight="1" x14ac:dyDescent="0.25">
      <c r="A60" s="179"/>
      <c r="B60" s="151"/>
      <c r="C60" s="151"/>
      <c r="D60" s="151"/>
      <c r="E60" s="151"/>
      <c r="F60" s="153" t="s">
        <v>46</v>
      </c>
      <c r="G60" s="151"/>
      <c r="H60" s="185"/>
    </row>
    <row r="61" spans="1:8" ht="15" customHeight="1" x14ac:dyDescent="0.25">
      <c r="A61" s="177" t="s">
        <v>53</v>
      </c>
      <c r="B61" s="151"/>
      <c r="C61" s="151"/>
      <c r="D61" s="151"/>
      <c r="E61" s="151"/>
      <c r="F61" s="153"/>
      <c r="G61" s="151"/>
      <c r="H61" s="185"/>
    </row>
    <row r="62" spans="1:8" ht="15" customHeight="1" x14ac:dyDescent="0.25">
      <c r="A62" s="159" t="s">
        <v>54</v>
      </c>
      <c r="B62" s="151">
        <v>74656748</v>
      </c>
      <c r="C62" s="151">
        <v>88062801</v>
      </c>
      <c r="D62" s="151">
        <v>71465591</v>
      </c>
      <c r="E62" s="151">
        <f>D62-C62</f>
        <v>-16597210</v>
      </c>
      <c r="F62" s="156">
        <f t="shared" ref="F62:F75" si="5">IF(ISBLANK(E62),"  ",IF(C62&gt;0,E62/C62,IF(E62&gt;0,1,0)))</f>
        <v>-0.18847015779114271</v>
      </c>
      <c r="G62" s="151">
        <v>79726187</v>
      </c>
      <c r="H62" s="185"/>
    </row>
    <row r="63" spans="1:8" ht="15" customHeight="1" x14ac:dyDescent="0.25">
      <c r="A63" s="161" t="s">
        <v>55</v>
      </c>
      <c r="B63" s="160">
        <v>15073668</v>
      </c>
      <c r="C63" s="160">
        <v>14707526</v>
      </c>
      <c r="D63" s="160">
        <v>14976783</v>
      </c>
      <c r="E63" s="160">
        <f>D63-C63</f>
        <v>269257</v>
      </c>
      <c r="F63" s="156">
        <f t="shared" si="5"/>
        <v>1.8307429815184417E-2</v>
      </c>
      <c r="G63" s="160">
        <v>14976783</v>
      </c>
      <c r="H63" s="185"/>
    </row>
    <row r="64" spans="1:8" ht="15" customHeight="1" x14ac:dyDescent="0.25">
      <c r="A64" s="161" t="s">
        <v>56</v>
      </c>
      <c r="B64" s="160">
        <v>185000</v>
      </c>
      <c r="C64" s="160">
        <v>185000</v>
      </c>
      <c r="D64" s="160">
        <v>185000</v>
      </c>
      <c r="E64" s="160">
        <f t="shared" ref="E64:E75" si="6">D64-C64</f>
        <v>0</v>
      </c>
      <c r="F64" s="156">
        <f t="shared" si="5"/>
        <v>0</v>
      </c>
      <c r="G64" s="160">
        <v>185000</v>
      </c>
      <c r="H64" s="185"/>
    </row>
    <row r="65" spans="1:8" ht="15" customHeight="1" x14ac:dyDescent="0.25">
      <c r="A65" s="161" t="s">
        <v>57</v>
      </c>
      <c r="B65" s="160">
        <v>18423133</v>
      </c>
      <c r="C65" s="160">
        <v>16960560</v>
      </c>
      <c r="D65" s="160">
        <v>16093949</v>
      </c>
      <c r="E65" s="160">
        <f t="shared" si="6"/>
        <v>-866611</v>
      </c>
      <c r="F65" s="156">
        <f t="shared" si="5"/>
        <v>-5.1095659577278109E-2</v>
      </c>
      <c r="G65" s="160">
        <v>16093949</v>
      </c>
      <c r="H65" s="185"/>
    </row>
    <row r="66" spans="1:8" ht="15" customHeight="1" x14ac:dyDescent="0.25">
      <c r="A66" s="161" t="s">
        <v>58</v>
      </c>
      <c r="B66" s="160">
        <v>9152032</v>
      </c>
      <c r="C66" s="160">
        <v>9762369</v>
      </c>
      <c r="D66" s="160">
        <v>9597365</v>
      </c>
      <c r="E66" s="160">
        <f t="shared" si="6"/>
        <v>-165004</v>
      </c>
      <c r="F66" s="156">
        <f t="shared" si="5"/>
        <v>-1.6902044985187509E-2</v>
      </c>
      <c r="G66" s="160">
        <v>9597365</v>
      </c>
      <c r="H66" s="185"/>
    </row>
    <row r="67" spans="1:8" ht="15" customHeight="1" x14ac:dyDescent="0.25">
      <c r="A67" s="161" t="s">
        <v>59</v>
      </c>
      <c r="B67" s="160">
        <v>31027951</v>
      </c>
      <c r="C67" s="160">
        <v>32354612</v>
      </c>
      <c r="D67" s="160">
        <v>32220428</v>
      </c>
      <c r="E67" s="160">
        <f t="shared" si="6"/>
        <v>-134184</v>
      </c>
      <c r="F67" s="156">
        <f t="shared" si="5"/>
        <v>-4.14729127334304E-3</v>
      </c>
      <c r="G67" s="160">
        <v>32220428</v>
      </c>
      <c r="H67" s="185"/>
    </row>
    <row r="68" spans="1:8" ht="15" customHeight="1" x14ac:dyDescent="0.25">
      <c r="A68" s="161" t="s">
        <v>60</v>
      </c>
      <c r="B68" s="160">
        <v>18449236</v>
      </c>
      <c r="C68" s="160">
        <v>18077554</v>
      </c>
      <c r="D68" s="160">
        <v>18796271</v>
      </c>
      <c r="E68" s="160">
        <f t="shared" si="6"/>
        <v>718717</v>
      </c>
      <c r="F68" s="156">
        <f t="shared" si="5"/>
        <v>3.975742514722954E-2</v>
      </c>
      <c r="G68" s="160">
        <v>18796271</v>
      </c>
      <c r="H68" s="185"/>
    </row>
    <row r="69" spans="1:8" ht="15" customHeight="1" x14ac:dyDescent="0.25">
      <c r="A69" s="161" t="s">
        <v>61</v>
      </c>
      <c r="B69" s="160">
        <v>13892593</v>
      </c>
      <c r="C69" s="160">
        <v>14808245</v>
      </c>
      <c r="D69" s="160">
        <v>14202870</v>
      </c>
      <c r="E69" s="160">
        <f t="shared" si="6"/>
        <v>-605375</v>
      </c>
      <c r="F69" s="156">
        <f t="shared" si="5"/>
        <v>-4.0880941664592933E-2</v>
      </c>
      <c r="G69" s="160">
        <v>14202870</v>
      </c>
      <c r="H69" s="185"/>
    </row>
    <row r="70" spans="1:8" s="124" customFormat="1" ht="15" customHeight="1" x14ac:dyDescent="0.25">
      <c r="A70" s="180" t="s">
        <v>62</v>
      </c>
      <c r="B70" s="166">
        <v>180860361</v>
      </c>
      <c r="C70" s="166">
        <v>194918667</v>
      </c>
      <c r="D70" s="166">
        <v>177538257</v>
      </c>
      <c r="E70" s="160">
        <f t="shared" si="6"/>
        <v>-17380410</v>
      </c>
      <c r="F70" s="167">
        <f t="shared" si="5"/>
        <v>-8.9167498770140879E-2</v>
      </c>
      <c r="G70" s="166">
        <v>185798853</v>
      </c>
      <c r="H70" s="215"/>
    </row>
    <row r="71" spans="1:8" ht="15" customHeight="1" x14ac:dyDescent="0.25">
      <c r="A71" s="161" t="s">
        <v>63</v>
      </c>
      <c r="B71" s="160">
        <v>0</v>
      </c>
      <c r="C71" s="160">
        <v>0</v>
      </c>
      <c r="D71" s="160">
        <v>0</v>
      </c>
      <c r="E71" s="160">
        <f t="shared" si="6"/>
        <v>0</v>
      </c>
      <c r="F71" s="156">
        <f t="shared" si="5"/>
        <v>0</v>
      </c>
      <c r="G71" s="160">
        <v>0</v>
      </c>
      <c r="H71" s="185"/>
    </row>
    <row r="72" spans="1:8" ht="15" customHeight="1" x14ac:dyDescent="0.25">
      <c r="A72" s="161" t="s">
        <v>64</v>
      </c>
      <c r="B72" s="160">
        <v>485166</v>
      </c>
      <c r="C72" s="160">
        <v>492616</v>
      </c>
      <c r="D72" s="160">
        <v>488649</v>
      </c>
      <c r="E72" s="160">
        <f t="shared" si="6"/>
        <v>-3967</v>
      </c>
      <c r="F72" s="156">
        <f t="shared" si="5"/>
        <v>-8.0529256053396558E-3</v>
      </c>
      <c r="G72" s="160">
        <v>488649</v>
      </c>
      <c r="H72" s="185"/>
    </row>
    <row r="73" spans="1:8" ht="15" customHeight="1" x14ac:dyDescent="0.25">
      <c r="A73" s="161" t="s">
        <v>65</v>
      </c>
      <c r="B73" s="160">
        <v>0</v>
      </c>
      <c r="C73" s="160">
        <v>0</v>
      </c>
      <c r="D73" s="160">
        <v>0</v>
      </c>
      <c r="E73" s="160">
        <f t="shared" si="6"/>
        <v>0</v>
      </c>
      <c r="F73" s="156">
        <f t="shared" si="5"/>
        <v>0</v>
      </c>
      <c r="G73" s="160">
        <v>0</v>
      </c>
      <c r="H73" s="185"/>
    </row>
    <row r="74" spans="1:8" ht="15" customHeight="1" x14ac:dyDescent="0.25">
      <c r="A74" s="161" t="s">
        <v>66</v>
      </c>
      <c r="B74" s="160">
        <v>0</v>
      </c>
      <c r="C74" s="160">
        <v>0</v>
      </c>
      <c r="D74" s="160">
        <v>0</v>
      </c>
      <c r="E74" s="160">
        <f t="shared" si="6"/>
        <v>0</v>
      </c>
      <c r="F74" s="156">
        <f t="shared" si="5"/>
        <v>0</v>
      </c>
      <c r="G74" s="160">
        <v>0</v>
      </c>
      <c r="H74" s="185"/>
    </row>
    <row r="75" spans="1:8" s="124" customFormat="1" ht="15" customHeight="1" x14ac:dyDescent="0.25">
      <c r="A75" s="181" t="s">
        <v>67</v>
      </c>
      <c r="B75" s="182">
        <v>181345527</v>
      </c>
      <c r="C75" s="182">
        <v>195411283</v>
      </c>
      <c r="D75" s="182">
        <v>178026906</v>
      </c>
      <c r="E75" s="160">
        <f t="shared" si="6"/>
        <v>-17384377</v>
      </c>
      <c r="F75" s="167">
        <f t="shared" si="5"/>
        <v>-8.8963015508167972E-2</v>
      </c>
      <c r="G75" s="182">
        <v>186287502</v>
      </c>
      <c r="H75" s="215"/>
    </row>
    <row r="76" spans="1:8" ht="15" customHeight="1" x14ac:dyDescent="0.25">
      <c r="A76" s="179"/>
      <c r="B76" s="151"/>
      <c r="C76" s="151"/>
      <c r="D76" s="151"/>
      <c r="E76" s="151"/>
      <c r="F76" s="153"/>
      <c r="G76" s="151"/>
      <c r="H76" s="185"/>
    </row>
    <row r="77" spans="1:8" ht="15" customHeight="1" x14ac:dyDescent="0.25">
      <c r="A77" s="177" t="s">
        <v>68</v>
      </c>
      <c r="B77" s="151"/>
      <c r="C77" s="151"/>
      <c r="D77" s="151"/>
      <c r="E77" s="151"/>
      <c r="F77" s="153"/>
      <c r="G77" s="151"/>
      <c r="H77" s="185"/>
    </row>
    <row r="78" spans="1:8" ht="15" customHeight="1" x14ac:dyDescent="0.25">
      <c r="A78" s="159" t="s">
        <v>69</v>
      </c>
      <c r="B78" s="155">
        <v>101819352</v>
      </c>
      <c r="C78" s="155">
        <v>111681865</v>
      </c>
      <c r="D78" s="155">
        <v>99388838</v>
      </c>
      <c r="E78" s="151">
        <f>D78-C78</f>
        <v>-12293027</v>
      </c>
      <c r="F78" s="156">
        <f t="shared" ref="F78:F96" si="7">IF(ISBLANK(E78),"  ",IF(C78&gt;0,E78/C78,IF(E78&gt;0,1,0)))</f>
        <v>-0.1100718276866168</v>
      </c>
      <c r="G78" s="155">
        <v>105955625</v>
      </c>
      <c r="H78" s="185"/>
    </row>
    <row r="79" spans="1:8" ht="15" customHeight="1" x14ac:dyDescent="0.25">
      <c r="A79" s="161" t="s">
        <v>70</v>
      </c>
      <c r="B79" s="158">
        <v>1313098</v>
      </c>
      <c r="C79" s="158">
        <v>1804390</v>
      </c>
      <c r="D79" s="158">
        <v>1673765</v>
      </c>
      <c r="E79" s="160">
        <f>D79-C79</f>
        <v>-130625</v>
      </c>
      <c r="F79" s="156">
        <f t="shared" si="7"/>
        <v>-7.2392886238562618E-2</v>
      </c>
      <c r="G79" s="158">
        <v>1673765</v>
      </c>
      <c r="H79" s="185"/>
    </row>
    <row r="80" spans="1:8" ht="15" customHeight="1" x14ac:dyDescent="0.25">
      <c r="A80" s="161" t="s">
        <v>71</v>
      </c>
      <c r="B80" s="151">
        <v>40324433</v>
      </c>
      <c r="C80" s="151">
        <v>43518844</v>
      </c>
      <c r="D80" s="151">
        <v>40303705</v>
      </c>
      <c r="E80" s="160">
        <f t="shared" ref="E80:E95" si="8">D80-C80</f>
        <v>-3215139</v>
      </c>
      <c r="F80" s="156">
        <f t="shared" si="7"/>
        <v>-7.3879237233415482E-2</v>
      </c>
      <c r="G80" s="151">
        <v>41997514</v>
      </c>
      <c r="H80" s="185"/>
    </row>
    <row r="81" spans="1:8" s="124" customFormat="1" ht="15" customHeight="1" x14ac:dyDescent="0.25">
      <c r="A81" s="180" t="s">
        <v>72</v>
      </c>
      <c r="B81" s="182">
        <v>143456883</v>
      </c>
      <c r="C81" s="182">
        <v>157005099</v>
      </c>
      <c r="D81" s="182">
        <v>141366308</v>
      </c>
      <c r="E81" s="166">
        <f t="shared" si="8"/>
        <v>-15638791</v>
      </c>
      <c r="F81" s="167">
        <f t="shared" si="7"/>
        <v>-9.9606898754288228E-2</v>
      </c>
      <c r="G81" s="182">
        <v>149626904</v>
      </c>
      <c r="H81" s="215"/>
    </row>
    <row r="82" spans="1:8" ht="15" customHeight="1" x14ac:dyDescent="0.25">
      <c r="A82" s="161" t="s">
        <v>73</v>
      </c>
      <c r="B82" s="158">
        <v>330102</v>
      </c>
      <c r="C82" s="158">
        <v>583499</v>
      </c>
      <c r="D82" s="158">
        <v>260766</v>
      </c>
      <c r="E82" s="160">
        <f t="shared" si="8"/>
        <v>-322733</v>
      </c>
      <c r="F82" s="156">
        <f t="shared" si="7"/>
        <v>-0.55309949117307833</v>
      </c>
      <c r="G82" s="158">
        <v>260766</v>
      </c>
      <c r="H82" s="185"/>
    </row>
    <row r="83" spans="1:8" ht="15" customHeight="1" x14ac:dyDescent="0.25">
      <c r="A83" s="161" t="s">
        <v>74</v>
      </c>
      <c r="B83" s="155">
        <v>14925312</v>
      </c>
      <c r="C83" s="155">
        <v>14647873</v>
      </c>
      <c r="D83" s="155">
        <v>13990690</v>
      </c>
      <c r="E83" s="160">
        <f t="shared" si="8"/>
        <v>-657183</v>
      </c>
      <c r="F83" s="156">
        <f t="shared" si="7"/>
        <v>-4.4865421757821086E-2</v>
      </c>
      <c r="G83" s="155">
        <v>13990690</v>
      </c>
      <c r="H83" s="185"/>
    </row>
    <row r="84" spans="1:8" ht="15" customHeight="1" x14ac:dyDescent="0.25">
      <c r="A84" s="161" t="s">
        <v>75</v>
      </c>
      <c r="B84" s="151">
        <v>1404387</v>
      </c>
      <c r="C84" s="151">
        <v>1843560</v>
      </c>
      <c r="D84" s="151">
        <v>1297909</v>
      </c>
      <c r="E84" s="160">
        <f t="shared" si="8"/>
        <v>-545651</v>
      </c>
      <c r="F84" s="156">
        <f t="shared" si="7"/>
        <v>-0.29597680574540564</v>
      </c>
      <c r="G84" s="151">
        <v>1297909</v>
      </c>
      <c r="H84" s="185"/>
    </row>
    <row r="85" spans="1:8" s="124" customFormat="1" ht="15" customHeight="1" x14ac:dyDescent="0.25">
      <c r="A85" s="164" t="s">
        <v>76</v>
      </c>
      <c r="B85" s="182">
        <v>16659801</v>
      </c>
      <c r="C85" s="182">
        <v>17074932</v>
      </c>
      <c r="D85" s="182">
        <v>15549365</v>
      </c>
      <c r="E85" s="166">
        <f t="shared" si="8"/>
        <v>-1525567</v>
      </c>
      <c r="F85" s="167">
        <f t="shared" si="7"/>
        <v>-8.9345421697726232E-2</v>
      </c>
      <c r="G85" s="182">
        <v>15549365</v>
      </c>
      <c r="H85" s="215"/>
    </row>
    <row r="86" spans="1:8" ht="15" customHeight="1" x14ac:dyDescent="0.25">
      <c r="A86" s="161" t="s">
        <v>77</v>
      </c>
      <c r="B86" s="151">
        <v>824164</v>
      </c>
      <c r="C86" s="151">
        <v>972184</v>
      </c>
      <c r="D86" s="151">
        <v>722184</v>
      </c>
      <c r="E86" s="160">
        <f t="shared" si="8"/>
        <v>-250000</v>
      </c>
      <c r="F86" s="156">
        <f t="shared" si="7"/>
        <v>-0.25715296692807121</v>
      </c>
      <c r="G86" s="151">
        <v>722184</v>
      </c>
      <c r="H86" s="185"/>
    </row>
    <row r="87" spans="1:8" ht="15" customHeight="1" x14ac:dyDescent="0.25">
      <c r="A87" s="161" t="s">
        <v>78</v>
      </c>
      <c r="B87" s="160">
        <v>19375485</v>
      </c>
      <c r="C87" s="160">
        <v>19731202</v>
      </c>
      <c r="D87" s="160">
        <v>19765150</v>
      </c>
      <c r="E87" s="160">
        <f t="shared" si="8"/>
        <v>33948</v>
      </c>
      <c r="F87" s="156">
        <f t="shared" si="7"/>
        <v>1.7205236660189278E-3</v>
      </c>
      <c r="G87" s="160">
        <v>19765150</v>
      </c>
      <c r="H87" s="185"/>
    </row>
    <row r="88" spans="1:8" ht="15" customHeight="1" x14ac:dyDescent="0.25">
      <c r="A88" s="161" t="s">
        <v>79</v>
      </c>
      <c r="B88" s="160">
        <v>0</v>
      </c>
      <c r="C88" s="160">
        <v>0</v>
      </c>
      <c r="D88" s="160">
        <v>0</v>
      </c>
      <c r="E88" s="160">
        <f t="shared" si="8"/>
        <v>0</v>
      </c>
      <c r="F88" s="156">
        <f t="shared" si="7"/>
        <v>0</v>
      </c>
      <c r="G88" s="160">
        <v>0</v>
      </c>
      <c r="H88" s="185"/>
    </row>
    <row r="89" spans="1:8" ht="15" customHeight="1" x14ac:dyDescent="0.25">
      <c r="A89" s="161" t="s">
        <v>80</v>
      </c>
      <c r="B89" s="160">
        <v>485166</v>
      </c>
      <c r="C89" s="160">
        <v>492616</v>
      </c>
      <c r="D89" s="160">
        <v>488649</v>
      </c>
      <c r="E89" s="160">
        <f t="shared" si="8"/>
        <v>-3967</v>
      </c>
      <c r="F89" s="156">
        <f t="shared" si="7"/>
        <v>-8.0529256053396558E-3</v>
      </c>
      <c r="G89" s="160">
        <v>488649</v>
      </c>
      <c r="H89" s="185"/>
    </row>
    <row r="90" spans="1:8" s="124" customFormat="1" ht="15" customHeight="1" x14ac:dyDescent="0.25">
      <c r="A90" s="164" t="s">
        <v>81</v>
      </c>
      <c r="B90" s="166">
        <v>20684815</v>
      </c>
      <c r="C90" s="166">
        <v>21196002</v>
      </c>
      <c r="D90" s="166">
        <v>20975983</v>
      </c>
      <c r="E90" s="166">
        <f t="shared" si="8"/>
        <v>-220019</v>
      </c>
      <c r="F90" s="167">
        <f t="shared" si="7"/>
        <v>-1.038021226833249E-2</v>
      </c>
      <c r="G90" s="166">
        <v>20975983</v>
      </c>
      <c r="H90" s="215"/>
    </row>
    <row r="91" spans="1:8" ht="15" customHeight="1" x14ac:dyDescent="0.25">
      <c r="A91" s="161" t="s">
        <v>82</v>
      </c>
      <c r="B91" s="160">
        <v>498949</v>
      </c>
      <c r="C91" s="160">
        <v>85250</v>
      </c>
      <c r="D91" s="160">
        <v>85250</v>
      </c>
      <c r="E91" s="160">
        <f t="shared" si="8"/>
        <v>0</v>
      </c>
      <c r="F91" s="156">
        <f t="shared" si="7"/>
        <v>0</v>
      </c>
      <c r="G91" s="160">
        <v>85250</v>
      </c>
      <c r="H91" s="185"/>
    </row>
    <row r="92" spans="1:8" ht="15" customHeight="1" x14ac:dyDescent="0.25">
      <c r="A92" s="161" t="s">
        <v>83</v>
      </c>
      <c r="B92" s="160">
        <v>83</v>
      </c>
      <c r="C92" s="160">
        <v>50000</v>
      </c>
      <c r="D92" s="160">
        <v>50000</v>
      </c>
      <c r="E92" s="160">
        <f t="shared" si="8"/>
        <v>0</v>
      </c>
      <c r="F92" s="156">
        <f t="shared" si="7"/>
        <v>0</v>
      </c>
      <c r="G92" s="160">
        <v>50000</v>
      </c>
      <c r="H92" s="185"/>
    </row>
    <row r="93" spans="1:8" ht="15" customHeight="1" x14ac:dyDescent="0.25">
      <c r="A93" s="169" t="s">
        <v>84</v>
      </c>
      <c r="B93" s="160">
        <v>44996</v>
      </c>
      <c r="C93" s="160">
        <v>0</v>
      </c>
      <c r="D93" s="160">
        <v>0</v>
      </c>
      <c r="E93" s="160">
        <f t="shared" si="8"/>
        <v>0</v>
      </c>
      <c r="F93" s="156">
        <f t="shared" si="7"/>
        <v>0</v>
      </c>
      <c r="G93" s="160">
        <v>0</v>
      </c>
      <c r="H93" s="185"/>
    </row>
    <row r="94" spans="1:8" s="124" customFormat="1" ht="15" customHeight="1" x14ac:dyDescent="0.25">
      <c r="A94" s="183" t="s">
        <v>85</v>
      </c>
      <c r="B94" s="182">
        <v>544028</v>
      </c>
      <c r="C94" s="182">
        <v>135250</v>
      </c>
      <c r="D94" s="182">
        <v>135250</v>
      </c>
      <c r="E94" s="160">
        <f t="shared" si="8"/>
        <v>0</v>
      </c>
      <c r="F94" s="167">
        <f t="shared" si="7"/>
        <v>0</v>
      </c>
      <c r="G94" s="182">
        <v>135250</v>
      </c>
      <c r="H94" s="215"/>
    </row>
    <row r="95" spans="1:8" ht="15" customHeight="1" x14ac:dyDescent="0.25">
      <c r="A95" s="169" t="s">
        <v>86</v>
      </c>
      <c r="B95" s="160">
        <v>0</v>
      </c>
      <c r="C95" s="160">
        <v>0</v>
      </c>
      <c r="D95" s="160">
        <v>0</v>
      </c>
      <c r="E95" s="160">
        <f t="shared" si="8"/>
        <v>0</v>
      </c>
      <c r="F95" s="156">
        <f t="shared" si="7"/>
        <v>0</v>
      </c>
      <c r="G95" s="160">
        <v>0</v>
      </c>
      <c r="H95" s="185"/>
    </row>
    <row r="96" spans="1:8" s="124" customFormat="1" ht="15" customHeight="1" thickBot="1" x14ac:dyDescent="0.3">
      <c r="A96" s="203" t="s">
        <v>67</v>
      </c>
      <c r="B96" s="204">
        <v>181345527</v>
      </c>
      <c r="C96" s="204">
        <v>195411283</v>
      </c>
      <c r="D96" s="204">
        <v>178026906</v>
      </c>
      <c r="E96" s="204">
        <f>D96-C96</f>
        <v>-17384377</v>
      </c>
      <c r="F96" s="205">
        <f t="shared" si="7"/>
        <v>-8.8963015508167972E-2</v>
      </c>
      <c r="G96" s="204">
        <v>186287502</v>
      </c>
      <c r="H96" s="215"/>
    </row>
    <row r="97" spans="1:9" ht="15" customHeight="1" thickTop="1" x14ac:dyDescent="0.25">
      <c r="A97" s="184"/>
      <c r="B97" s="185"/>
      <c r="C97" s="185"/>
      <c r="D97" s="185"/>
      <c r="E97" s="185"/>
      <c r="F97" s="186" t="s">
        <v>46</v>
      </c>
      <c r="G97" s="142"/>
      <c r="H97" s="142"/>
      <c r="I97" s="142"/>
    </row>
    <row r="98" spans="1:9" x14ac:dyDescent="0.25">
      <c r="A98" s="139" t="s">
        <v>197</v>
      </c>
    </row>
    <row r="99" spans="1:9" x14ac:dyDescent="0.25">
      <c r="A99" s="139" t="s">
        <v>190</v>
      </c>
    </row>
  </sheetData>
  <mergeCells count="1">
    <mergeCell ref="G2:G3"/>
  </mergeCells>
  <hyperlinks>
    <hyperlink ref="I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39" customWidth="1"/>
    <col min="2" max="5" width="23.7109375" style="187" customWidth="1"/>
    <col min="6" max="6" width="23.7109375" style="188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101</v>
      </c>
      <c r="F1" s="50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143" t="s">
        <v>4</v>
      </c>
      <c r="B4" s="144" t="s">
        <v>5</v>
      </c>
      <c r="C4" s="145" t="s">
        <v>6</v>
      </c>
      <c r="D4" s="145" t="s">
        <v>6</v>
      </c>
      <c r="E4" s="145" t="s">
        <v>7</v>
      </c>
      <c r="F4" s="146" t="s">
        <v>8</v>
      </c>
      <c r="G4" s="145" t="s">
        <v>210</v>
      </c>
      <c r="H4" s="229"/>
    </row>
    <row r="5" spans="1:9" s="140" customFormat="1" ht="15" customHeight="1" x14ac:dyDescent="0.25">
      <c r="A5" s="147"/>
      <c r="B5" s="148" t="s">
        <v>192</v>
      </c>
      <c r="C5" s="148" t="s">
        <v>198</v>
      </c>
      <c r="D5" s="148" t="s">
        <v>199</v>
      </c>
      <c r="E5" s="148" t="s">
        <v>192</v>
      </c>
      <c r="F5" s="149" t="s">
        <v>9</v>
      </c>
      <c r="G5" s="148" t="s">
        <v>211</v>
      </c>
      <c r="H5" s="230"/>
    </row>
    <row r="6" spans="1:9" ht="15" customHeight="1" x14ac:dyDescent="0.25">
      <c r="A6" s="150" t="s">
        <v>10</v>
      </c>
      <c r="B6" s="151"/>
      <c r="C6" s="151"/>
      <c r="D6" s="151"/>
      <c r="E6" s="151"/>
      <c r="F6" s="152"/>
      <c r="G6" s="151"/>
      <c r="H6" s="185"/>
    </row>
    <row r="7" spans="1:9" ht="15" customHeight="1" x14ac:dyDescent="0.25">
      <c r="A7" s="150" t="s">
        <v>11</v>
      </c>
      <c r="B7" s="151"/>
      <c r="C7" s="151"/>
      <c r="D7" s="151"/>
      <c r="E7" s="151"/>
      <c r="F7" s="153"/>
      <c r="G7" s="151"/>
      <c r="H7" s="185"/>
    </row>
    <row r="8" spans="1:9" ht="15" customHeight="1" x14ac:dyDescent="0.25">
      <c r="A8" s="154" t="s">
        <v>12</v>
      </c>
      <c r="B8" s="155">
        <v>29713532</v>
      </c>
      <c r="C8" s="155">
        <v>29713532</v>
      </c>
      <c r="D8" s="155">
        <v>21857156</v>
      </c>
      <c r="E8" s="155">
        <f>D8-C8</f>
        <v>-7856376</v>
      </c>
      <c r="F8" s="156">
        <f t="shared" ref="F8:F31" si="0">IF(ISBLANK(E8),"  ",IF(C8&gt;0,E8/C8,IF(E8&gt;0,1,0)))</f>
        <v>-0.26440397593931275</v>
      </c>
      <c r="G8" s="155">
        <f>21857156</f>
        <v>21857156</v>
      </c>
      <c r="H8" s="185"/>
    </row>
    <row r="9" spans="1:9" ht="15" customHeight="1" x14ac:dyDescent="0.25">
      <c r="A9" s="154" t="s">
        <v>13</v>
      </c>
      <c r="B9" s="155">
        <v>0</v>
      </c>
      <c r="C9" s="155">
        <v>0</v>
      </c>
      <c r="D9" s="155">
        <v>0</v>
      </c>
      <c r="E9" s="155">
        <f t="shared" ref="E9:E31" si="1">D9-C9</f>
        <v>0</v>
      </c>
      <c r="F9" s="156">
        <f t="shared" si="0"/>
        <v>0</v>
      </c>
      <c r="G9" s="155">
        <v>0</v>
      </c>
      <c r="H9" s="185"/>
    </row>
    <row r="10" spans="1:9" ht="15" customHeight="1" x14ac:dyDescent="0.25">
      <c r="A10" s="157" t="s">
        <v>14</v>
      </c>
      <c r="B10" s="158">
        <v>1581757</v>
      </c>
      <c r="C10" s="158">
        <v>1879249</v>
      </c>
      <c r="D10" s="158">
        <v>1609834</v>
      </c>
      <c r="E10" s="155">
        <f t="shared" si="1"/>
        <v>-269415</v>
      </c>
      <c r="F10" s="156">
        <f t="shared" si="0"/>
        <v>-0.14336312005487298</v>
      </c>
      <c r="G10" s="158">
        <v>1609834</v>
      </c>
      <c r="H10" s="185"/>
    </row>
    <row r="11" spans="1:9" ht="15" customHeight="1" x14ac:dyDescent="0.25">
      <c r="A11" s="159" t="s">
        <v>15</v>
      </c>
      <c r="B11" s="160">
        <v>0</v>
      </c>
      <c r="C11" s="160">
        <v>0</v>
      </c>
      <c r="D11" s="160">
        <v>0</v>
      </c>
      <c r="E11" s="155">
        <f t="shared" si="1"/>
        <v>0</v>
      </c>
      <c r="F11" s="156">
        <f t="shared" si="0"/>
        <v>0</v>
      </c>
      <c r="G11" s="160">
        <v>0</v>
      </c>
      <c r="H11" s="185"/>
    </row>
    <row r="12" spans="1:9" ht="15" customHeight="1" x14ac:dyDescent="0.25">
      <c r="A12" s="161" t="s">
        <v>16</v>
      </c>
      <c r="B12" s="160">
        <v>1581757</v>
      </c>
      <c r="C12" s="160">
        <v>1879249</v>
      </c>
      <c r="D12" s="160">
        <v>1609834</v>
      </c>
      <c r="E12" s="155">
        <f t="shared" si="1"/>
        <v>-269415</v>
      </c>
      <c r="F12" s="156">
        <f t="shared" si="0"/>
        <v>-0.14336312005487298</v>
      </c>
      <c r="G12" s="160">
        <v>1609834</v>
      </c>
      <c r="H12" s="185"/>
    </row>
    <row r="13" spans="1:9" ht="15" customHeight="1" x14ac:dyDescent="0.25">
      <c r="A13" s="161" t="s">
        <v>17</v>
      </c>
      <c r="B13" s="160">
        <v>0</v>
      </c>
      <c r="C13" s="160">
        <v>0</v>
      </c>
      <c r="D13" s="160">
        <v>0</v>
      </c>
      <c r="E13" s="155">
        <f t="shared" si="1"/>
        <v>0</v>
      </c>
      <c r="F13" s="156">
        <f t="shared" si="0"/>
        <v>0</v>
      </c>
      <c r="G13" s="160">
        <v>0</v>
      </c>
      <c r="H13" s="185"/>
    </row>
    <row r="14" spans="1:9" ht="15" customHeight="1" x14ac:dyDescent="0.25">
      <c r="A14" s="161" t="s">
        <v>18</v>
      </c>
      <c r="B14" s="160">
        <v>0</v>
      </c>
      <c r="C14" s="160">
        <v>0</v>
      </c>
      <c r="D14" s="160">
        <v>0</v>
      </c>
      <c r="E14" s="155">
        <f t="shared" si="1"/>
        <v>0</v>
      </c>
      <c r="F14" s="156">
        <f t="shared" si="0"/>
        <v>0</v>
      </c>
      <c r="G14" s="160">
        <v>0</v>
      </c>
      <c r="H14" s="185"/>
    </row>
    <row r="15" spans="1:9" ht="15" customHeight="1" x14ac:dyDescent="0.25">
      <c r="A15" s="161" t="s">
        <v>19</v>
      </c>
      <c r="B15" s="160">
        <v>0</v>
      </c>
      <c r="C15" s="160">
        <v>0</v>
      </c>
      <c r="D15" s="160">
        <v>0</v>
      </c>
      <c r="E15" s="155">
        <f t="shared" si="1"/>
        <v>0</v>
      </c>
      <c r="F15" s="156">
        <f t="shared" si="0"/>
        <v>0</v>
      </c>
      <c r="G15" s="160">
        <v>0</v>
      </c>
      <c r="H15" s="185"/>
    </row>
    <row r="16" spans="1:9" ht="15" customHeight="1" x14ac:dyDescent="0.25">
      <c r="A16" s="161" t="s">
        <v>20</v>
      </c>
      <c r="B16" s="160">
        <v>0</v>
      </c>
      <c r="C16" s="160">
        <v>0</v>
      </c>
      <c r="D16" s="160">
        <v>0</v>
      </c>
      <c r="E16" s="155">
        <f t="shared" si="1"/>
        <v>0</v>
      </c>
      <c r="F16" s="156">
        <f t="shared" si="0"/>
        <v>0</v>
      </c>
      <c r="G16" s="160">
        <v>0</v>
      </c>
      <c r="H16" s="185"/>
    </row>
    <row r="17" spans="1:8" ht="15" customHeight="1" x14ac:dyDescent="0.25">
      <c r="A17" s="161" t="s">
        <v>21</v>
      </c>
      <c r="B17" s="160">
        <v>0</v>
      </c>
      <c r="C17" s="160">
        <v>0</v>
      </c>
      <c r="D17" s="160">
        <v>0</v>
      </c>
      <c r="E17" s="155">
        <f t="shared" si="1"/>
        <v>0</v>
      </c>
      <c r="F17" s="156">
        <f t="shared" si="0"/>
        <v>0</v>
      </c>
      <c r="G17" s="160">
        <v>0</v>
      </c>
      <c r="H17" s="185"/>
    </row>
    <row r="18" spans="1:8" ht="15" customHeight="1" x14ac:dyDescent="0.25">
      <c r="A18" s="161" t="s">
        <v>22</v>
      </c>
      <c r="B18" s="160">
        <v>0</v>
      </c>
      <c r="C18" s="160">
        <v>0</v>
      </c>
      <c r="D18" s="160">
        <v>0</v>
      </c>
      <c r="E18" s="155">
        <f t="shared" si="1"/>
        <v>0</v>
      </c>
      <c r="F18" s="156">
        <f t="shared" si="0"/>
        <v>0</v>
      </c>
      <c r="G18" s="160">
        <v>0</v>
      </c>
      <c r="H18" s="185"/>
    </row>
    <row r="19" spans="1:8" ht="15" customHeight="1" x14ac:dyDescent="0.25">
      <c r="A19" s="161" t="s">
        <v>23</v>
      </c>
      <c r="B19" s="160">
        <v>0</v>
      </c>
      <c r="C19" s="160">
        <v>0</v>
      </c>
      <c r="D19" s="160">
        <v>0</v>
      </c>
      <c r="E19" s="155">
        <f t="shared" si="1"/>
        <v>0</v>
      </c>
      <c r="F19" s="156">
        <f t="shared" si="0"/>
        <v>0</v>
      </c>
      <c r="G19" s="160">
        <v>0</v>
      </c>
      <c r="H19" s="185"/>
    </row>
    <row r="20" spans="1:8" ht="15" customHeight="1" x14ac:dyDescent="0.25">
      <c r="A20" s="161" t="s">
        <v>24</v>
      </c>
      <c r="B20" s="160">
        <v>0</v>
      </c>
      <c r="C20" s="160">
        <v>0</v>
      </c>
      <c r="D20" s="160">
        <v>0</v>
      </c>
      <c r="E20" s="155">
        <f t="shared" si="1"/>
        <v>0</v>
      </c>
      <c r="F20" s="156">
        <f t="shared" si="0"/>
        <v>0</v>
      </c>
      <c r="G20" s="160">
        <v>0</v>
      </c>
      <c r="H20" s="185"/>
    </row>
    <row r="21" spans="1:8" ht="15" customHeight="1" x14ac:dyDescent="0.25">
      <c r="A21" s="161" t="s">
        <v>25</v>
      </c>
      <c r="B21" s="160">
        <v>0</v>
      </c>
      <c r="C21" s="160">
        <v>0</v>
      </c>
      <c r="D21" s="160">
        <v>0</v>
      </c>
      <c r="E21" s="155">
        <f t="shared" si="1"/>
        <v>0</v>
      </c>
      <c r="F21" s="156">
        <f t="shared" si="0"/>
        <v>0</v>
      </c>
      <c r="G21" s="160">
        <v>0</v>
      </c>
      <c r="H21" s="185"/>
    </row>
    <row r="22" spans="1:8" ht="15" customHeight="1" x14ac:dyDescent="0.25">
      <c r="A22" s="161" t="s">
        <v>26</v>
      </c>
      <c r="B22" s="160">
        <v>0</v>
      </c>
      <c r="C22" s="160">
        <v>0</v>
      </c>
      <c r="D22" s="160">
        <v>0</v>
      </c>
      <c r="E22" s="155">
        <f t="shared" si="1"/>
        <v>0</v>
      </c>
      <c r="F22" s="156">
        <f t="shared" si="0"/>
        <v>0</v>
      </c>
      <c r="G22" s="160">
        <v>0</v>
      </c>
      <c r="H22" s="185"/>
    </row>
    <row r="23" spans="1:8" ht="15" customHeight="1" x14ac:dyDescent="0.25">
      <c r="A23" s="162" t="s">
        <v>27</v>
      </c>
      <c r="B23" s="160">
        <v>0</v>
      </c>
      <c r="C23" s="160">
        <v>0</v>
      </c>
      <c r="D23" s="160">
        <v>0</v>
      </c>
      <c r="E23" s="155">
        <f t="shared" si="1"/>
        <v>0</v>
      </c>
      <c r="F23" s="156">
        <f t="shared" si="0"/>
        <v>0</v>
      </c>
      <c r="G23" s="160">
        <v>0</v>
      </c>
      <c r="H23" s="185"/>
    </row>
    <row r="24" spans="1:8" ht="15" customHeight="1" x14ac:dyDescent="0.25">
      <c r="A24" s="162" t="s">
        <v>28</v>
      </c>
      <c r="B24" s="160">
        <v>0</v>
      </c>
      <c r="C24" s="160">
        <v>0</v>
      </c>
      <c r="D24" s="160">
        <v>0</v>
      </c>
      <c r="E24" s="155">
        <f t="shared" si="1"/>
        <v>0</v>
      </c>
      <c r="F24" s="156">
        <f t="shared" si="0"/>
        <v>0</v>
      </c>
      <c r="G24" s="160">
        <v>0</v>
      </c>
      <c r="H24" s="185"/>
    </row>
    <row r="25" spans="1:8" ht="15" customHeight="1" x14ac:dyDescent="0.25">
      <c r="A25" s="162" t="s">
        <v>29</v>
      </c>
      <c r="B25" s="160">
        <v>0</v>
      </c>
      <c r="C25" s="160">
        <v>0</v>
      </c>
      <c r="D25" s="160">
        <v>0</v>
      </c>
      <c r="E25" s="155">
        <f t="shared" si="1"/>
        <v>0</v>
      </c>
      <c r="F25" s="156">
        <f t="shared" si="0"/>
        <v>0</v>
      </c>
      <c r="G25" s="160">
        <v>0</v>
      </c>
      <c r="H25" s="185"/>
    </row>
    <row r="26" spans="1:8" ht="15" customHeight="1" x14ac:dyDescent="0.25">
      <c r="A26" s="162" t="s">
        <v>30</v>
      </c>
      <c r="B26" s="160">
        <v>0</v>
      </c>
      <c r="C26" s="160">
        <v>0</v>
      </c>
      <c r="D26" s="160">
        <v>0</v>
      </c>
      <c r="E26" s="155">
        <f t="shared" si="1"/>
        <v>0</v>
      </c>
      <c r="F26" s="156">
        <f t="shared" si="0"/>
        <v>0</v>
      </c>
      <c r="G26" s="160">
        <v>0</v>
      </c>
      <c r="H26" s="185"/>
    </row>
    <row r="27" spans="1:8" ht="15" customHeight="1" x14ac:dyDescent="0.25">
      <c r="A27" s="162" t="s">
        <v>31</v>
      </c>
      <c r="B27" s="160">
        <v>0</v>
      </c>
      <c r="C27" s="160">
        <v>0</v>
      </c>
      <c r="D27" s="160">
        <v>0</v>
      </c>
      <c r="E27" s="155">
        <f t="shared" si="1"/>
        <v>0</v>
      </c>
      <c r="F27" s="156">
        <f t="shared" si="0"/>
        <v>0</v>
      </c>
      <c r="G27" s="160">
        <v>0</v>
      </c>
      <c r="H27" s="185"/>
    </row>
    <row r="28" spans="1:8" ht="15" customHeight="1" x14ac:dyDescent="0.25">
      <c r="A28" s="162" t="s">
        <v>87</v>
      </c>
      <c r="B28" s="160">
        <v>0</v>
      </c>
      <c r="C28" s="160">
        <v>0</v>
      </c>
      <c r="D28" s="160">
        <v>0</v>
      </c>
      <c r="E28" s="155">
        <f t="shared" si="1"/>
        <v>0</v>
      </c>
      <c r="F28" s="156">
        <f t="shared" si="0"/>
        <v>0</v>
      </c>
      <c r="G28" s="160">
        <v>0</v>
      </c>
      <c r="H28" s="185"/>
    </row>
    <row r="29" spans="1:8" ht="15" customHeight="1" x14ac:dyDescent="0.25">
      <c r="A29" s="162" t="s">
        <v>32</v>
      </c>
      <c r="B29" s="160">
        <v>0</v>
      </c>
      <c r="C29" s="160">
        <v>0</v>
      </c>
      <c r="D29" s="160">
        <v>0</v>
      </c>
      <c r="E29" s="155">
        <f t="shared" si="1"/>
        <v>0</v>
      </c>
      <c r="F29" s="156">
        <f t="shared" si="0"/>
        <v>0</v>
      </c>
      <c r="G29" s="160">
        <v>0</v>
      </c>
      <c r="H29" s="185"/>
    </row>
    <row r="30" spans="1:8" ht="15" customHeight="1" x14ac:dyDescent="0.25">
      <c r="A30" s="219" t="s">
        <v>201</v>
      </c>
      <c r="B30" s="160">
        <v>0</v>
      </c>
      <c r="C30" s="160">
        <v>0</v>
      </c>
      <c r="D30" s="160">
        <v>0</v>
      </c>
      <c r="E30" s="155">
        <f t="shared" si="1"/>
        <v>0</v>
      </c>
      <c r="F30" s="156">
        <f t="shared" si="0"/>
        <v>0</v>
      </c>
      <c r="G30" s="160">
        <v>0</v>
      </c>
      <c r="H30" s="185"/>
    </row>
    <row r="31" spans="1:8" ht="15" customHeight="1" x14ac:dyDescent="0.25">
      <c r="A31" s="162" t="s">
        <v>202</v>
      </c>
      <c r="B31" s="160">
        <v>0</v>
      </c>
      <c r="C31" s="160">
        <v>0</v>
      </c>
      <c r="D31" s="160">
        <v>0</v>
      </c>
      <c r="E31" s="155">
        <f t="shared" si="1"/>
        <v>0</v>
      </c>
      <c r="F31" s="156">
        <f t="shared" si="0"/>
        <v>0</v>
      </c>
      <c r="G31" s="160">
        <v>0</v>
      </c>
      <c r="H31" s="185"/>
    </row>
    <row r="32" spans="1:8" ht="15" customHeight="1" x14ac:dyDescent="0.25">
      <c r="A32" s="163" t="s">
        <v>33</v>
      </c>
      <c r="B32" s="160"/>
      <c r="C32" s="160"/>
      <c r="D32" s="160"/>
      <c r="E32" s="160"/>
      <c r="F32" s="152"/>
      <c r="G32" s="160"/>
      <c r="H32" s="185"/>
    </row>
    <row r="33" spans="1:13" ht="15" customHeight="1" x14ac:dyDescent="0.25">
      <c r="A33" s="159" t="s">
        <v>34</v>
      </c>
      <c r="B33" s="155">
        <v>0</v>
      </c>
      <c r="C33" s="155">
        <v>0</v>
      </c>
      <c r="D33" s="155">
        <v>0</v>
      </c>
      <c r="E33" s="155">
        <f>D33-C33</f>
        <v>0</v>
      </c>
      <c r="F33" s="156">
        <f>IF(ISBLANK(E33),"  ",IF(C33&gt;0,E33/C33,IF(E33&gt;0,1,0)))</f>
        <v>0</v>
      </c>
      <c r="G33" s="155">
        <v>0</v>
      </c>
      <c r="H33" s="185"/>
    </row>
    <row r="34" spans="1:13" ht="15" customHeight="1" x14ac:dyDescent="0.25">
      <c r="A34" s="164" t="s">
        <v>35</v>
      </c>
      <c r="B34" s="160"/>
      <c r="C34" s="160"/>
      <c r="D34" s="160"/>
      <c r="E34" s="160"/>
      <c r="F34" s="152"/>
      <c r="G34" s="160"/>
      <c r="H34" s="185"/>
    </row>
    <row r="35" spans="1:13" ht="15" customHeight="1" x14ac:dyDescent="0.25">
      <c r="A35" s="159" t="s">
        <v>34</v>
      </c>
      <c r="B35" s="151">
        <v>0</v>
      </c>
      <c r="C35" s="151">
        <v>0</v>
      </c>
      <c r="D35" s="151">
        <v>0</v>
      </c>
      <c r="E35" s="155">
        <f>D35-C35</f>
        <v>0</v>
      </c>
      <c r="F35" s="156">
        <f>IF(ISBLANK(E35),"  ",IF(C35&gt;0,E35/C35,IF(E35&gt;0,1,0)))</f>
        <v>0</v>
      </c>
      <c r="G35" s="151">
        <v>0</v>
      </c>
      <c r="H35" s="185"/>
    </row>
    <row r="36" spans="1:13" ht="15" customHeight="1" x14ac:dyDescent="0.25">
      <c r="A36" s="161" t="s">
        <v>36</v>
      </c>
      <c r="B36" s="160"/>
      <c r="C36" s="160"/>
      <c r="D36" s="160"/>
      <c r="E36" s="158"/>
      <c r="F36" s="156" t="str">
        <f>IF(ISBLANK(E36),"  ",IF(C36&gt;0,E36/C36,IF(E36&gt;0,1,0)))</f>
        <v xml:space="preserve">  </v>
      </c>
      <c r="G36" s="160"/>
      <c r="H36" s="185"/>
    </row>
    <row r="37" spans="1:13" s="124" customFormat="1" ht="15" customHeight="1" x14ac:dyDescent="0.25">
      <c r="A37" s="165" t="s">
        <v>38</v>
      </c>
      <c r="B37" s="166">
        <f>SUM(B8,B9,B10,B33,B35)</f>
        <v>31295289</v>
      </c>
      <c r="C37" s="166">
        <f t="shared" ref="C37:D37" si="2">SUM(C8,C9,C10,C33,C35)</f>
        <v>31592781</v>
      </c>
      <c r="D37" s="166">
        <f t="shared" si="2"/>
        <v>23466990</v>
      </c>
      <c r="E37" s="166">
        <f>D37-C37</f>
        <v>-8125791</v>
      </c>
      <c r="F37" s="167">
        <f>IF(ISBLANK(E37),"  ",IF(C37&gt;0,E37/C37,IF(E37&gt;0,1,0)))</f>
        <v>-0.25720404291094223</v>
      </c>
      <c r="G37" s="166">
        <f>SUM(G8,G9,G10,G33,G35)</f>
        <v>23466990</v>
      </c>
      <c r="H37" s="215"/>
    </row>
    <row r="38" spans="1:13" ht="15" customHeight="1" x14ac:dyDescent="0.25">
      <c r="A38" s="163" t="s">
        <v>39</v>
      </c>
      <c r="B38" s="160"/>
      <c r="C38" s="160"/>
      <c r="D38" s="160"/>
      <c r="E38" s="160"/>
      <c r="F38" s="152"/>
      <c r="G38" s="160"/>
      <c r="H38" s="185"/>
    </row>
    <row r="39" spans="1:13" ht="15" customHeight="1" x14ac:dyDescent="0.25">
      <c r="A39" s="168" t="s">
        <v>40</v>
      </c>
      <c r="B39" s="155">
        <v>0</v>
      </c>
      <c r="C39" s="155">
        <v>0</v>
      </c>
      <c r="D39" s="155">
        <v>0</v>
      </c>
      <c r="E39" s="155">
        <f>D39-C39</f>
        <v>0</v>
      </c>
      <c r="F39" s="156">
        <f t="shared" ref="F39:F44" si="3">IF(ISBLANK(E39),"  ",IF(C39&gt;0,E39/C39,IF(E39&gt;0,1,0)))</f>
        <v>0</v>
      </c>
      <c r="G39" s="155">
        <v>0</v>
      </c>
      <c r="H39" s="185"/>
    </row>
    <row r="40" spans="1:13" ht="15" customHeight="1" x14ac:dyDescent="0.25">
      <c r="A40" s="169" t="s">
        <v>41</v>
      </c>
      <c r="B40" s="155">
        <v>0</v>
      </c>
      <c r="C40" s="155">
        <v>0</v>
      </c>
      <c r="D40" s="155">
        <v>0</v>
      </c>
      <c r="E40" s="155">
        <f t="shared" ref="E40:E44" si="4">D40-C40</f>
        <v>0</v>
      </c>
      <c r="F40" s="156">
        <f t="shared" si="3"/>
        <v>0</v>
      </c>
      <c r="G40" s="155">
        <v>0</v>
      </c>
      <c r="H40" s="185"/>
    </row>
    <row r="41" spans="1:13" ht="15" customHeight="1" x14ac:dyDescent="0.25">
      <c r="A41" s="169" t="s">
        <v>42</v>
      </c>
      <c r="B41" s="223">
        <v>5153204</v>
      </c>
      <c r="C41" s="155">
        <v>0</v>
      </c>
      <c r="D41" s="155">
        <v>0</v>
      </c>
      <c r="E41" s="155">
        <f t="shared" si="4"/>
        <v>0</v>
      </c>
      <c r="F41" s="156">
        <f t="shared" si="3"/>
        <v>0</v>
      </c>
      <c r="G41" s="155">
        <v>0</v>
      </c>
      <c r="H41" s="185"/>
    </row>
    <row r="42" spans="1:13" ht="15" customHeight="1" x14ac:dyDescent="0.25">
      <c r="A42" s="169" t="s">
        <v>43</v>
      </c>
      <c r="B42" s="155">
        <v>0</v>
      </c>
      <c r="C42" s="155">
        <v>0</v>
      </c>
      <c r="D42" s="155">
        <v>0</v>
      </c>
      <c r="E42" s="155">
        <f t="shared" si="4"/>
        <v>0</v>
      </c>
      <c r="F42" s="156">
        <f t="shared" si="3"/>
        <v>0</v>
      </c>
      <c r="G42" s="155">
        <v>0</v>
      </c>
      <c r="H42" s="185"/>
    </row>
    <row r="43" spans="1:13" ht="15" customHeight="1" x14ac:dyDescent="0.25">
      <c r="A43" s="170" t="s">
        <v>44</v>
      </c>
      <c r="B43" s="155">
        <v>0</v>
      </c>
      <c r="C43" s="155">
        <v>0</v>
      </c>
      <c r="D43" s="155">
        <v>0</v>
      </c>
      <c r="E43" s="155">
        <f t="shared" si="4"/>
        <v>0</v>
      </c>
      <c r="F43" s="156">
        <f t="shared" si="3"/>
        <v>0</v>
      </c>
      <c r="G43" s="155">
        <v>0</v>
      </c>
      <c r="H43" s="185"/>
    </row>
    <row r="44" spans="1:13" s="124" customFormat="1" ht="15" customHeight="1" x14ac:dyDescent="0.25">
      <c r="A44" s="163" t="s">
        <v>45</v>
      </c>
      <c r="B44" s="171">
        <v>5153204</v>
      </c>
      <c r="C44" s="171">
        <v>0</v>
      </c>
      <c r="D44" s="171">
        <v>0</v>
      </c>
      <c r="E44" s="173">
        <f t="shared" si="4"/>
        <v>0</v>
      </c>
      <c r="F44" s="167">
        <f t="shared" si="3"/>
        <v>0</v>
      </c>
      <c r="G44" s="171">
        <v>0</v>
      </c>
      <c r="H44" s="215"/>
      <c r="M44" s="124" t="s">
        <v>46</v>
      </c>
    </row>
    <row r="45" spans="1:13" ht="15" customHeight="1" x14ac:dyDescent="0.25">
      <c r="A45" s="161" t="s">
        <v>46</v>
      </c>
      <c r="B45" s="160"/>
      <c r="C45" s="160"/>
      <c r="D45" s="160"/>
      <c r="E45" s="160"/>
      <c r="F45" s="152"/>
      <c r="G45" s="160"/>
      <c r="H45" s="185"/>
    </row>
    <row r="46" spans="1:13" s="124" customFormat="1" ht="15" customHeight="1" x14ac:dyDescent="0.25">
      <c r="A46" s="172" t="s">
        <v>47</v>
      </c>
      <c r="B46" s="173">
        <v>0</v>
      </c>
      <c r="C46" s="173">
        <v>0</v>
      </c>
      <c r="D46" s="173">
        <v>0</v>
      </c>
      <c r="E46" s="173">
        <f>D46-C46</f>
        <v>0</v>
      </c>
      <c r="F46" s="167">
        <f>IF(ISBLANK(E46),"  ",IF(C46&gt;0,E46/C46,IF(E46&gt;0,1,0)))</f>
        <v>0</v>
      </c>
      <c r="G46" s="173">
        <v>0</v>
      </c>
      <c r="H46" s="215"/>
    </row>
    <row r="47" spans="1:13" ht="15" customHeight="1" x14ac:dyDescent="0.25">
      <c r="A47" s="161" t="s">
        <v>46</v>
      </c>
      <c r="B47" s="166"/>
      <c r="C47" s="166"/>
      <c r="D47" s="166"/>
      <c r="E47" s="160"/>
      <c r="F47" s="152"/>
      <c r="G47" s="166"/>
      <c r="H47" s="215"/>
    </row>
    <row r="48" spans="1:13" ht="15" customHeight="1" x14ac:dyDescent="0.25">
      <c r="A48" s="172" t="s">
        <v>200</v>
      </c>
      <c r="B48" s="173">
        <v>5153204</v>
      </c>
      <c r="C48" s="173">
        <v>5153206</v>
      </c>
      <c r="D48" s="173">
        <v>0</v>
      </c>
      <c r="E48" s="173">
        <f>D48-C48</f>
        <v>-5153206</v>
      </c>
      <c r="F48" s="167">
        <f>IF(ISBLANK(E48)," ",IF(C48&gt;0,E48/C48,IF(E48&gt;0,1,0)))</f>
        <v>-1</v>
      </c>
      <c r="G48" s="173">
        <f>C48</f>
        <v>5153206</v>
      </c>
      <c r="H48" s="215"/>
    </row>
    <row r="49" spans="1:8" ht="15" customHeight="1" x14ac:dyDescent="0.25">
      <c r="A49" s="159"/>
      <c r="B49" s="151"/>
      <c r="C49" s="151"/>
      <c r="D49" s="151"/>
      <c r="E49" s="151"/>
      <c r="F49" s="153"/>
      <c r="G49" s="151"/>
      <c r="H49" s="185"/>
    </row>
    <row r="50" spans="1:8" s="124" customFormat="1" ht="15" customHeight="1" x14ac:dyDescent="0.25">
      <c r="A50" s="172" t="s">
        <v>48</v>
      </c>
      <c r="B50" s="173">
        <v>0</v>
      </c>
      <c r="C50" s="173">
        <v>0</v>
      </c>
      <c r="D50" s="173">
        <v>0</v>
      </c>
      <c r="E50" s="173">
        <f>D50-C50</f>
        <v>0</v>
      </c>
      <c r="F50" s="167">
        <f>IF(ISBLANK(E50),"  ",IF(C50&gt;0,E50/C50,IF(E50&gt;0,1,0)))</f>
        <v>0</v>
      </c>
      <c r="G50" s="173">
        <v>0</v>
      </c>
      <c r="H50" s="215"/>
    </row>
    <row r="51" spans="1:8" ht="15" customHeight="1" x14ac:dyDescent="0.25">
      <c r="A51" s="161" t="s">
        <v>46</v>
      </c>
      <c r="B51" s="160"/>
      <c r="C51" s="160"/>
      <c r="D51" s="160"/>
      <c r="E51" s="160"/>
      <c r="F51" s="152"/>
      <c r="G51" s="160"/>
      <c r="H51" s="185"/>
    </row>
    <row r="52" spans="1:8" s="124" customFormat="1" ht="15" customHeight="1" x14ac:dyDescent="0.25">
      <c r="A52" s="163" t="s">
        <v>49</v>
      </c>
      <c r="B52" s="171">
        <v>64641257</v>
      </c>
      <c r="C52" s="171">
        <v>68227710</v>
      </c>
      <c r="D52" s="171">
        <v>68227710</v>
      </c>
      <c r="E52" s="171">
        <f>D52-C52</f>
        <v>0</v>
      </c>
      <c r="F52" s="167">
        <f>IF(ISBLANK(E52),"  ",IF(C52&gt;0,E52/C52,IF(E52&gt;0,1,0)))</f>
        <v>0</v>
      </c>
      <c r="G52" s="171">
        <v>68227710</v>
      </c>
      <c r="H52" s="215"/>
    </row>
    <row r="53" spans="1:8" ht="15" customHeight="1" x14ac:dyDescent="0.25">
      <c r="A53" s="161" t="s">
        <v>46</v>
      </c>
      <c r="B53" s="160"/>
      <c r="C53" s="160"/>
      <c r="D53" s="160"/>
      <c r="E53" s="160"/>
      <c r="F53" s="152"/>
      <c r="G53" s="160"/>
      <c r="H53" s="185"/>
    </row>
    <row r="54" spans="1:8" s="124" customFormat="1" ht="15" customHeight="1" x14ac:dyDescent="0.25">
      <c r="A54" s="174" t="s">
        <v>50</v>
      </c>
      <c r="B54" s="175">
        <v>0</v>
      </c>
      <c r="C54" s="175">
        <v>0</v>
      </c>
      <c r="D54" s="175">
        <v>0</v>
      </c>
      <c r="E54" s="175">
        <f>D54-C54</f>
        <v>0</v>
      </c>
      <c r="F54" s="167">
        <f>IF(ISBLANK(E54),"  ",IF(C54&gt;0,E54/C54,IF(E54&gt;0,1,0)))</f>
        <v>0</v>
      </c>
      <c r="G54" s="175">
        <v>0</v>
      </c>
      <c r="H54" s="215"/>
    </row>
    <row r="55" spans="1:8" ht="15" customHeight="1" x14ac:dyDescent="0.25">
      <c r="A55" s="163"/>
      <c r="B55" s="151"/>
      <c r="C55" s="151"/>
      <c r="D55" s="151"/>
      <c r="E55" s="151"/>
      <c r="F55" s="176"/>
      <c r="G55" s="151"/>
      <c r="H55" s="185"/>
    </row>
    <row r="56" spans="1:8" s="124" customFormat="1" ht="15" customHeight="1" x14ac:dyDescent="0.25">
      <c r="A56" s="163" t="s">
        <v>51</v>
      </c>
      <c r="B56" s="171">
        <v>0</v>
      </c>
      <c r="C56" s="171">
        <v>0</v>
      </c>
      <c r="D56" s="171">
        <v>0</v>
      </c>
      <c r="E56" s="175">
        <f>D56-C56</f>
        <v>0</v>
      </c>
      <c r="F56" s="167">
        <f>IF(ISBLANK(E56),"  ",IF(C56&gt;0,E56/C56,IF(E56&gt;0,1,0)))</f>
        <v>0</v>
      </c>
      <c r="G56" s="171">
        <v>0</v>
      </c>
      <c r="H56" s="215"/>
    </row>
    <row r="57" spans="1:8" ht="15" customHeight="1" x14ac:dyDescent="0.25">
      <c r="A57" s="161"/>
      <c r="B57" s="160"/>
      <c r="C57" s="160"/>
      <c r="D57" s="160"/>
      <c r="E57" s="160"/>
      <c r="F57" s="152"/>
      <c r="G57" s="160"/>
      <c r="H57" s="185"/>
    </row>
    <row r="58" spans="1:8" s="124" customFormat="1" ht="15" customHeight="1" x14ac:dyDescent="0.25">
      <c r="A58" s="177" t="s">
        <v>52</v>
      </c>
      <c r="B58" s="171">
        <v>95936546</v>
      </c>
      <c r="C58" s="171">
        <f>C56+C54+C52+C50+C48+C46+C37</f>
        <v>104973697</v>
      </c>
      <c r="D58" s="171">
        <v>91694700</v>
      </c>
      <c r="E58" s="171">
        <f>D58-C58</f>
        <v>-13278997</v>
      </c>
      <c r="F58" s="167">
        <f>IF(ISBLANK(E58),"  ",IF(C58&gt;0,E58/C58,IF(E58&gt;0,1,0)))</f>
        <v>-0.12649832652840645</v>
      </c>
      <c r="G58" s="171">
        <f>G56+G54+G52+G50+G48+G46+G44+G37</f>
        <v>96847906</v>
      </c>
      <c r="H58" s="215"/>
    </row>
    <row r="59" spans="1:8" ht="15" customHeight="1" x14ac:dyDescent="0.25">
      <c r="A59" s="178"/>
      <c r="B59" s="160"/>
      <c r="C59" s="160"/>
      <c r="D59" s="160"/>
      <c r="E59" s="160"/>
      <c r="F59" s="152" t="s">
        <v>46</v>
      </c>
      <c r="G59" s="160"/>
      <c r="H59" s="185"/>
    </row>
    <row r="60" spans="1:8" ht="15" customHeight="1" x14ac:dyDescent="0.25">
      <c r="A60" s="179"/>
      <c r="B60" s="151"/>
      <c r="C60" s="151"/>
      <c r="D60" s="151"/>
      <c r="E60" s="151"/>
      <c r="F60" s="153" t="s">
        <v>46</v>
      </c>
      <c r="G60" s="151"/>
      <c r="H60" s="185"/>
    </row>
    <row r="61" spans="1:8" ht="15" customHeight="1" x14ac:dyDescent="0.25">
      <c r="A61" s="177" t="s">
        <v>53</v>
      </c>
      <c r="B61" s="151"/>
      <c r="C61" s="151"/>
      <c r="D61" s="151"/>
      <c r="E61" s="151"/>
      <c r="F61" s="153"/>
      <c r="G61" s="151"/>
      <c r="H61" s="185"/>
    </row>
    <row r="62" spans="1:8" ht="15" customHeight="1" x14ac:dyDescent="0.25">
      <c r="A62" s="159" t="s">
        <v>54</v>
      </c>
      <c r="B62" s="151">
        <v>38006511</v>
      </c>
      <c r="C62" s="151">
        <v>45804361</v>
      </c>
      <c r="D62" s="151">
        <v>34298764</v>
      </c>
      <c r="E62" s="151">
        <f>D62-C62</f>
        <v>-11505597</v>
      </c>
      <c r="F62" s="156">
        <f t="shared" ref="F62:F75" si="5">IF(ISBLANK(E62),"  ",IF(C62&gt;0,E62/C62,IF(E62&gt;0,1,0)))</f>
        <v>-0.25118999040287887</v>
      </c>
      <c r="G62" s="151">
        <v>39451970</v>
      </c>
      <c r="H62" s="185"/>
    </row>
    <row r="63" spans="1:8" ht="15" customHeight="1" x14ac:dyDescent="0.25">
      <c r="A63" s="161" t="s">
        <v>55</v>
      </c>
      <c r="B63" s="160">
        <v>4415135</v>
      </c>
      <c r="C63" s="160">
        <v>4512438</v>
      </c>
      <c r="D63" s="160">
        <v>4516951</v>
      </c>
      <c r="E63" s="160">
        <f>D63-C63</f>
        <v>4513</v>
      </c>
      <c r="F63" s="156">
        <f t="shared" si="5"/>
        <v>1.0001245446474832E-3</v>
      </c>
      <c r="G63" s="160">
        <v>4516951</v>
      </c>
      <c r="H63" s="185"/>
    </row>
    <row r="64" spans="1:8" ht="15" customHeight="1" x14ac:dyDescent="0.25">
      <c r="A64" s="161" t="s">
        <v>56</v>
      </c>
      <c r="B64" s="160">
        <v>197500</v>
      </c>
      <c r="C64" s="160">
        <v>158365</v>
      </c>
      <c r="D64" s="160">
        <v>152048</v>
      </c>
      <c r="E64" s="160">
        <f t="shared" ref="E64:E75" si="6">D64-C64</f>
        <v>-6317</v>
      </c>
      <c r="F64" s="156">
        <f t="shared" si="5"/>
        <v>-3.9888864332396676E-2</v>
      </c>
      <c r="G64" s="160">
        <v>152048</v>
      </c>
      <c r="H64" s="185"/>
    </row>
    <row r="65" spans="1:8" ht="15" customHeight="1" x14ac:dyDescent="0.25">
      <c r="A65" s="161" t="s">
        <v>57</v>
      </c>
      <c r="B65" s="160">
        <v>5530447</v>
      </c>
      <c r="C65" s="160">
        <v>5894305</v>
      </c>
      <c r="D65" s="160">
        <v>5652407</v>
      </c>
      <c r="E65" s="160">
        <f t="shared" si="6"/>
        <v>-241898</v>
      </c>
      <c r="F65" s="156">
        <f t="shared" si="5"/>
        <v>-4.1039274350411117E-2</v>
      </c>
      <c r="G65" s="160">
        <v>5652407</v>
      </c>
      <c r="H65" s="185"/>
    </row>
    <row r="66" spans="1:8" ht="15" customHeight="1" x14ac:dyDescent="0.25">
      <c r="A66" s="161" t="s">
        <v>58</v>
      </c>
      <c r="B66" s="160">
        <v>5006153</v>
      </c>
      <c r="C66" s="160">
        <v>5090461</v>
      </c>
      <c r="D66" s="160">
        <v>4943914</v>
      </c>
      <c r="E66" s="160">
        <f t="shared" si="6"/>
        <v>-146547</v>
      </c>
      <c r="F66" s="156">
        <f t="shared" si="5"/>
        <v>-2.8788551763779351E-2</v>
      </c>
      <c r="G66" s="160">
        <v>4943914</v>
      </c>
      <c r="H66" s="185"/>
    </row>
    <row r="67" spans="1:8" ht="15" customHeight="1" x14ac:dyDescent="0.25">
      <c r="A67" s="161" t="s">
        <v>59</v>
      </c>
      <c r="B67" s="160">
        <v>13623938</v>
      </c>
      <c r="C67" s="160">
        <v>15123197</v>
      </c>
      <c r="D67" s="160">
        <v>13645918</v>
      </c>
      <c r="E67" s="160">
        <f t="shared" si="6"/>
        <v>-1477279</v>
      </c>
      <c r="F67" s="156">
        <f t="shared" si="5"/>
        <v>-9.7682983300422521E-2</v>
      </c>
      <c r="G67" s="160">
        <v>13645918</v>
      </c>
      <c r="H67" s="185"/>
    </row>
    <row r="68" spans="1:8" ht="15" customHeight="1" x14ac:dyDescent="0.25">
      <c r="A68" s="161" t="s">
        <v>60</v>
      </c>
      <c r="B68" s="160">
        <v>14816564</v>
      </c>
      <c r="C68" s="160">
        <v>14550364</v>
      </c>
      <c r="D68" s="160">
        <v>15018203</v>
      </c>
      <c r="E68" s="160">
        <f t="shared" si="6"/>
        <v>467839</v>
      </c>
      <c r="F68" s="156">
        <f t="shared" si="5"/>
        <v>3.215307878208408E-2</v>
      </c>
      <c r="G68" s="160">
        <v>15018203</v>
      </c>
      <c r="H68" s="185"/>
    </row>
    <row r="69" spans="1:8" ht="15" customHeight="1" x14ac:dyDescent="0.25">
      <c r="A69" s="161" t="s">
        <v>61</v>
      </c>
      <c r="B69" s="160">
        <v>9099299</v>
      </c>
      <c r="C69" s="160">
        <v>8598642</v>
      </c>
      <c r="D69" s="160">
        <v>8336313</v>
      </c>
      <c r="E69" s="160">
        <f t="shared" si="6"/>
        <v>-262329</v>
      </c>
      <c r="F69" s="156">
        <f t="shared" si="5"/>
        <v>-3.0508189549000878E-2</v>
      </c>
      <c r="G69" s="160">
        <v>8336313</v>
      </c>
      <c r="H69" s="185"/>
    </row>
    <row r="70" spans="1:8" s="124" customFormat="1" ht="15" customHeight="1" x14ac:dyDescent="0.25">
      <c r="A70" s="180" t="s">
        <v>62</v>
      </c>
      <c r="B70" s="166">
        <v>90695547</v>
      </c>
      <c r="C70" s="166">
        <f>SUM(C62:C69)</f>
        <v>99732133</v>
      </c>
      <c r="D70" s="166">
        <v>86564518</v>
      </c>
      <c r="E70" s="160">
        <f t="shared" si="6"/>
        <v>-13167615</v>
      </c>
      <c r="F70" s="167">
        <f t="shared" si="5"/>
        <v>-0.13202981430267816</v>
      </c>
      <c r="G70" s="166">
        <f>SUM(G62:G69)</f>
        <v>91717724</v>
      </c>
      <c r="H70" s="215"/>
    </row>
    <row r="71" spans="1:8" ht="15" customHeight="1" x14ac:dyDescent="0.25">
      <c r="A71" s="161" t="s">
        <v>63</v>
      </c>
      <c r="B71" s="160">
        <v>0</v>
      </c>
      <c r="C71" s="160">
        <v>0</v>
      </c>
      <c r="D71" s="160">
        <v>0</v>
      </c>
      <c r="E71" s="160">
        <f t="shared" si="6"/>
        <v>0</v>
      </c>
      <c r="F71" s="156">
        <f t="shared" si="5"/>
        <v>0</v>
      </c>
      <c r="G71" s="160">
        <v>0</v>
      </c>
      <c r="H71" s="185"/>
    </row>
    <row r="72" spans="1:8" ht="15" customHeight="1" x14ac:dyDescent="0.25">
      <c r="A72" s="161" t="s">
        <v>64</v>
      </c>
      <c r="B72" s="160">
        <v>43982</v>
      </c>
      <c r="C72" s="160">
        <v>44547</v>
      </c>
      <c r="D72" s="160">
        <v>45893</v>
      </c>
      <c r="E72" s="160">
        <f t="shared" si="6"/>
        <v>1346</v>
      </c>
      <c r="F72" s="156">
        <f t="shared" si="5"/>
        <v>3.0215278245448628E-2</v>
      </c>
      <c r="G72" s="160">
        <v>45893</v>
      </c>
      <c r="H72" s="185"/>
    </row>
    <row r="73" spans="1:8" ht="15" customHeight="1" x14ac:dyDescent="0.25">
      <c r="A73" s="161" t="s">
        <v>65</v>
      </c>
      <c r="B73" s="160">
        <v>5197017</v>
      </c>
      <c r="C73" s="160">
        <v>5197017</v>
      </c>
      <c r="D73" s="160">
        <v>5084289</v>
      </c>
      <c r="E73" s="160">
        <f t="shared" si="6"/>
        <v>-112728</v>
      </c>
      <c r="F73" s="156">
        <f t="shared" si="5"/>
        <v>-2.1690904609317229E-2</v>
      </c>
      <c r="G73" s="160">
        <v>5084289</v>
      </c>
      <c r="H73" s="185"/>
    </row>
    <row r="74" spans="1:8" ht="15" customHeight="1" x14ac:dyDescent="0.25">
      <c r="A74" s="161" t="s">
        <v>66</v>
      </c>
      <c r="B74" s="160">
        <v>0</v>
      </c>
      <c r="C74" s="160">
        <v>0</v>
      </c>
      <c r="D74" s="160">
        <v>0</v>
      </c>
      <c r="E74" s="160">
        <f t="shared" si="6"/>
        <v>0</v>
      </c>
      <c r="F74" s="156">
        <f t="shared" si="5"/>
        <v>0</v>
      </c>
      <c r="G74" s="160">
        <v>0</v>
      </c>
      <c r="H74" s="185"/>
    </row>
    <row r="75" spans="1:8" s="124" customFormat="1" ht="15" customHeight="1" x14ac:dyDescent="0.25">
      <c r="A75" s="181" t="s">
        <v>67</v>
      </c>
      <c r="B75" s="182">
        <v>95936546</v>
      </c>
      <c r="C75" s="182">
        <f>SUM(C70:C74)</f>
        <v>104973697</v>
      </c>
      <c r="D75" s="182">
        <v>91694700</v>
      </c>
      <c r="E75" s="160">
        <f t="shared" si="6"/>
        <v>-13278997</v>
      </c>
      <c r="F75" s="167">
        <f t="shared" si="5"/>
        <v>-0.12649832652840645</v>
      </c>
      <c r="G75" s="182">
        <f>SUM(G70:G74)</f>
        <v>96847906</v>
      </c>
      <c r="H75" s="215"/>
    </row>
    <row r="76" spans="1:8" ht="15" customHeight="1" x14ac:dyDescent="0.25">
      <c r="A76" s="179"/>
      <c r="B76" s="151"/>
      <c r="C76" s="151"/>
      <c r="D76" s="151"/>
      <c r="E76" s="151"/>
      <c r="F76" s="153"/>
      <c r="G76" s="151"/>
      <c r="H76" s="185"/>
    </row>
    <row r="77" spans="1:8" ht="15" customHeight="1" x14ac:dyDescent="0.25">
      <c r="A77" s="177" t="s">
        <v>68</v>
      </c>
      <c r="B77" s="151"/>
      <c r="C77" s="151"/>
      <c r="D77" s="151"/>
      <c r="E77" s="151"/>
      <c r="F77" s="153"/>
      <c r="G77" s="151"/>
      <c r="H77" s="185"/>
    </row>
    <row r="78" spans="1:8" ht="15" customHeight="1" x14ac:dyDescent="0.25">
      <c r="A78" s="159" t="s">
        <v>69</v>
      </c>
      <c r="B78" s="155">
        <v>43942442</v>
      </c>
      <c r="C78" s="155">
        <v>47722184</v>
      </c>
      <c r="D78" s="155">
        <v>39571051</v>
      </c>
      <c r="E78" s="151">
        <f>D78-C78</f>
        <v>-8151133</v>
      </c>
      <c r="F78" s="156">
        <f t="shared" ref="F78:F96" si="7">IF(ISBLANK(E78),"  ",IF(C78&gt;0,E78/C78,IF(E78&gt;0,1,0)))</f>
        <v>-0.17080385507922269</v>
      </c>
      <c r="G78" s="155">
        <v>43285073</v>
      </c>
      <c r="H78" s="185"/>
    </row>
    <row r="79" spans="1:8" ht="15" customHeight="1" x14ac:dyDescent="0.25">
      <c r="A79" s="161" t="s">
        <v>70</v>
      </c>
      <c r="B79" s="158">
        <v>701782</v>
      </c>
      <c r="C79" s="158">
        <v>803383</v>
      </c>
      <c r="D79" s="158">
        <v>693639</v>
      </c>
      <c r="E79" s="160">
        <f>D79-C79</f>
        <v>-109744</v>
      </c>
      <c r="F79" s="156">
        <f t="shared" si="7"/>
        <v>-0.13660234284270392</v>
      </c>
      <c r="G79" s="158">
        <v>693639</v>
      </c>
      <c r="H79" s="185"/>
    </row>
    <row r="80" spans="1:8" ht="15" customHeight="1" x14ac:dyDescent="0.25">
      <c r="A80" s="161" t="s">
        <v>71</v>
      </c>
      <c r="B80" s="151">
        <v>20010485</v>
      </c>
      <c r="C80" s="151">
        <v>21963367</v>
      </c>
      <c r="D80" s="151">
        <v>18840226</v>
      </c>
      <c r="E80" s="160">
        <f t="shared" ref="E80:E95" si="8">D80-C80</f>
        <v>-3123141</v>
      </c>
      <c r="F80" s="156">
        <f t="shared" si="7"/>
        <v>-0.14219773316176887</v>
      </c>
      <c r="G80" s="151">
        <v>20279410</v>
      </c>
      <c r="H80" s="185"/>
    </row>
    <row r="81" spans="1:8" s="124" customFormat="1" ht="15" customHeight="1" x14ac:dyDescent="0.25">
      <c r="A81" s="180" t="s">
        <v>72</v>
      </c>
      <c r="B81" s="182">
        <v>64654709</v>
      </c>
      <c r="C81" s="182">
        <f>SUM(C78:C80)</f>
        <v>70488934</v>
      </c>
      <c r="D81" s="182">
        <v>59104916</v>
      </c>
      <c r="E81" s="166">
        <f t="shared" si="8"/>
        <v>-11384018</v>
      </c>
      <c r="F81" s="167">
        <f t="shared" si="7"/>
        <v>-0.161500782519991</v>
      </c>
      <c r="G81" s="182">
        <f>SUM(G78:G80)</f>
        <v>64258122</v>
      </c>
      <c r="H81" s="215"/>
    </row>
    <row r="82" spans="1:8" ht="15" customHeight="1" x14ac:dyDescent="0.25">
      <c r="A82" s="161" t="s">
        <v>73</v>
      </c>
      <c r="B82" s="158">
        <v>337982</v>
      </c>
      <c r="C82" s="158">
        <v>670187</v>
      </c>
      <c r="D82" s="158">
        <v>168533</v>
      </c>
      <c r="E82" s="160">
        <f t="shared" si="8"/>
        <v>-501654</v>
      </c>
      <c r="F82" s="156">
        <f t="shared" si="7"/>
        <v>-0.74852839580594666</v>
      </c>
      <c r="G82" s="158">
        <v>168533</v>
      </c>
      <c r="H82" s="185"/>
    </row>
    <row r="83" spans="1:8" ht="15" customHeight="1" x14ac:dyDescent="0.25">
      <c r="A83" s="161" t="s">
        <v>74</v>
      </c>
      <c r="B83" s="155">
        <v>7719816</v>
      </c>
      <c r="C83" s="155">
        <v>9249731</v>
      </c>
      <c r="D83" s="155">
        <v>8969011</v>
      </c>
      <c r="E83" s="160">
        <f t="shared" si="8"/>
        <v>-280720</v>
      </c>
      <c r="F83" s="156">
        <f t="shared" si="7"/>
        <v>-3.034899068956708E-2</v>
      </c>
      <c r="G83" s="155">
        <v>8969011</v>
      </c>
      <c r="H83" s="185"/>
    </row>
    <row r="84" spans="1:8" ht="15" customHeight="1" x14ac:dyDescent="0.25">
      <c r="A84" s="161" t="s">
        <v>75</v>
      </c>
      <c r="B84" s="151">
        <v>1157759</v>
      </c>
      <c r="C84" s="151">
        <v>1594528</v>
      </c>
      <c r="D84" s="151">
        <v>1177500</v>
      </c>
      <c r="E84" s="160">
        <f t="shared" si="8"/>
        <v>-417028</v>
      </c>
      <c r="F84" s="156">
        <f t="shared" si="7"/>
        <v>-0.26153695639085672</v>
      </c>
      <c r="G84" s="151">
        <v>1177500</v>
      </c>
      <c r="H84" s="185"/>
    </row>
    <row r="85" spans="1:8" s="124" customFormat="1" ht="15" customHeight="1" x14ac:dyDescent="0.25">
      <c r="A85" s="164" t="s">
        <v>76</v>
      </c>
      <c r="B85" s="182">
        <v>9215557</v>
      </c>
      <c r="C85" s="182">
        <v>11514446</v>
      </c>
      <c r="D85" s="182">
        <v>10315044</v>
      </c>
      <c r="E85" s="166">
        <f t="shared" si="8"/>
        <v>-1199402</v>
      </c>
      <c r="F85" s="167">
        <f t="shared" si="7"/>
        <v>-0.1041649767604972</v>
      </c>
      <c r="G85" s="182">
        <v>10315044</v>
      </c>
      <c r="H85" s="215"/>
    </row>
    <row r="86" spans="1:8" ht="15" customHeight="1" x14ac:dyDescent="0.25">
      <c r="A86" s="161" t="s">
        <v>77</v>
      </c>
      <c r="B86" s="151">
        <v>699774</v>
      </c>
      <c r="C86" s="151">
        <v>918811</v>
      </c>
      <c r="D86" s="151">
        <v>748665</v>
      </c>
      <c r="E86" s="160">
        <f t="shared" si="8"/>
        <v>-170146</v>
      </c>
      <c r="F86" s="156">
        <f t="shared" si="7"/>
        <v>-0.18518063018400954</v>
      </c>
      <c r="G86" s="151">
        <v>748665</v>
      </c>
      <c r="H86" s="185"/>
    </row>
    <row r="87" spans="1:8" ht="15" customHeight="1" x14ac:dyDescent="0.25">
      <c r="A87" s="161" t="s">
        <v>78</v>
      </c>
      <c r="B87" s="160">
        <v>20232414</v>
      </c>
      <c r="C87" s="160">
        <v>20756087</v>
      </c>
      <c r="D87" s="160">
        <v>20429817</v>
      </c>
      <c r="E87" s="160">
        <f t="shared" si="8"/>
        <v>-326270</v>
      </c>
      <c r="F87" s="156">
        <f t="shared" si="7"/>
        <v>-1.571924419087278E-2</v>
      </c>
      <c r="G87" s="160">
        <v>20429817</v>
      </c>
      <c r="H87" s="185"/>
    </row>
    <row r="88" spans="1:8" ht="15" customHeight="1" x14ac:dyDescent="0.25">
      <c r="A88" s="161" t="s">
        <v>79</v>
      </c>
      <c r="B88" s="160">
        <v>0</v>
      </c>
      <c r="C88" s="160">
        <v>0</v>
      </c>
      <c r="D88" s="160">
        <v>0</v>
      </c>
      <c r="E88" s="160">
        <f t="shared" si="8"/>
        <v>0</v>
      </c>
      <c r="F88" s="156">
        <f t="shared" si="7"/>
        <v>0</v>
      </c>
      <c r="G88" s="160">
        <v>0</v>
      </c>
      <c r="H88" s="185"/>
    </row>
    <row r="89" spans="1:8" ht="15" customHeight="1" x14ac:dyDescent="0.25">
      <c r="A89" s="161" t="s">
        <v>80</v>
      </c>
      <c r="B89" s="160">
        <v>43982</v>
      </c>
      <c r="C89" s="160">
        <v>44547</v>
      </c>
      <c r="D89" s="160">
        <v>45893</v>
      </c>
      <c r="E89" s="160">
        <f t="shared" si="8"/>
        <v>1346</v>
      </c>
      <c r="F89" s="156">
        <f t="shared" si="7"/>
        <v>3.0215278245448628E-2</v>
      </c>
      <c r="G89" s="160">
        <v>45893</v>
      </c>
      <c r="H89" s="185"/>
    </row>
    <row r="90" spans="1:8" s="124" customFormat="1" ht="15" customHeight="1" x14ac:dyDescent="0.25">
      <c r="A90" s="164" t="s">
        <v>81</v>
      </c>
      <c r="B90" s="166">
        <v>20976170</v>
      </c>
      <c r="C90" s="166">
        <v>21719445</v>
      </c>
      <c r="D90" s="166">
        <v>21224375</v>
      </c>
      <c r="E90" s="166">
        <f t="shared" si="8"/>
        <v>-495070</v>
      </c>
      <c r="F90" s="167">
        <f t="shared" si="7"/>
        <v>-2.279386052452077E-2</v>
      </c>
      <c r="G90" s="166">
        <v>21224375</v>
      </c>
      <c r="H90" s="215"/>
    </row>
    <row r="91" spans="1:8" ht="15" customHeight="1" x14ac:dyDescent="0.25">
      <c r="A91" s="161" t="s">
        <v>82</v>
      </c>
      <c r="B91" s="160">
        <v>714645</v>
      </c>
      <c r="C91" s="160">
        <v>705472</v>
      </c>
      <c r="D91" s="160">
        <v>674900</v>
      </c>
      <c r="E91" s="160">
        <f t="shared" si="8"/>
        <v>-30572</v>
      </c>
      <c r="F91" s="156">
        <f t="shared" si="7"/>
        <v>-4.3335525718951287E-2</v>
      </c>
      <c r="G91" s="160">
        <v>674900</v>
      </c>
      <c r="H91" s="185"/>
    </row>
    <row r="92" spans="1:8" ht="15" customHeight="1" x14ac:dyDescent="0.25">
      <c r="A92" s="161" t="s">
        <v>83</v>
      </c>
      <c r="B92" s="160">
        <v>375465</v>
      </c>
      <c r="C92" s="160">
        <v>545400</v>
      </c>
      <c r="D92" s="160">
        <v>375465</v>
      </c>
      <c r="E92" s="160">
        <f t="shared" si="8"/>
        <v>-169935</v>
      </c>
      <c r="F92" s="156">
        <f t="shared" si="7"/>
        <v>-0.31157865786578659</v>
      </c>
      <c r="G92" s="160">
        <v>375465</v>
      </c>
      <c r="H92" s="185"/>
    </row>
    <row r="93" spans="1:8" ht="15" customHeight="1" x14ac:dyDescent="0.25">
      <c r="A93" s="169" t="s">
        <v>84</v>
      </c>
      <c r="B93" s="160">
        <v>0</v>
      </c>
      <c r="C93" s="160">
        <v>0</v>
      </c>
      <c r="D93" s="160">
        <v>0</v>
      </c>
      <c r="E93" s="160">
        <f t="shared" si="8"/>
        <v>0</v>
      </c>
      <c r="F93" s="156">
        <f t="shared" si="7"/>
        <v>0</v>
      </c>
      <c r="G93" s="160">
        <v>0</v>
      </c>
      <c r="H93" s="185"/>
    </row>
    <row r="94" spans="1:8" s="124" customFormat="1" ht="15" customHeight="1" x14ac:dyDescent="0.25">
      <c r="A94" s="183" t="s">
        <v>85</v>
      </c>
      <c r="B94" s="182">
        <v>1090110</v>
      </c>
      <c r="C94" s="182">
        <v>1250872</v>
      </c>
      <c r="D94" s="182">
        <v>1050365</v>
      </c>
      <c r="E94" s="160">
        <f t="shared" si="8"/>
        <v>-200507</v>
      </c>
      <c r="F94" s="167">
        <f t="shared" si="7"/>
        <v>-0.16029377905972794</v>
      </c>
      <c r="G94" s="182">
        <v>1050365</v>
      </c>
      <c r="H94" s="215"/>
    </row>
    <row r="95" spans="1:8" ht="15" customHeight="1" x14ac:dyDescent="0.25">
      <c r="A95" s="169" t="s">
        <v>86</v>
      </c>
      <c r="B95" s="160">
        <v>0</v>
      </c>
      <c r="C95" s="160">
        <v>0</v>
      </c>
      <c r="D95" s="160">
        <v>0</v>
      </c>
      <c r="E95" s="160">
        <f t="shared" si="8"/>
        <v>0</v>
      </c>
      <c r="F95" s="156">
        <f t="shared" si="7"/>
        <v>0</v>
      </c>
      <c r="G95" s="160">
        <v>0</v>
      </c>
      <c r="H95" s="185"/>
    </row>
    <row r="96" spans="1:8" s="124" customFormat="1" ht="15" customHeight="1" thickBot="1" x14ac:dyDescent="0.3">
      <c r="A96" s="203" t="s">
        <v>67</v>
      </c>
      <c r="B96" s="204">
        <v>95936546</v>
      </c>
      <c r="C96" s="204">
        <f>C94+C90+C85+C81</f>
        <v>104973697</v>
      </c>
      <c r="D96" s="204">
        <v>91694700</v>
      </c>
      <c r="E96" s="204">
        <f>D96-C96</f>
        <v>-13278997</v>
      </c>
      <c r="F96" s="205">
        <f t="shared" si="7"/>
        <v>-0.12649832652840645</v>
      </c>
      <c r="G96" s="204">
        <f>G94+G90+G85+G81</f>
        <v>96847906</v>
      </c>
      <c r="H96" s="215"/>
    </row>
    <row r="97" spans="1:9" ht="15" customHeight="1" thickTop="1" x14ac:dyDescent="0.25">
      <c r="A97" s="184"/>
      <c r="B97" s="185"/>
      <c r="C97" s="185"/>
      <c r="D97" s="185"/>
      <c r="E97" s="185"/>
      <c r="F97" s="186" t="s">
        <v>46</v>
      </c>
      <c r="G97" s="142"/>
      <c r="H97" s="142"/>
      <c r="I97" s="142"/>
    </row>
    <row r="98" spans="1:9" x14ac:dyDescent="0.25">
      <c r="A98" s="139" t="s">
        <v>197</v>
      </c>
    </row>
    <row r="99" spans="1:9" x14ac:dyDescent="0.25">
      <c r="A99" s="139" t="s">
        <v>190</v>
      </c>
    </row>
  </sheetData>
  <mergeCells count="1">
    <mergeCell ref="G2:G3"/>
  </mergeCells>
  <hyperlinks>
    <hyperlink ref="I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66.5703125" style="139" customWidth="1"/>
    <col min="2" max="5" width="23.7109375" style="187" customWidth="1"/>
    <col min="6" max="6" width="23.7109375" style="188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102</v>
      </c>
      <c r="F1" s="50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143" t="s">
        <v>4</v>
      </c>
      <c r="B4" s="144" t="s">
        <v>5</v>
      </c>
      <c r="C4" s="145" t="s">
        <v>6</v>
      </c>
      <c r="D4" s="145" t="s">
        <v>6</v>
      </c>
      <c r="E4" s="145" t="s">
        <v>7</v>
      </c>
      <c r="F4" s="146" t="s">
        <v>8</v>
      </c>
      <c r="G4" s="145" t="s">
        <v>210</v>
      </c>
      <c r="H4" s="229"/>
    </row>
    <row r="5" spans="1:9" s="140" customFormat="1" ht="15" customHeight="1" x14ac:dyDescent="0.25">
      <c r="A5" s="147"/>
      <c r="B5" s="148" t="s">
        <v>192</v>
      </c>
      <c r="C5" s="148" t="s">
        <v>198</v>
      </c>
      <c r="D5" s="148" t="s">
        <v>199</v>
      </c>
      <c r="E5" s="148" t="s">
        <v>192</v>
      </c>
      <c r="F5" s="149" t="s">
        <v>9</v>
      </c>
      <c r="G5" s="148" t="s">
        <v>211</v>
      </c>
      <c r="H5" s="230"/>
    </row>
    <row r="6" spans="1:9" ht="15" customHeight="1" x14ac:dyDescent="0.25">
      <c r="A6" s="150" t="s">
        <v>10</v>
      </c>
      <c r="B6" s="151"/>
      <c r="C6" s="151"/>
      <c r="D6" s="151"/>
      <c r="E6" s="151"/>
      <c r="F6" s="152"/>
      <c r="G6" s="151"/>
      <c r="H6" s="185"/>
    </row>
    <row r="7" spans="1:9" ht="15" customHeight="1" x14ac:dyDescent="0.25">
      <c r="A7" s="150" t="s">
        <v>11</v>
      </c>
      <c r="B7" s="151"/>
      <c r="C7" s="151"/>
      <c r="D7" s="151"/>
      <c r="E7" s="151"/>
      <c r="F7" s="153"/>
      <c r="G7" s="151"/>
      <c r="H7" s="185"/>
    </row>
    <row r="8" spans="1:9" ht="15" customHeight="1" x14ac:dyDescent="0.25">
      <c r="A8" s="154" t="s">
        <v>12</v>
      </c>
      <c r="B8" s="155">
        <v>24999530.5</v>
      </c>
      <c r="C8" s="155">
        <v>24999530</v>
      </c>
      <c r="D8" s="155">
        <v>16057762</v>
      </c>
      <c r="E8" s="155">
        <f>D8-C8</f>
        <v>-8941768</v>
      </c>
      <c r="F8" s="156">
        <f t="shared" ref="F8:F31" si="0">IF(ISBLANK(E8),"  ",IF(C8&gt;0,E8/C8,IF(E8&gt;0,1,0)))</f>
        <v>-0.3576774443359535</v>
      </c>
      <c r="G8" s="155">
        <f>16057762</f>
        <v>16057762</v>
      </c>
      <c r="H8" s="185"/>
    </row>
    <row r="9" spans="1:9" ht="15" customHeight="1" x14ac:dyDescent="0.25">
      <c r="A9" s="154" t="s">
        <v>13</v>
      </c>
      <c r="B9" s="155">
        <v>0</v>
      </c>
      <c r="C9" s="155">
        <v>0</v>
      </c>
      <c r="D9" s="155">
        <v>0</v>
      </c>
      <c r="E9" s="155">
        <f t="shared" ref="E9:E31" si="1">D9-C9</f>
        <v>0</v>
      </c>
      <c r="F9" s="156">
        <f t="shared" si="0"/>
        <v>0</v>
      </c>
      <c r="G9" s="155">
        <v>0</v>
      </c>
      <c r="H9" s="185"/>
    </row>
    <row r="10" spans="1:9" ht="15" customHeight="1" x14ac:dyDescent="0.25">
      <c r="A10" s="157" t="s">
        <v>14</v>
      </c>
      <c r="B10" s="158">
        <v>2144834.61</v>
      </c>
      <c r="C10" s="158">
        <v>2548228</v>
      </c>
      <c r="D10" s="158">
        <v>2182906</v>
      </c>
      <c r="E10" s="155">
        <f t="shared" si="1"/>
        <v>-365322</v>
      </c>
      <c r="F10" s="156">
        <f t="shared" si="0"/>
        <v>-0.1433631527477133</v>
      </c>
      <c r="G10" s="158">
        <v>2182906</v>
      </c>
      <c r="H10" s="185"/>
    </row>
    <row r="11" spans="1:9" ht="15" customHeight="1" x14ac:dyDescent="0.25">
      <c r="A11" s="159" t="s">
        <v>15</v>
      </c>
      <c r="B11" s="160">
        <v>0</v>
      </c>
      <c r="C11" s="160">
        <v>0</v>
      </c>
      <c r="D11" s="160">
        <v>0</v>
      </c>
      <c r="E11" s="155">
        <f t="shared" si="1"/>
        <v>0</v>
      </c>
      <c r="F11" s="156">
        <f t="shared" si="0"/>
        <v>0</v>
      </c>
      <c r="G11" s="160">
        <v>0</v>
      </c>
      <c r="H11" s="185"/>
    </row>
    <row r="12" spans="1:9" ht="15" customHeight="1" x14ac:dyDescent="0.25">
      <c r="A12" s="161" t="s">
        <v>16</v>
      </c>
      <c r="B12" s="160">
        <v>2144834.61</v>
      </c>
      <c r="C12" s="160">
        <v>2548228</v>
      </c>
      <c r="D12" s="160">
        <v>2182906</v>
      </c>
      <c r="E12" s="155">
        <f t="shared" si="1"/>
        <v>-365322</v>
      </c>
      <c r="F12" s="156">
        <f t="shared" si="0"/>
        <v>-0.1433631527477133</v>
      </c>
      <c r="G12" s="160">
        <v>2182906</v>
      </c>
      <c r="H12" s="185"/>
    </row>
    <row r="13" spans="1:9" ht="15" customHeight="1" x14ac:dyDescent="0.25">
      <c r="A13" s="161" t="s">
        <v>17</v>
      </c>
      <c r="B13" s="160">
        <v>0</v>
      </c>
      <c r="C13" s="160">
        <v>0</v>
      </c>
      <c r="D13" s="160">
        <v>0</v>
      </c>
      <c r="E13" s="155">
        <f t="shared" si="1"/>
        <v>0</v>
      </c>
      <c r="F13" s="156">
        <f t="shared" si="0"/>
        <v>0</v>
      </c>
      <c r="G13" s="160">
        <v>0</v>
      </c>
      <c r="H13" s="185"/>
    </row>
    <row r="14" spans="1:9" ht="15" customHeight="1" x14ac:dyDescent="0.25">
      <c r="A14" s="161" t="s">
        <v>18</v>
      </c>
      <c r="B14" s="160">
        <v>0</v>
      </c>
      <c r="C14" s="160">
        <v>0</v>
      </c>
      <c r="D14" s="160">
        <v>0</v>
      </c>
      <c r="E14" s="155">
        <f t="shared" si="1"/>
        <v>0</v>
      </c>
      <c r="F14" s="156">
        <f t="shared" si="0"/>
        <v>0</v>
      </c>
      <c r="G14" s="160">
        <v>0</v>
      </c>
      <c r="H14" s="185"/>
    </row>
    <row r="15" spans="1:9" ht="15" customHeight="1" x14ac:dyDescent="0.25">
      <c r="A15" s="161" t="s">
        <v>19</v>
      </c>
      <c r="B15" s="160">
        <v>0</v>
      </c>
      <c r="C15" s="160">
        <v>0</v>
      </c>
      <c r="D15" s="160">
        <v>0</v>
      </c>
      <c r="E15" s="155">
        <f t="shared" si="1"/>
        <v>0</v>
      </c>
      <c r="F15" s="156">
        <f t="shared" si="0"/>
        <v>0</v>
      </c>
      <c r="G15" s="160">
        <v>0</v>
      </c>
      <c r="H15" s="185"/>
    </row>
    <row r="16" spans="1:9" ht="15" customHeight="1" x14ac:dyDescent="0.25">
      <c r="A16" s="161" t="s">
        <v>20</v>
      </c>
      <c r="B16" s="160">
        <v>0</v>
      </c>
      <c r="C16" s="160">
        <v>0</v>
      </c>
      <c r="D16" s="160">
        <v>0</v>
      </c>
      <c r="E16" s="155">
        <f t="shared" si="1"/>
        <v>0</v>
      </c>
      <c r="F16" s="156">
        <f t="shared" si="0"/>
        <v>0</v>
      </c>
      <c r="G16" s="160">
        <v>0</v>
      </c>
      <c r="H16" s="185"/>
    </row>
    <row r="17" spans="1:8" ht="15" customHeight="1" x14ac:dyDescent="0.25">
      <c r="A17" s="161" t="s">
        <v>21</v>
      </c>
      <c r="B17" s="160">
        <v>0</v>
      </c>
      <c r="C17" s="160">
        <v>0</v>
      </c>
      <c r="D17" s="160">
        <v>0</v>
      </c>
      <c r="E17" s="155">
        <f t="shared" si="1"/>
        <v>0</v>
      </c>
      <c r="F17" s="156">
        <f t="shared" si="0"/>
        <v>0</v>
      </c>
      <c r="G17" s="160">
        <v>0</v>
      </c>
      <c r="H17" s="185"/>
    </row>
    <row r="18" spans="1:8" ht="15" customHeight="1" x14ac:dyDescent="0.25">
      <c r="A18" s="161" t="s">
        <v>22</v>
      </c>
      <c r="B18" s="160">
        <v>0</v>
      </c>
      <c r="C18" s="160">
        <v>0</v>
      </c>
      <c r="D18" s="160">
        <v>0</v>
      </c>
      <c r="E18" s="155">
        <f t="shared" si="1"/>
        <v>0</v>
      </c>
      <c r="F18" s="156">
        <f t="shared" si="0"/>
        <v>0</v>
      </c>
      <c r="G18" s="160">
        <v>0</v>
      </c>
      <c r="H18" s="185"/>
    </row>
    <row r="19" spans="1:8" ht="15" customHeight="1" x14ac:dyDescent="0.25">
      <c r="A19" s="161" t="s">
        <v>23</v>
      </c>
      <c r="B19" s="160">
        <v>0</v>
      </c>
      <c r="C19" s="160">
        <v>0</v>
      </c>
      <c r="D19" s="160">
        <v>0</v>
      </c>
      <c r="E19" s="155">
        <f t="shared" si="1"/>
        <v>0</v>
      </c>
      <c r="F19" s="156">
        <f t="shared" si="0"/>
        <v>0</v>
      </c>
      <c r="G19" s="160">
        <v>0</v>
      </c>
      <c r="H19" s="185"/>
    </row>
    <row r="20" spans="1:8" ht="15" customHeight="1" x14ac:dyDescent="0.25">
      <c r="A20" s="161" t="s">
        <v>24</v>
      </c>
      <c r="B20" s="160">
        <v>0</v>
      </c>
      <c r="C20" s="160">
        <v>0</v>
      </c>
      <c r="D20" s="160">
        <v>0</v>
      </c>
      <c r="E20" s="155">
        <f t="shared" si="1"/>
        <v>0</v>
      </c>
      <c r="F20" s="156">
        <f t="shared" si="0"/>
        <v>0</v>
      </c>
      <c r="G20" s="160">
        <v>0</v>
      </c>
      <c r="H20" s="185"/>
    </row>
    <row r="21" spans="1:8" ht="15" customHeight="1" x14ac:dyDescent="0.25">
      <c r="A21" s="161" t="s">
        <v>25</v>
      </c>
      <c r="B21" s="160">
        <v>0</v>
      </c>
      <c r="C21" s="160">
        <v>0</v>
      </c>
      <c r="D21" s="160">
        <v>0</v>
      </c>
      <c r="E21" s="155">
        <f t="shared" si="1"/>
        <v>0</v>
      </c>
      <c r="F21" s="156">
        <f t="shared" si="0"/>
        <v>0</v>
      </c>
      <c r="G21" s="160">
        <v>0</v>
      </c>
      <c r="H21" s="185"/>
    </row>
    <row r="22" spans="1:8" ht="15" customHeight="1" x14ac:dyDescent="0.25">
      <c r="A22" s="161" t="s">
        <v>26</v>
      </c>
      <c r="B22" s="160">
        <v>0</v>
      </c>
      <c r="C22" s="160">
        <v>0</v>
      </c>
      <c r="D22" s="160">
        <v>0</v>
      </c>
      <c r="E22" s="155">
        <f t="shared" si="1"/>
        <v>0</v>
      </c>
      <c r="F22" s="156">
        <f t="shared" si="0"/>
        <v>0</v>
      </c>
      <c r="G22" s="160">
        <v>0</v>
      </c>
      <c r="H22" s="185"/>
    </row>
    <row r="23" spans="1:8" ht="15" customHeight="1" x14ac:dyDescent="0.25">
      <c r="A23" s="162" t="s">
        <v>27</v>
      </c>
      <c r="B23" s="160">
        <v>0</v>
      </c>
      <c r="C23" s="160">
        <v>0</v>
      </c>
      <c r="D23" s="160">
        <v>0</v>
      </c>
      <c r="E23" s="155">
        <f t="shared" si="1"/>
        <v>0</v>
      </c>
      <c r="F23" s="156">
        <f t="shared" si="0"/>
        <v>0</v>
      </c>
      <c r="G23" s="160">
        <v>0</v>
      </c>
      <c r="H23" s="185"/>
    </row>
    <row r="24" spans="1:8" ht="15" customHeight="1" x14ac:dyDescent="0.25">
      <c r="A24" s="162" t="s">
        <v>28</v>
      </c>
      <c r="B24" s="160">
        <v>0</v>
      </c>
      <c r="C24" s="160">
        <v>0</v>
      </c>
      <c r="D24" s="160">
        <v>0</v>
      </c>
      <c r="E24" s="155">
        <f t="shared" si="1"/>
        <v>0</v>
      </c>
      <c r="F24" s="156">
        <f t="shared" si="0"/>
        <v>0</v>
      </c>
      <c r="G24" s="160">
        <v>0</v>
      </c>
      <c r="H24" s="185"/>
    </row>
    <row r="25" spans="1:8" ht="15" customHeight="1" x14ac:dyDescent="0.25">
      <c r="A25" s="162" t="s">
        <v>29</v>
      </c>
      <c r="B25" s="160">
        <v>0</v>
      </c>
      <c r="C25" s="160">
        <v>0</v>
      </c>
      <c r="D25" s="160">
        <v>0</v>
      </c>
      <c r="E25" s="155">
        <f t="shared" si="1"/>
        <v>0</v>
      </c>
      <c r="F25" s="156">
        <f t="shared" si="0"/>
        <v>0</v>
      </c>
      <c r="G25" s="160">
        <v>0</v>
      </c>
      <c r="H25" s="185"/>
    </row>
    <row r="26" spans="1:8" ht="15" customHeight="1" x14ac:dyDescent="0.25">
      <c r="A26" s="162" t="s">
        <v>30</v>
      </c>
      <c r="B26" s="160">
        <v>0</v>
      </c>
      <c r="C26" s="160">
        <v>0</v>
      </c>
      <c r="D26" s="160">
        <v>0</v>
      </c>
      <c r="E26" s="155">
        <f t="shared" si="1"/>
        <v>0</v>
      </c>
      <c r="F26" s="156">
        <f t="shared" si="0"/>
        <v>0</v>
      </c>
      <c r="G26" s="160">
        <v>0</v>
      </c>
      <c r="H26" s="185"/>
    </row>
    <row r="27" spans="1:8" ht="15" customHeight="1" x14ac:dyDescent="0.25">
      <c r="A27" s="162" t="s">
        <v>31</v>
      </c>
      <c r="B27" s="160">
        <v>0</v>
      </c>
      <c r="C27" s="160">
        <v>0</v>
      </c>
      <c r="D27" s="160">
        <v>0</v>
      </c>
      <c r="E27" s="155">
        <f t="shared" si="1"/>
        <v>0</v>
      </c>
      <c r="F27" s="156">
        <f t="shared" si="0"/>
        <v>0</v>
      </c>
      <c r="G27" s="160">
        <v>0</v>
      </c>
      <c r="H27" s="185"/>
    </row>
    <row r="28" spans="1:8" ht="15" customHeight="1" x14ac:dyDescent="0.25">
      <c r="A28" s="162" t="s">
        <v>87</v>
      </c>
      <c r="B28" s="160">
        <v>0</v>
      </c>
      <c r="C28" s="160">
        <v>0</v>
      </c>
      <c r="D28" s="160">
        <v>0</v>
      </c>
      <c r="E28" s="155">
        <f t="shared" si="1"/>
        <v>0</v>
      </c>
      <c r="F28" s="156">
        <f t="shared" si="0"/>
        <v>0</v>
      </c>
      <c r="G28" s="160">
        <v>0</v>
      </c>
      <c r="H28" s="185"/>
    </row>
    <row r="29" spans="1:8" ht="15" customHeight="1" x14ac:dyDescent="0.25">
      <c r="A29" s="162" t="s">
        <v>32</v>
      </c>
      <c r="B29" s="160">
        <v>0</v>
      </c>
      <c r="C29" s="160">
        <v>0</v>
      </c>
      <c r="D29" s="160">
        <v>0</v>
      </c>
      <c r="E29" s="155">
        <f t="shared" si="1"/>
        <v>0</v>
      </c>
      <c r="F29" s="156">
        <f t="shared" si="0"/>
        <v>0</v>
      </c>
      <c r="G29" s="160">
        <v>0</v>
      </c>
      <c r="H29" s="185"/>
    </row>
    <row r="30" spans="1:8" ht="15" customHeight="1" x14ac:dyDescent="0.25">
      <c r="A30" s="219" t="s">
        <v>201</v>
      </c>
      <c r="B30" s="160">
        <v>0</v>
      </c>
      <c r="C30" s="160">
        <v>0</v>
      </c>
      <c r="D30" s="160">
        <v>0</v>
      </c>
      <c r="E30" s="155">
        <f t="shared" si="1"/>
        <v>0</v>
      </c>
      <c r="F30" s="156">
        <f t="shared" si="0"/>
        <v>0</v>
      </c>
      <c r="G30" s="160">
        <v>0</v>
      </c>
      <c r="H30" s="185"/>
    </row>
    <row r="31" spans="1:8" ht="15" customHeight="1" x14ac:dyDescent="0.25">
      <c r="A31" s="162" t="s">
        <v>202</v>
      </c>
      <c r="B31" s="160">
        <v>0</v>
      </c>
      <c r="C31" s="160">
        <v>0</v>
      </c>
      <c r="D31" s="160">
        <v>0</v>
      </c>
      <c r="E31" s="155">
        <f t="shared" si="1"/>
        <v>0</v>
      </c>
      <c r="F31" s="156">
        <f t="shared" si="0"/>
        <v>0</v>
      </c>
      <c r="G31" s="160">
        <v>0</v>
      </c>
      <c r="H31" s="185"/>
    </row>
    <row r="32" spans="1:8" ht="15" customHeight="1" x14ac:dyDescent="0.25">
      <c r="A32" s="163" t="s">
        <v>33</v>
      </c>
      <c r="B32" s="160"/>
      <c r="C32" s="160"/>
      <c r="D32" s="160"/>
      <c r="E32" s="160"/>
      <c r="F32" s="152"/>
      <c r="G32" s="160"/>
      <c r="H32" s="185"/>
    </row>
    <row r="33" spans="1:13" ht="15" customHeight="1" x14ac:dyDescent="0.25">
      <c r="A33" s="159" t="s">
        <v>34</v>
      </c>
      <c r="B33" s="155">
        <v>0</v>
      </c>
      <c r="C33" s="155">
        <v>0</v>
      </c>
      <c r="D33" s="155">
        <v>0</v>
      </c>
      <c r="E33" s="155">
        <f>D33-C33</f>
        <v>0</v>
      </c>
      <c r="F33" s="156">
        <f>IF(ISBLANK(E33),"  ",IF(C33&gt;0,E33/C33,IF(E33&gt;0,1,0)))</f>
        <v>0</v>
      </c>
      <c r="G33" s="155">
        <v>0</v>
      </c>
      <c r="H33" s="185"/>
    </row>
    <row r="34" spans="1:13" ht="15" customHeight="1" x14ac:dyDescent="0.25">
      <c r="A34" s="164" t="s">
        <v>35</v>
      </c>
      <c r="B34" s="160"/>
      <c r="C34" s="160"/>
      <c r="D34" s="160"/>
      <c r="E34" s="160"/>
      <c r="F34" s="152"/>
      <c r="G34" s="160"/>
      <c r="H34" s="185"/>
    </row>
    <row r="35" spans="1:13" ht="15" customHeight="1" x14ac:dyDescent="0.25">
      <c r="A35" s="159" t="s">
        <v>34</v>
      </c>
      <c r="B35" s="151">
        <v>0</v>
      </c>
      <c r="C35" s="151">
        <v>0</v>
      </c>
      <c r="D35" s="151">
        <v>0</v>
      </c>
      <c r="E35" s="155">
        <f>D35-C35</f>
        <v>0</v>
      </c>
      <c r="F35" s="156">
        <f>IF(ISBLANK(E35),"  ",IF(C35&gt;0,E35/C35,IF(E35&gt;0,1,0)))</f>
        <v>0</v>
      </c>
      <c r="G35" s="151">
        <v>0</v>
      </c>
      <c r="H35" s="185"/>
    </row>
    <row r="36" spans="1:13" ht="15" customHeight="1" x14ac:dyDescent="0.25">
      <c r="A36" s="161" t="s">
        <v>36</v>
      </c>
      <c r="B36" s="160"/>
      <c r="C36" s="160"/>
      <c r="D36" s="160"/>
      <c r="E36" s="158"/>
      <c r="F36" s="156" t="str">
        <f>IF(ISBLANK(E36),"  ",IF(C36&gt;0,E36/C36,IF(E36&gt;0,1,0)))</f>
        <v xml:space="preserve">  </v>
      </c>
      <c r="G36" s="160"/>
      <c r="H36" s="185"/>
    </row>
    <row r="37" spans="1:13" s="124" customFormat="1" ht="15" customHeight="1" x14ac:dyDescent="0.25">
      <c r="A37" s="165" t="s">
        <v>38</v>
      </c>
      <c r="B37" s="166">
        <f>SUM(B8,B9,B10,B33,B35)</f>
        <v>27144365.109999999</v>
      </c>
      <c r="C37" s="166">
        <f t="shared" ref="C37:D37" si="2">SUM(C8,C9,C10,C33,C35)</f>
        <v>27547758</v>
      </c>
      <c r="D37" s="166">
        <f t="shared" si="2"/>
        <v>18240668</v>
      </c>
      <c r="E37" s="166">
        <f>D37-C37</f>
        <v>-9307090</v>
      </c>
      <c r="F37" s="167">
        <f>IF(ISBLANK(E37),"  ",IF(C37&gt;0,E37/C37,IF(E37&gt;0,1,0)))</f>
        <v>-0.33785290258466771</v>
      </c>
      <c r="G37" s="166">
        <f>SUM(G8,G9,G10,G33,G35)</f>
        <v>18240668</v>
      </c>
      <c r="H37" s="215"/>
    </row>
    <row r="38" spans="1:13" ht="15" customHeight="1" x14ac:dyDescent="0.25">
      <c r="A38" s="163" t="s">
        <v>39</v>
      </c>
      <c r="B38" s="160"/>
      <c r="C38" s="160"/>
      <c r="D38" s="160"/>
      <c r="E38" s="160"/>
      <c r="F38" s="152"/>
      <c r="G38" s="160"/>
      <c r="H38" s="185"/>
    </row>
    <row r="39" spans="1:13" ht="15" customHeight="1" x14ac:dyDescent="0.25">
      <c r="A39" s="168" t="s">
        <v>40</v>
      </c>
      <c r="B39" s="155">
        <v>0</v>
      </c>
      <c r="C39" s="155">
        <v>0</v>
      </c>
      <c r="D39" s="155">
        <v>0</v>
      </c>
      <c r="E39" s="155">
        <f>D39-C39</f>
        <v>0</v>
      </c>
      <c r="F39" s="156">
        <f t="shared" ref="F39:F44" si="3">IF(ISBLANK(E39),"  ",IF(C39&gt;0,E39/C39,IF(E39&gt;0,1,0)))</f>
        <v>0</v>
      </c>
      <c r="G39" s="155">
        <v>0</v>
      </c>
      <c r="H39" s="185"/>
    </row>
    <row r="40" spans="1:13" ht="15" customHeight="1" x14ac:dyDescent="0.25">
      <c r="A40" s="169" t="s">
        <v>41</v>
      </c>
      <c r="B40" s="155">
        <v>0</v>
      </c>
      <c r="C40" s="155">
        <v>0</v>
      </c>
      <c r="D40" s="155">
        <v>0</v>
      </c>
      <c r="E40" s="155">
        <f t="shared" ref="E40:E44" si="4">D40-C40</f>
        <v>0</v>
      </c>
      <c r="F40" s="156">
        <f t="shared" si="3"/>
        <v>0</v>
      </c>
      <c r="G40" s="155">
        <v>0</v>
      </c>
      <c r="H40" s="185"/>
    </row>
    <row r="41" spans="1:13" ht="15" customHeight="1" x14ac:dyDescent="0.25">
      <c r="A41" s="169" t="s">
        <v>42</v>
      </c>
      <c r="B41" s="222">
        <v>8516905</v>
      </c>
      <c r="C41" s="155">
        <v>0</v>
      </c>
      <c r="D41" s="155">
        <v>0</v>
      </c>
      <c r="E41" s="155">
        <f t="shared" si="4"/>
        <v>0</v>
      </c>
      <c r="F41" s="156">
        <f t="shared" si="3"/>
        <v>0</v>
      </c>
      <c r="G41" s="155">
        <v>0</v>
      </c>
      <c r="H41" s="185"/>
    </row>
    <row r="42" spans="1:13" ht="15" customHeight="1" x14ac:dyDescent="0.25">
      <c r="A42" s="169" t="s">
        <v>43</v>
      </c>
      <c r="B42" s="155">
        <v>0</v>
      </c>
      <c r="C42" s="155">
        <v>0</v>
      </c>
      <c r="D42" s="155">
        <v>0</v>
      </c>
      <c r="E42" s="155">
        <f t="shared" si="4"/>
        <v>0</v>
      </c>
      <c r="F42" s="156">
        <f t="shared" si="3"/>
        <v>0</v>
      </c>
      <c r="G42" s="155">
        <v>0</v>
      </c>
      <c r="H42" s="185"/>
    </row>
    <row r="43" spans="1:13" ht="15" customHeight="1" x14ac:dyDescent="0.25">
      <c r="A43" s="170" t="s">
        <v>44</v>
      </c>
      <c r="B43" s="155">
        <v>0</v>
      </c>
      <c r="C43" s="155">
        <v>0</v>
      </c>
      <c r="D43" s="155">
        <v>0</v>
      </c>
      <c r="E43" s="155">
        <f t="shared" si="4"/>
        <v>0</v>
      </c>
      <c r="F43" s="156">
        <f t="shared" si="3"/>
        <v>0</v>
      </c>
      <c r="G43" s="155">
        <v>0</v>
      </c>
      <c r="H43" s="185"/>
    </row>
    <row r="44" spans="1:13" s="124" customFormat="1" ht="15" customHeight="1" x14ac:dyDescent="0.25">
      <c r="A44" s="163" t="s">
        <v>45</v>
      </c>
      <c r="B44" s="171">
        <v>8516905</v>
      </c>
      <c r="C44" s="171">
        <v>0</v>
      </c>
      <c r="D44" s="171">
        <v>0</v>
      </c>
      <c r="E44" s="173">
        <f t="shared" si="4"/>
        <v>0</v>
      </c>
      <c r="F44" s="167">
        <f t="shared" si="3"/>
        <v>0</v>
      </c>
      <c r="G44" s="171">
        <v>0</v>
      </c>
      <c r="H44" s="215"/>
      <c r="M44" s="124" t="s">
        <v>46</v>
      </c>
    </row>
    <row r="45" spans="1:13" ht="15" customHeight="1" x14ac:dyDescent="0.25">
      <c r="A45" s="161" t="s">
        <v>46</v>
      </c>
      <c r="B45" s="160"/>
      <c r="C45" s="160"/>
      <c r="D45" s="160"/>
      <c r="E45" s="160"/>
      <c r="F45" s="152"/>
      <c r="G45" s="160"/>
      <c r="H45" s="185"/>
    </row>
    <row r="46" spans="1:13" s="124" customFormat="1" ht="15" customHeight="1" x14ac:dyDescent="0.25">
      <c r="A46" s="172" t="s">
        <v>47</v>
      </c>
      <c r="B46" s="173">
        <v>0</v>
      </c>
      <c r="C46" s="173">
        <v>0</v>
      </c>
      <c r="D46" s="173">
        <v>0</v>
      </c>
      <c r="E46" s="173">
        <f>D46-C46</f>
        <v>0</v>
      </c>
      <c r="F46" s="167">
        <f>IF(ISBLANK(E46),"  ",IF(C46&gt;0,E46/C46,IF(E46&gt;0,1,0)))</f>
        <v>0</v>
      </c>
      <c r="G46" s="173">
        <v>0</v>
      </c>
      <c r="H46" s="215"/>
    </row>
    <row r="47" spans="1:13" ht="15" customHeight="1" x14ac:dyDescent="0.25">
      <c r="A47" s="161" t="s">
        <v>46</v>
      </c>
      <c r="B47" s="166"/>
      <c r="C47" s="166"/>
      <c r="D47" s="166"/>
      <c r="E47" s="160"/>
      <c r="F47" s="152"/>
      <c r="G47" s="166"/>
      <c r="H47" s="215"/>
    </row>
    <row r="48" spans="1:13" ht="15" customHeight="1" x14ac:dyDescent="0.25">
      <c r="A48" s="172" t="s">
        <v>200</v>
      </c>
      <c r="B48" s="173">
        <v>8516905</v>
      </c>
      <c r="C48" s="173">
        <v>8516905</v>
      </c>
      <c r="D48" s="173">
        <v>0</v>
      </c>
      <c r="E48" s="173">
        <f>D48-C48</f>
        <v>-8516905</v>
      </c>
      <c r="F48" s="167">
        <f>IF(ISBLANK(E48)," ",IF(C48&gt;0,E48/C48,IF(E48&gt;0,1,0)))</f>
        <v>-1</v>
      </c>
      <c r="G48" s="173">
        <f>C48</f>
        <v>8516905</v>
      </c>
      <c r="H48" s="215"/>
    </row>
    <row r="49" spans="1:8" ht="15" customHeight="1" x14ac:dyDescent="0.25">
      <c r="A49" s="159"/>
      <c r="B49" s="151"/>
      <c r="C49" s="151"/>
      <c r="D49" s="151"/>
      <c r="E49" s="151"/>
      <c r="F49" s="153"/>
      <c r="G49" s="151"/>
      <c r="H49" s="185"/>
    </row>
    <row r="50" spans="1:8" s="124" customFormat="1" ht="15" customHeight="1" x14ac:dyDescent="0.25">
      <c r="A50" s="172" t="s">
        <v>48</v>
      </c>
      <c r="B50" s="173">
        <v>0</v>
      </c>
      <c r="C50" s="173">
        <v>0</v>
      </c>
      <c r="D50" s="173">
        <v>0</v>
      </c>
      <c r="E50" s="173">
        <f>D50-C50</f>
        <v>0</v>
      </c>
      <c r="F50" s="167">
        <f>IF(ISBLANK(E50),"  ",IF(C50&gt;0,E50/C50,IF(E50&gt;0,1,0)))</f>
        <v>0</v>
      </c>
      <c r="G50" s="173">
        <v>0</v>
      </c>
      <c r="H50" s="215"/>
    </row>
    <row r="51" spans="1:8" ht="15" customHeight="1" x14ac:dyDescent="0.25">
      <c r="A51" s="161" t="s">
        <v>46</v>
      </c>
      <c r="B51" s="160"/>
      <c r="C51" s="160"/>
      <c r="D51" s="160"/>
      <c r="E51" s="160"/>
      <c r="F51" s="152"/>
      <c r="G51" s="160"/>
      <c r="H51" s="185"/>
    </row>
    <row r="52" spans="1:8" s="124" customFormat="1" ht="15" customHeight="1" x14ac:dyDescent="0.25">
      <c r="A52" s="163" t="s">
        <v>49</v>
      </c>
      <c r="B52" s="171">
        <v>61133764.439999998</v>
      </c>
      <c r="C52" s="171">
        <v>69746142</v>
      </c>
      <c r="D52" s="171">
        <v>69746142</v>
      </c>
      <c r="E52" s="171">
        <f>D52-C52</f>
        <v>0</v>
      </c>
      <c r="F52" s="167">
        <f>IF(ISBLANK(E52),"  ",IF(C52&gt;0,E52/C52,IF(E52&gt;0,1,0)))</f>
        <v>0</v>
      </c>
      <c r="G52" s="171">
        <v>69746142</v>
      </c>
      <c r="H52" s="215"/>
    </row>
    <row r="53" spans="1:8" ht="15" customHeight="1" x14ac:dyDescent="0.25">
      <c r="A53" s="161" t="s">
        <v>46</v>
      </c>
      <c r="B53" s="160"/>
      <c r="C53" s="160"/>
      <c r="D53" s="160"/>
      <c r="E53" s="160"/>
      <c r="F53" s="152"/>
      <c r="G53" s="160"/>
      <c r="H53" s="185"/>
    </row>
    <row r="54" spans="1:8" s="124" customFormat="1" ht="15" customHeight="1" x14ac:dyDescent="0.25">
      <c r="A54" s="174" t="s">
        <v>50</v>
      </c>
      <c r="B54" s="175">
        <v>0</v>
      </c>
      <c r="C54" s="175">
        <v>0</v>
      </c>
      <c r="D54" s="175">
        <v>0</v>
      </c>
      <c r="E54" s="175">
        <f>D54-C54</f>
        <v>0</v>
      </c>
      <c r="F54" s="167">
        <f>IF(ISBLANK(E54),"  ",IF(C54&gt;0,E54/C54,IF(E54&gt;0,1,0)))</f>
        <v>0</v>
      </c>
      <c r="G54" s="175">
        <v>0</v>
      </c>
      <c r="H54" s="215"/>
    </row>
    <row r="55" spans="1:8" ht="15" customHeight="1" x14ac:dyDescent="0.25">
      <c r="A55" s="163"/>
      <c r="B55" s="151"/>
      <c r="C55" s="151"/>
      <c r="D55" s="151"/>
      <c r="E55" s="151"/>
      <c r="F55" s="176"/>
      <c r="G55" s="151"/>
      <c r="H55" s="185"/>
    </row>
    <row r="56" spans="1:8" s="124" customFormat="1" ht="15" customHeight="1" x14ac:dyDescent="0.25">
      <c r="A56" s="163" t="s">
        <v>51</v>
      </c>
      <c r="B56" s="171">
        <v>0</v>
      </c>
      <c r="C56" s="171">
        <v>0</v>
      </c>
      <c r="D56" s="171">
        <v>0</v>
      </c>
      <c r="E56" s="175">
        <f>D56-C56</f>
        <v>0</v>
      </c>
      <c r="F56" s="167">
        <f>IF(ISBLANK(E56),"  ",IF(C56&gt;0,E56/C56,IF(E56&gt;0,1,0)))</f>
        <v>0</v>
      </c>
      <c r="G56" s="171">
        <v>0</v>
      </c>
      <c r="H56" s="215"/>
    </row>
    <row r="57" spans="1:8" ht="15" customHeight="1" x14ac:dyDescent="0.25">
      <c r="A57" s="161"/>
      <c r="B57" s="160"/>
      <c r="C57" s="160"/>
      <c r="D57" s="160"/>
      <c r="E57" s="160"/>
      <c r="F57" s="152"/>
      <c r="G57" s="160"/>
      <c r="H57" s="185"/>
    </row>
    <row r="58" spans="1:8" s="124" customFormat="1" ht="15" customHeight="1" x14ac:dyDescent="0.25">
      <c r="A58" s="177" t="s">
        <v>52</v>
      </c>
      <c r="B58" s="171">
        <v>88278129.549999997</v>
      </c>
      <c r="C58" s="171">
        <v>105810805</v>
      </c>
      <c r="D58" s="171">
        <v>87986810</v>
      </c>
      <c r="E58" s="171">
        <f>D58-C58</f>
        <v>-17823995</v>
      </c>
      <c r="F58" s="167">
        <f>IF(ISBLANK(E58),"  ",IF(C58&gt;0,E58/C58,IF(E58&gt;0,1,0)))</f>
        <v>-0.16845155842071138</v>
      </c>
      <c r="G58" s="171">
        <f>G56+G54+G52+G50+G48+G46+G44+G37</f>
        <v>96503715</v>
      </c>
      <c r="H58" s="215"/>
    </row>
    <row r="59" spans="1:8" ht="15" customHeight="1" x14ac:dyDescent="0.25">
      <c r="A59" s="178"/>
      <c r="B59" s="160"/>
      <c r="C59" s="160"/>
      <c r="D59" s="160"/>
      <c r="E59" s="160"/>
      <c r="F59" s="152" t="s">
        <v>46</v>
      </c>
      <c r="G59" s="160"/>
      <c r="H59" s="185"/>
    </row>
    <row r="60" spans="1:8" ht="15" customHeight="1" x14ac:dyDescent="0.25">
      <c r="A60" s="179"/>
      <c r="B60" s="151"/>
      <c r="C60" s="151"/>
      <c r="D60" s="151"/>
      <c r="E60" s="151"/>
      <c r="F60" s="153" t="s">
        <v>46</v>
      </c>
      <c r="G60" s="151"/>
      <c r="H60" s="185"/>
    </row>
    <row r="61" spans="1:8" ht="15" customHeight="1" x14ac:dyDescent="0.25">
      <c r="A61" s="177" t="s">
        <v>53</v>
      </c>
      <c r="B61" s="151"/>
      <c r="C61" s="151"/>
      <c r="D61" s="151"/>
      <c r="E61" s="151"/>
      <c r="F61" s="153"/>
      <c r="G61" s="151"/>
      <c r="H61" s="185"/>
    </row>
    <row r="62" spans="1:8" ht="15" customHeight="1" x14ac:dyDescent="0.25">
      <c r="A62" s="159" t="s">
        <v>54</v>
      </c>
      <c r="B62" s="151">
        <v>30282662.729999997</v>
      </c>
      <c r="C62" s="151">
        <v>41179547</v>
      </c>
      <c r="D62" s="151">
        <v>23953318.860000003</v>
      </c>
      <c r="E62" s="151">
        <f>D62-C62</f>
        <v>-17226228.139999997</v>
      </c>
      <c r="F62" s="156">
        <f t="shared" ref="F62:F75" si="5">IF(ISBLANK(E62),"  ",IF(C62&gt;0,E62/C62,IF(E62&gt;0,1,0)))</f>
        <v>-0.41832000094610067</v>
      </c>
      <c r="G62" s="151">
        <v>31253318.860000003</v>
      </c>
      <c r="H62" s="185"/>
    </row>
    <row r="63" spans="1:8" ht="15" customHeight="1" x14ac:dyDescent="0.25">
      <c r="A63" s="161" t="s">
        <v>55</v>
      </c>
      <c r="B63" s="160">
        <v>6437973.3499999987</v>
      </c>
      <c r="C63" s="160">
        <v>6504635</v>
      </c>
      <c r="D63" s="160">
        <v>7218306.1500000013</v>
      </c>
      <c r="E63" s="160">
        <f>D63-C63</f>
        <v>713671.1500000013</v>
      </c>
      <c r="F63" s="156">
        <f t="shared" si="5"/>
        <v>0.1097173246461948</v>
      </c>
      <c r="G63" s="160">
        <v>7218306.1500000013</v>
      </c>
      <c r="H63" s="185"/>
    </row>
    <row r="64" spans="1:8" ht="15" customHeight="1" x14ac:dyDescent="0.25">
      <c r="A64" s="161" t="s">
        <v>56</v>
      </c>
      <c r="B64" s="160">
        <v>660</v>
      </c>
      <c r="C64" s="160">
        <v>75099</v>
      </c>
      <c r="D64" s="160">
        <v>748.29600000000005</v>
      </c>
      <c r="E64" s="160">
        <f t="shared" ref="E64:E75" si="6">D64-C64</f>
        <v>-74350.703999999998</v>
      </c>
      <c r="F64" s="156">
        <f t="shared" si="5"/>
        <v>-0.99003587264810444</v>
      </c>
      <c r="G64" s="160">
        <v>748.29600000000005</v>
      </c>
      <c r="H64" s="185"/>
    </row>
    <row r="65" spans="1:8" ht="15" customHeight="1" x14ac:dyDescent="0.25">
      <c r="A65" s="161" t="s">
        <v>57</v>
      </c>
      <c r="B65" s="160">
        <v>10214596.119999999</v>
      </c>
      <c r="C65" s="160">
        <v>12537113</v>
      </c>
      <c r="D65" s="160">
        <v>11452804.320000002</v>
      </c>
      <c r="E65" s="160">
        <f t="shared" si="6"/>
        <v>-1084308.6799999978</v>
      </c>
      <c r="F65" s="156">
        <f t="shared" si="5"/>
        <v>-8.6487908340620187E-2</v>
      </c>
      <c r="G65" s="160">
        <v>11452804.320000002</v>
      </c>
      <c r="H65" s="185"/>
    </row>
    <row r="66" spans="1:8" ht="15" customHeight="1" x14ac:dyDescent="0.25">
      <c r="A66" s="161" t="s">
        <v>58</v>
      </c>
      <c r="B66" s="160">
        <v>6782580.1000000006</v>
      </c>
      <c r="C66" s="160">
        <v>7743184</v>
      </c>
      <c r="D66" s="160">
        <v>7551613.4300000006</v>
      </c>
      <c r="E66" s="160">
        <f t="shared" si="6"/>
        <v>-191570.56999999937</v>
      </c>
      <c r="F66" s="156">
        <f t="shared" si="5"/>
        <v>-2.4740542133571845E-2</v>
      </c>
      <c r="G66" s="160">
        <v>7551613.4300000006</v>
      </c>
      <c r="H66" s="185"/>
    </row>
    <row r="67" spans="1:8" ht="15" customHeight="1" x14ac:dyDescent="0.25">
      <c r="A67" s="161" t="s">
        <v>59</v>
      </c>
      <c r="B67" s="160">
        <v>16387644.439999999</v>
      </c>
      <c r="C67" s="160">
        <v>20591125</v>
      </c>
      <c r="D67" s="160">
        <v>18374431.229999997</v>
      </c>
      <c r="E67" s="160">
        <f t="shared" si="6"/>
        <v>-2216693.7700000033</v>
      </c>
      <c r="F67" s="156">
        <f t="shared" si="5"/>
        <v>-0.10765287326457409</v>
      </c>
      <c r="G67" s="160">
        <v>18374431.229999997</v>
      </c>
      <c r="H67" s="185"/>
    </row>
    <row r="68" spans="1:8" ht="15" customHeight="1" x14ac:dyDescent="0.25">
      <c r="A68" s="161" t="s">
        <v>60</v>
      </c>
      <c r="B68" s="160">
        <v>6523427.5499999998</v>
      </c>
      <c r="C68" s="160">
        <v>6361899</v>
      </c>
      <c r="D68" s="160">
        <v>7314671.9100000001</v>
      </c>
      <c r="E68" s="160">
        <f t="shared" si="6"/>
        <v>952772.91000000015</v>
      </c>
      <c r="F68" s="156">
        <f t="shared" si="5"/>
        <v>0.14976234454523724</v>
      </c>
      <c r="G68" s="160">
        <v>7314671.9100000001</v>
      </c>
      <c r="H68" s="185"/>
    </row>
    <row r="69" spans="1:8" ht="15" customHeight="1" x14ac:dyDescent="0.25">
      <c r="A69" s="161" t="s">
        <v>61</v>
      </c>
      <c r="B69" s="160">
        <v>9487135.3500000015</v>
      </c>
      <c r="C69" s="160">
        <v>9539545</v>
      </c>
      <c r="D69" s="160">
        <v>9420915.4800000004</v>
      </c>
      <c r="E69" s="160">
        <f t="shared" si="6"/>
        <v>-118629.51999999955</v>
      </c>
      <c r="F69" s="156">
        <f t="shared" si="5"/>
        <v>-1.2435553268001729E-2</v>
      </c>
      <c r="G69" s="160">
        <v>10637820.48</v>
      </c>
      <c r="H69" s="185"/>
    </row>
    <row r="70" spans="1:8" s="124" customFormat="1" ht="15" customHeight="1" x14ac:dyDescent="0.25">
      <c r="A70" s="180" t="s">
        <v>62</v>
      </c>
      <c r="B70" s="166">
        <v>86116679.639999986</v>
      </c>
      <c r="C70" s="166">
        <v>104532147</v>
      </c>
      <c r="D70" s="166">
        <v>85286809.676000014</v>
      </c>
      <c r="E70" s="160">
        <f t="shared" si="6"/>
        <v>-19245337.323999986</v>
      </c>
      <c r="F70" s="167">
        <f t="shared" si="5"/>
        <v>-0.18410927046203296</v>
      </c>
      <c r="G70" s="166">
        <v>93803714.675999999</v>
      </c>
      <c r="H70" s="215"/>
    </row>
    <row r="71" spans="1:8" ht="15" customHeight="1" x14ac:dyDescent="0.25">
      <c r="A71" s="161" t="s">
        <v>63</v>
      </c>
      <c r="B71" s="160">
        <v>0</v>
      </c>
      <c r="C71" s="160">
        <v>0</v>
      </c>
      <c r="D71" s="160">
        <v>0</v>
      </c>
      <c r="E71" s="160">
        <f t="shared" si="6"/>
        <v>0</v>
      </c>
      <c r="F71" s="156">
        <f t="shared" si="5"/>
        <v>0</v>
      </c>
      <c r="G71" s="160">
        <v>0</v>
      </c>
      <c r="H71" s="185"/>
    </row>
    <row r="72" spans="1:8" ht="15" customHeight="1" x14ac:dyDescent="0.25">
      <c r="A72" s="161" t="s">
        <v>64</v>
      </c>
      <c r="B72" s="160">
        <v>-138550</v>
      </c>
      <c r="C72" s="160">
        <v>0</v>
      </c>
      <c r="D72" s="160">
        <v>0</v>
      </c>
      <c r="E72" s="160">
        <f t="shared" si="6"/>
        <v>0</v>
      </c>
      <c r="F72" s="156">
        <f t="shared" si="5"/>
        <v>0</v>
      </c>
      <c r="G72" s="160">
        <v>0</v>
      </c>
      <c r="H72" s="185"/>
    </row>
    <row r="73" spans="1:8" ht="15" customHeight="1" x14ac:dyDescent="0.25">
      <c r="A73" s="161" t="s">
        <v>65</v>
      </c>
      <c r="B73" s="160">
        <v>2300000</v>
      </c>
      <c r="C73" s="160">
        <v>1278658</v>
      </c>
      <c r="D73" s="160">
        <v>2700000</v>
      </c>
      <c r="E73" s="160">
        <f t="shared" si="6"/>
        <v>1421342</v>
      </c>
      <c r="F73" s="156">
        <f t="shared" si="5"/>
        <v>1.1115888689547948</v>
      </c>
      <c r="G73" s="160">
        <v>2700000</v>
      </c>
      <c r="H73" s="185"/>
    </row>
    <row r="74" spans="1:8" ht="15" customHeight="1" x14ac:dyDescent="0.25">
      <c r="A74" s="161" t="s">
        <v>66</v>
      </c>
      <c r="B74" s="160">
        <v>0</v>
      </c>
      <c r="C74" s="160">
        <v>0</v>
      </c>
      <c r="D74" s="160">
        <v>0</v>
      </c>
      <c r="E74" s="160">
        <f t="shared" si="6"/>
        <v>0</v>
      </c>
      <c r="F74" s="156">
        <f t="shared" si="5"/>
        <v>0</v>
      </c>
      <c r="G74" s="160">
        <v>0</v>
      </c>
      <c r="H74" s="185"/>
    </row>
    <row r="75" spans="1:8" s="124" customFormat="1" ht="15" customHeight="1" x14ac:dyDescent="0.25">
      <c r="A75" s="181" t="s">
        <v>67</v>
      </c>
      <c r="B75" s="182">
        <v>88278129.639999986</v>
      </c>
      <c r="C75" s="182">
        <v>105810805</v>
      </c>
      <c r="D75" s="182">
        <v>87986809.676000014</v>
      </c>
      <c r="E75" s="160">
        <f t="shared" si="6"/>
        <v>-17823995.323999986</v>
      </c>
      <c r="F75" s="167">
        <f t="shared" si="5"/>
        <v>-0.16845156148278037</v>
      </c>
      <c r="G75" s="182">
        <v>96503714.675999999</v>
      </c>
      <c r="H75" s="215"/>
    </row>
    <row r="76" spans="1:8" ht="15" customHeight="1" x14ac:dyDescent="0.25">
      <c r="A76" s="179"/>
      <c r="B76" s="151"/>
      <c r="C76" s="151"/>
      <c r="D76" s="151"/>
      <c r="E76" s="151"/>
      <c r="F76" s="153"/>
      <c r="G76" s="151"/>
      <c r="H76" s="185"/>
    </row>
    <row r="77" spans="1:8" ht="15" customHeight="1" x14ac:dyDescent="0.25">
      <c r="A77" s="177" t="s">
        <v>68</v>
      </c>
      <c r="B77" s="151"/>
      <c r="C77" s="151"/>
      <c r="D77" s="151"/>
      <c r="E77" s="151"/>
      <c r="F77" s="153"/>
      <c r="G77" s="151"/>
      <c r="H77" s="185"/>
    </row>
    <row r="78" spans="1:8" ht="15" customHeight="1" x14ac:dyDescent="0.25">
      <c r="A78" s="159" t="s">
        <v>69</v>
      </c>
      <c r="B78" s="155">
        <v>39938356.599999994</v>
      </c>
      <c r="C78" s="155">
        <v>46612917</v>
      </c>
      <c r="D78" s="155">
        <v>37584914.930000007</v>
      </c>
      <c r="E78" s="151">
        <f>D78-C78</f>
        <v>-9028002.0699999928</v>
      </c>
      <c r="F78" s="156">
        <f t="shared" ref="F78:F96" si="7">IF(ISBLANK(E78),"  ",IF(C78&gt;0,E78/C78,IF(E78&gt;0,1,0)))</f>
        <v>-0.19368026399206023</v>
      </c>
      <c r="G78" s="155">
        <v>42836713.930000007</v>
      </c>
      <c r="H78" s="185"/>
    </row>
    <row r="79" spans="1:8" ht="15" customHeight="1" x14ac:dyDescent="0.25">
      <c r="A79" s="161" t="s">
        <v>70</v>
      </c>
      <c r="B79" s="158">
        <v>2617362.7200000002</v>
      </c>
      <c r="C79" s="158">
        <v>3165511</v>
      </c>
      <c r="D79" s="158">
        <v>2934604.2960000001</v>
      </c>
      <c r="E79" s="160">
        <f>D79-C79</f>
        <v>-230906.70399999991</v>
      </c>
      <c r="F79" s="156">
        <f t="shared" si="7"/>
        <v>-7.2944527439645579E-2</v>
      </c>
      <c r="G79" s="158">
        <v>2934604.2960000001</v>
      </c>
      <c r="H79" s="185"/>
    </row>
    <row r="80" spans="1:8" ht="15" customHeight="1" x14ac:dyDescent="0.25">
      <c r="A80" s="161" t="s">
        <v>71</v>
      </c>
      <c r="B80" s="151">
        <v>16649716.640000001</v>
      </c>
      <c r="C80" s="151">
        <v>19283229</v>
      </c>
      <c r="D80" s="151">
        <v>15862018.069999998</v>
      </c>
      <c r="E80" s="160">
        <f t="shared" ref="E80:E95" si="8">D80-C80</f>
        <v>-3421210.9300000016</v>
      </c>
      <c r="F80" s="156">
        <f t="shared" si="7"/>
        <v>-0.17741898568958558</v>
      </c>
      <c r="G80" s="151">
        <v>17910219.07</v>
      </c>
      <c r="H80" s="185"/>
    </row>
    <row r="81" spans="1:8" s="124" customFormat="1" ht="15" customHeight="1" x14ac:dyDescent="0.25">
      <c r="A81" s="180" t="s">
        <v>72</v>
      </c>
      <c r="B81" s="182">
        <v>59205435.959999993</v>
      </c>
      <c r="C81" s="182">
        <v>69061657</v>
      </c>
      <c r="D81" s="182">
        <v>56381537.296000011</v>
      </c>
      <c r="E81" s="166">
        <f t="shared" si="8"/>
        <v>-12680119.703999989</v>
      </c>
      <c r="F81" s="167">
        <f t="shared" si="7"/>
        <v>-0.1836057843790222</v>
      </c>
      <c r="G81" s="182">
        <v>63681537.296000011</v>
      </c>
      <c r="H81" s="215"/>
    </row>
    <row r="82" spans="1:8" ht="15" customHeight="1" x14ac:dyDescent="0.25">
      <c r="A82" s="161" t="s">
        <v>73</v>
      </c>
      <c r="B82" s="158">
        <v>209884.00000000003</v>
      </c>
      <c r="C82" s="158">
        <v>500255</v>
      </c>
      <c r="D82" s="158">
        <v>235341.4</v>
      </c>
      <c r="E82" s="160">
        <f t="shared" si="8"/>
        <v>-264913.59999999998</v>
      </c>
      <c r="F82" s="156">
        <f t="shared" si="7"/>
        <v>-0.52955712586580839</v>
      </c>
      <c r="G82" s="158">
        <v>235341.4</v>
      </c>
      <c r="H82" s="185"/>
    </row>
    <row r="83" spans="1:8" ht="15" customHeight="1" x14ac:dyDescent="0.25">
      <c r="A83" s="161" t="s">
        <v>74</v>
      </c>
      <c r="B83" s="155">
        <v>11342735.26</v>
      </c>
      <c r="C83" s="155">
        <v>12658726</v>
      </c>
      <c r="D83" s="155">
        <v>11501260.939999999</v>
      </c>
      <c r="E83" s="160">
        <f t="shared" si="8"/>
        <v>-1157465.0600000005</v>
      </c>
      <c r="F83" s="156">
        <f t="shared" si="7"/>
        <v>-9.1436141362092882E-2</v>
      </c>
      <c r="G83" s="155">
        <v>12718165.939999999</v>
      </c>
      <c r="H83" s="185"/>
    </row>
    <row r="84" spans="1:8" ht="15" customHeight="1" x14ac:dyDescent="0.25">
      <c r="A84" s="161" t="s">
        <v>75</v>
      </c>
      <c r="B84" s="151">
        <v>2516204.67</v>
      </c>
      <c r="C84" s="151">
        <v>4036785</v>
      </c>
      <c r="D84" s="151">
        <v>2775167.72</v>
      </c>
      <c r="E84" s="160">
        <f t="shared" si="8"/>
        <v>-1261617.2799999998</v>
      </c>
      <c r="F84" s="156">
        <f t="shared" si="7"/>
        <v>-0.31253021401932474</v>
      </c>
      <c r="G84" s="151">
        <v>2775167.72</v>
      </c>
      <c r="H84" s="185"/>
    </row>
    <row r="85" spans="1:8" s="124" customFormat="1" ht="15" customHeight="1" x14ac:dyDescent="0.25">
      <c r="A85" s="164" t="s">
        <v>76</v>
      </c>
      <c r="B85" s="182">
        <v>14068823.93</v>
      </c>
      <c r="C85" s="182">
        <v>17195766</v>
      </c>
      <c r="D85" s="182">
        <v>14511770.060000001</v>
      </c>
      <c r="E85" s="166">
        <f t="shared" si="8"/>
        <v>-2683995.9399999995</v>
      </c>
      <c r="F85" s="167">
        <f t="shared" si="7"/>
        <v>-0.15608469782619741</v>
      </c>
      <c r="G85" s="182">
        <v>15728675.060000001</v>
      </c>
      <c r="H85" s="215"/>
    </row>
    <row r="86" spans="1:8" ht="15" customHeight="1" x14ac:dyDescent="0.25">
      <c r="A86" s="161" t="s">
        <v>77</v>
      </c>
      <c r="B86" s="151">
        <v>1532394.6</v>
      </c>
      <c r="C86" s="151">
        <v>2149636</v>
      </c>
      <c r="D86" s="151">
        <v>1713145.46</v>
      </c>
      <c r="E86" s="160">
        <f t="shared" si="8"/>
        <v>-436490.54000000004</v>
      </c>
      <c r="F86" s="156">
        <f t="shared" si="7"/>
        <v>-0.20305323319855084</v>
      </c>
      <c r="G86" s="151">
        <v>1713145.46</v>
      </c>
      <c r="H86" s="185"/>
    </row>
    <row r="87" spans="1:8" ht="15" customHeight="1" x14ac:dyDescent="0.25">
      <c r="A87" s="161" t="s">
        <v>78</v>
      </c>
      <c r="B87" s="160">
        <v>13016764.449999999</v>
      </c>
      <c r="C87" s="160">
        <v>15565863</v>
      </c>
      <c r="D87" s="160">
        <v>14715137.970000001</v>
      </c>
      <c r="E87" s="160">
        <f t="shared" si="8"/>
        <v>-850725.02999999933</v>
      </c>
      <c r="F87" s="156">
        <f t="shared" si="7"/>
        <v>-5.4653251798502875E-2</v>
      </c>
      <c r="G87" s="160">
        <v>14715137.970000001</v>
      </c>
      <c r="H87" s="185"/>
    </row>
    <row r="88" spans="1:8" ht="15" customHeight="1" x14ac:dyDescent="0.25">
      <c r="A88" s="161" t="s">
        <v>79</v>
      </c>
      <c r="B88" s="160">
        <v>0</v>
      </c>
      <c r="C88" s="160">
        <v>0</v>
      </c>
      <c r="D88" s="160">
        <v>0</v>
      </c>
      <c r="E88" s="160">
        <f t="shared" si="8"/>
        <v>0</v>
      </c>
      <c r="F88" s="156">
        <f t="shared" si="7"/>
        <v>0</v>
      </c>
      <c r="G88" s="160">
        <v>0</v>
      </c>
      <c r="H88" s="185"/>
    </row>
    <row r="89" spans="1:8" ht="15" customHeight="1" x14ac:dyDescent="0.25">
      <c r="A89" s="161" t="s">
        <v>80</v>
      </c>
      <c r="B89" s="160">
        <v>-138550</v>
      </c>
      <c r="C89" s="160">
        <v>0</v>
      </c>
      <c r="D89" s="160">
        <v>0</v>
      </c>
      <c r="E89" s="160">
        <f t="shared" si="8"/>
        <v>0</v>
      </c>
      <c r="F89" s="156">
        <f t="shared" si="7"/>
        <v>0</v>
      </c>
      <c r="G89" s="160">
        <v>0</v>
      </c>
      <c r="H89" s="185"/>
    </row>
    <row r="90" spans="1:8" s="124" customFormat="1" ht="15" customHeight="1" x14ac:dyDescent="0.25">
      <c r="A90" s="164" t="s">
        <v>81</v>
      </c>
      <c r="B90" s="166">
        <v>14410609.049999999</v>
      </c>
      <c r="C90" s="166">
        <v>17715499</v>
      </c>
      <c r="D90" s="166">
        <v>16428283.43</v>
      </c>
      <c r="E90" s="166">
        <f t="shared" si="8"/>
        <v>-1287215.5700000003</v>
      </c>
      <c r="F90" s="167">
        <f t="shared" si="7"/>
        <v>-7.2660418427953982E-2</v>
      </c>
      <c r="G90" s="166">
        <v>16428283.43</v>
      </c>
      <c r="H90" s="215"/>
    </row>
    <row r="91" spans="1:8" ht="15" customHeight="1" x14ac:dyDescent="0.25">
      <c r="A91" s="161" t="s">
        <v>82</v>
      </c>
      <c r="B91" s="160">
        <v>394620.24999999994</v>
      </c>
      <c r="C91" s="160">
        <v>1837883</v>
      </c>
      <c r="D91" s="160">
        <v>307774.68</v>
      </c>
      <c r="E91" s="160">
        <f t="shared" si="8"/>
        <v>-1530108.32</v>
      </c>
      <c r="F91" s="156">
        <f t="shared" si="7"/>
        <v>-0.83253848041469458</v>
      </c>
      <c r="G91" s="160">
        <v>307774.68</v>
      </c>
      <c r="H91" s="185"/>
    </row>
    <row r="92" spans="1:8" ht="15" customHeight="1" x14ac:dyDescent="0.25">
      <c r="A92" s="161" t="s">
        <v>83</v>
      </c>
      <c r="B92" s="160">
        <v>198640.45</v>
      </c>
      <c r="C92" s="160">
        <v>0</v>
      </c>
      <c r="D92" s="160">
        <v>357444.21</v>
      </c>
      <c r="E92" s="160">
        <f t="shared" si="8"/>
        <v>357444.21</v>
      </c>
      <c r="F92" s="156">
        <f t="shared" si="7"/>
        <v>1</v>
      </c>
      <c r="G92" s="160">
        <v>357444.21</v>
      </c>
      <c r="H92" s="185"/>
    </row>
    <row r="93" spans="1:8" ht="15" customHeight="1" x14ac:dyDescent="0.25">
      <c r="A93" s="169" t="s">
        <v>84</v>
      </c>
      <c r="B93" s="160">
        <v>0</v>
      </c>
      <c r="C93" s="160">
        <v>0</v>
      </c>
      <c r="D93" s="160">
        <v>0</v>
      </c>
      <c r="E93" s="160">
        <f t="shared" si="8"/>
        <v>0</v>
      </c>
      <c r="F93" s="156">
        <f t="shared" si="7"/>
        <v>0</v>
      </c>
      <c r="G93" s="160">
        <v>0</v>
      </c>
      <c r="H93" s="185"/>
    </row>
    <row r="94" spans="1:8" s="124" customFormat="1" ht="15" customHeight="1" x14ac:dyDescent="0.25">
      <c r="A94" s="183" t="s">
        <v>85</v>
      </c>
      <c r="B94" s="182">
        <v>593260.69999999995</v>
      </c>
      <c r="C94" s="182">
        <v>1837883</v>
      </c>
      <c r="D94" s="182">
        <v>665218.89</v>
      </c>
      <c r="E94" s="160">
        <f t="shared" si="8"/>
        <v>-1172664.1099999999</v>
      </c>
      <c r="F94" s="167">
        <f t="shared" si="7"/>
        <v>-0.63805155714482364</v>
      </c>
      <c r="G94" s="182">
        <v>665218.89</v>
      </c>
      <c r="H94" s="215"/>
    </row>
    <row r="95" spans="1:8" ht="15" customHeight="1" x14ac:dyDescent="0.25">
      <c r="A95" s="169" t="s">
        <v>86</v>
      </c>
      <c r="B95" s="160">
        <v>0</v>
      </c>
      <c r="C95" s="160">
        <v>0</v>
      </c>
      <c r="D95" s="160">
        <v>0</v>
      </c>
      <c r="E95" s="160">
        <f t="shared" si="8"/>
        <v>0</v>
      </c>
      <c r="F95" s="156">
        <f t="shared" si="7"/>
        <v>0</v>
      </c>
      <c r="G95" s="160">
        <v>0</v>
      </c>
      <c r="H95" s="185"/>
    </row>
    <row r="96" spans="1:8" s="124" customFormat="1" ht="15" customHeight="1" thickBot="1" x14ac:dyDescent="0.3">
      <c r="A96" s="203" t="s">
        <v>67</v>
      </c>
      <c r="B96" s="204">
        <v>88278129.639999986</v>
      </c>
      <c r="C96" s="204">
        <v>105810805</v>
      </c>
      <c r="D96" s="204">
        <v>87986809.676000014</v>
      </c>
      <c r="E96" s="204">
        <f>D96-C96</f>
        <v>-17823995.323999986</v>
      </c>
      <c r="F96" s="205">
        <f t="shared" si="7"/>
        <v>-0.16845156148278037</v>
      </c>
      <c r="G96" s="204">
        <v>96503714.676000014</v>
      </c>
      <c r="H96" s="215"/>
    </row>
    <row r="97" spans="1:9" ht="15" customHeight="1" thickTop="1" x14ac:dyDescent="0.25">
      <c r="A97" s="184"/>
      <c r="B97" s="185"/>
      <c r="C97" s="185"/>
      <c r="D97" s="185"/>
      <c r="E97" s="185"/>
      <c r="F97" s="186" t="s">
        <v>46</v>
      </c>
      <c r="G97" s="142"/>
      <c r="H97" s="142"/>
      <c r="I97" s="142"/>
    </row>
    <row r="98" spans="1:9" x14ac:dyDescent="0.25">
      <c r="A98" s="139" t="s">
        <v>197</v>
      </c>
    </row>
    <row r="99" spans="1:9" x14ac:dyDescent="0.25">
      <c r="A99" s="139" t="s">
        <v>190</v>
      </c>
    </row>
  </sheetData>
  <mergeCells count="1">
    <mergeCell ref="G2:G3"/>
  </mergeCells>
  <hyperlinks>
    <hyperlink ref="I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8" tint="0.79998168889431442"/>
    <pageSetUpPr fitToPage="1"/>
  </sheetPr>
  <dimension ref="A1:M10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3.7109375" style="12" customWidth="1"/>
    <col min="5" max="5" width="23.7109375" style="2" customWidth="1"/>
    <col min="6" max="6" width="23.7109375" style="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5"/>
      <c r="D1" s="32" t="s">
        <v>1</v>
      </c>
      <c r="E1" s="29" t="s">
        <v>89</v>
      </c>
      <c r="F1" s="40"/>
    </row>
    <row r="2" spans="1:9" ht="19.5" customHeight="1" thickBot="1" x14ac:dyDescent="0.35">
      <c r="A2" s="30" t="s">
        <v>2</v>
      </c>
      <c r="B2" s="31"/>
      <c r="C2" s="36"/>
      <c r="D2" s="31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303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SUM(LSU:PBRC!B8)</f>
        <v>361575925</v>
      </c>
      <c r="C8" s="69">
        <f>SUM(LSU:PBRC!C8)</f>
        <v>361575925</v>
      </c>
      <c r="D8" s="69">
        <f>SUM(LSU:PBRC!D8)-0.23</f>
        <v>330729588.76999998</v>
      </c>
      <c r="E8" s="69">
        <f>D8-C8</f>
        <v>-30846336.230000019</v>
      </c>
      <c r="F8" s="70">
        <f t="shared" ref="F8:F31" si="0">IF(ISBLANK(E8),"  ",IF(C8&gt;0,E8/C8,IF(E8&gt;0,1,0)))</f>
        <v>-8.531081329599037E-2</v>
      </c>
      <c r="G8" s="69">
        <f>SUM(LSU:PBRC!G8)-0.23</f>
        <v>330729588.76999998</v>
      </c>
      <c r="H8" s="227"/>
    </row>
    <row r="9" spans="1:9" ht="15" customHeight="1" x14ac:dyDescent="0.25">
      <c r="A9" s="68" t="s">
        <v>13</v>
      </c>
      <c r="B9" s="69">
        <f>SUM(LSU:PBRC!B9)</f>
        <v>0</v>
      </c>
      <c r="C9" s="69">
        <f>SUM(LSU:PBRC!C9)</f>
        <v>0</v>
      </c>
      <c r="D9" s="69">
        <f>SUM(LSU:PBRC!D9)</f>
        <v>0</v>
      </c>
      <c r="E9" s="69">
        <f>D9-C9</f>
        <v>0</v>
      </c>
      <c r="F9" s="70">
        <f t="shared" si="0"/>
        <v>0</v>
      </c>
      <c r="G9" s="69">
        <f>SUM(LSU:PBRC!G9)</f>
        <v>0</v>
      </c>
      <c r="H9" s="227"/>
    </row>
    <row r="10" spans="1:9" ht="15" customHeight="1" x14ac:dyDescent="0.25">
      <c r="A10" s="71" t="s">
        <v>14</v>
      </c>
      <c r="B10" s="69">
        <f>SUM(LSU:PBRC!B10)</f>
        <v>26384167.700000003</v>
      </c>
      <c r="C10" s="69">
        <f>SUM(LSU:PBRC!C10)</f>
        <v>29900604</v>
      </c>
      <c r="D10" s="69">
        <f>SUM(LSU:PBRC!D10)</f>
        <v>27104716</v>
      </c>
      <c r="E10" s="69">
        <f t="shared" ref="E10:E31" si="1">D10-C10</f>
        <v>-2795888</v>
      </c>
      <c r="F10" s="70">
        <f t="shared" si="0"/>
        <v>-9.3506070981041051E-2</v>
      </c>
      <c r="G10" s="69">
        <f>SUM(LSU:PBRC!G10)</f>
        <v>27104716</v>
      </c>
      <c r="H10" s="227"/>
    </row>
    <row r="11" spans="1:9" ht="15" customHeight="1" x14ac:dyDescent="0.25">
      <c r="A11" s="73" t="s">
        <v>15</v>
      </c>
      <c r="B11" s="69">
        <f>SUM(LSU:PBRC!B11)</f>
        <v>0</v>
      </c>
      <c r="C11" s="69">
        <f>SUM(LSU:PBRC!C11)</f>
        <v>0</v>
      </c>
      <c r="D11" s="69">
        <f>SUM(LSU:PBRC!D11)</f>
        <v>0</v>
      </c>
      <c r="E11" s="69">
        <f t="shared" si="1"/>
        <v>0</v>
      </c>
      <c r="F11" s="70">
        <f t="shared" si="0"/>
        <v>0</v>
      </c>
      <c r="G11" s="69">
        <f>SUM(LSU:PBRC!G11)</f>
        <v>0</v>
      </c>
      <c r="H11" s="227"/>
    </row>
    <row r="12" spans="1:9" ht="15" customHeight="1" x14ac:dyDescent="0.25">
      <c r="A12" s="75" t="s">
        <v>16</v>
      </c>
      <c r="B12" s="69">
        <f>SUM(LSU:PBRC!B12)</f>
        <v>16469919.879999999</v>
      </c>
      <c r="C12" s="69">
        <f>SUM(LSU:PBRC!C12)</f>
        <v>19567239</v>
      </c>
      <c r="D12" s="69">
        <f>SUM(LSU:PBRC!D12)</f>
        <v>16762014</v>
      </c>
      <c r="E12" s="69">
        <f t="shared" si="1"/>
        <v>-2805225</v>
      </c>
      <c r="F12" s="70">
        <f t="shared" si="0"/>
        <v>-0.14336335340923673</v>
      </c>
      <c r="G12" s="69">
        <f>SUM(LSU:PBRC!G12)</f>
        <v>16762014</v>
      </c>
      <c r="H12" s="227"/>
    </row>
    <row r="13" spans="1:9" ht="15" customHeight="1" x14ac:dyDescent="0.25">
      <c r="A13" s="75" t="s">
        <v>17</v>
      </c>
      <c r="B13" s="69">
        <f>SUM(LSU:PBRC!B13)</f>
        <v>5622115.1800000006</v>
      </c>
      <c r="C13" s="69">
        <f>SUM(LSU:PBRC!C13)</f>
        <v>5990293</v>
      </c>
      <c r="D13" s="69">
        <f>SUM(LSU:PBRC!D13)</f>
        <v>5624046</v>
      </c>
      <c r="E13" s="69">
        <f t="shared" si="1"/>
        <v>-366247</v>
      </c>
      <c r="F13" s="70">
        <f t="shared" si="0"/>
        <v>-6.1140081127918119E-2</v>
      </c>
      <c r="G13" s="69">
        <f>SUM(LSU:PBRC!G13)</f>
        <v>5624046</v>
      </c>
      <c r="H13" s="227"/>
    </row>
    <row r="14" spans="1:9" ht="15" customHeight="1" x14ac:dyDescent="0.25">
      <c r="A14" s="75" t="s">
        <v>18</v>
      </c>
      <c r="B14" s="69">
        <f>SUM(LSU:PBRC!B14)</f>
        <v>0</v>
      </c>
      <c r="C14" s="69">
        <f>SUM(LSU:PBRC!C14)</f>
        <v>0</v>
      </c>
      <c r="D14" s="69">
        <f>SUM(LSU:PBRC!D14)</f>
        <v>0</v>
      </c>
      <c r="E14" s="69">
        <f t="shared" si="1"/>
        <v>0</v>
      </c>
      <c r="F14" s="70">
        <f t="shared" si="0"/>
        <v>0</v>
      </c>
      <c r="G14" s="69">
        <f>SUM(LSU:PBRC!G14)</f>
        <v>0</v>
      </c>
      <c r="H14" s="227"/>
    </row>
    <row r="15" spans="1:9" ht="15" customHeight="1" x14ac:dyDescent="0.25">
      <c r="A15" s="75" t="s">
        <v>19</v>
      </c>
      <c r="B15" s="69">
        <f>SUM(LSU:PBRC!B15)</f>
        <v>0</v>
      </c>
      <c r="C15" s="69">
        <f>SUM(LSU:PBRC!C15)</f>
        <v>0</v>
      </c>
      <c r="D15" s="69">
        <f>SUM(LSU:PBRC!D15)</f>
        <v>0</v>
      </c>
      <c r="E15" s="69">
        <f t="shared" si="1"/>
        <v>0</v>
      </c>
      <c r="F15" s="70">
        <f t="shared" si="0"/>
        <v>0</v>
      </c>
      <c r="G15" s="69">
        <f>SUM(LSU:PBRC!G15)</f>
        <v>0</v>
      </c>
      <c r="H15" s="227"/>
    </row>
    <row r="16" spans="1:9" ht="15" customHeight="1" x14ac:dyDescent="0.25">
      <c r="A16" s="75" t="s">
        <v>20</v>
      </c>
      <c r="B16" s="69">
        <f>SUM(LSU:PBRC!B16)</f>
        <v>0</v>
      </c>
      <c r="C16" s="69">
        <f>SUM(LSU:PBRC!C16)</f>
        <v>0</v>
      </c>
      <c r="D16" s="69">
        <f>SUM(LSU:PBRC!D16)</f>
        <v>0</v>
      </c>
      <c r="E16" s="69">
        <f t="shared" si="1"/>
        <v>0</v>
      </c>
      <c r="F16" s="70">
        <f t="shared" si="0"/>
        <v>0</v>
      </c>
      <c r="G16" s="69">
        <f>SUM(LSU:PBRC!G16)</f>
        <v>0</v>
      </c>
      <c r="H16" s="227"/>
    </row>
    <row r="17" spans="1:8" ht="15" customHeight="1" x14ac:dyDescent="0.25">
      <c r="A17" s="75" t="s">
        <v>21</v>
      </c>
      <c r="B17" s="69">
        <f>SUM(LSU:PBRC!B17)</f>
        <v>0</v>
      </c>
      <c r="C17" s="69">
        <f>SUM(LSU:PBRC!C17)</f>
        <v>0</v>
      </c>
      <c r="D17" s="69">
        <f>SUM(LSU:PBRC!D17)</f>
        <v>0</v>
      </c>
      <c r="E17" s="69">
        <f t="shared" si="1"/>
        <v>0</v>
      </c>
      <c r="F17" s="70">
        <f t="shared" si="0"/>
        <v>0</v>
      </c>
      <c r="G17" s="69">
        <f>SUM(LSU:PBRC!G17)</f>
        <v>0</v>
      </c>
      <c r="H17" s="227"/>
    </row>
    <row r="18" spans="1:8" ht="15" customHeight="1" x14ac:dyDescent="0.25">
      <c r="A18" s="75" t="s">
        <v>22</v>
      </c>
      <c r="B18" s="69">
        <f>SUM(LSU:PBRC!B18)</f>
        <v>750000</v>
      </c>
      <c r="C18" s="69">
        <f>SUM(LSU:PBRC!C18)</f>
        <v>750000</v>
      </c>
      <c r="D18" s="69">
        <f>SUM(LSU:PBRC!D18)</f>
        <v>750000</v>
      </c>
      <c r="E18" s="69">
        <f t="shared" si="1"/>
        <v>0</v>
      </c>
      <c r="F18" s="70">
        <f t="shared" si="0"/>
        <v>0</v>
      </c>
      <c r="G18" s="69">
        <f>SUM(LSU:PBRC!G18)</f>
        <v>750000</v>
      </c>
      <c r="H18" s="227"/>
    </row>
    <row r="19" spans="1:8" ht="15" customHeight="1" x14ac:dyDescent="0.25">
      <c r="A19" s="75" t="s">
        <v>23</v>
      </c>
      <c r="B19" s="69">
        <f>SUM(LSU:PBRC!B19)</f>
        <v>3332132.64</v>
      </c>
      <c r="C19" s="69">
        <f>SUM(LSU:PBRC!C19)</f>
        <v>3357261</v>
      </c>
      <c r="D19" s="69">
        <f>SUM(LSU:PBRC!D19)</f>
        <v>3533359</v>
      </c>
      <c r="E19" s="69">
        <f t="shared" si="1"/>
        <v>176098</v>
      </c>
      <c r="F19" s="70">
        <f t="shared" si="0"/>
        <v>5.2452877509374454E-2</v>
      </c>
      <c r="G19" s="69">
        <f>SUM(LSU:PBRC!G19)</f>
        <v>3533359</v>
      </c>
      <c r="H19" s="227"/>
    </row>
    <row r="20" spans="1:8" ht="15" customHeight="1" x14ac:dyDescent="0.25">
      <c r="A20" s="75" t="s">
        <v>24</v>
      </c>
      <c r="B20" s="69">
        <f>SUM(LSU:PBRC!B20)</f>
        <v>210000</v>
      </c>
      <c r="C20" s="69">
        <f>SUM(LSU:PBRC!C20)</f>
        <v>210000</v>
      </c>
      <c r="D20" s="69">
        <f>SUM(LSU:PBRC!D20)</f>
        <v>210000</v>
      </c>
      <c r="E20" s="69">
        <f t="shared" si="1"/>
        <v>0</v>
      </c>
      <c r="F20" s="70">
        <f t="shared" si="0"/>
        <v>0</v>
      </c>
      <c r="G20" s="69">
        <f>SUM(LSU:PBRC!G20)</f>
        <v>210000</v>
      </c>
      <c r="H20" s="227"/>
    </row>
    <row r="21" spans="1:8" ht="15" customHeight="1" x14ac:dyDescent="0.25">
      <c r="A21" s="75" t="s">
        <v>25</v>
      </c>
      <c r="B21" s="69">
        <f>SUM(LSU:PBRC!B21)</f>
        <v>0</v>
      </c>
      <c r="C21" s="69">
        <f>SUM(LSU:PBRC!C21)</f>
        <v>0</v>
      </c>
      <c r="D21" s="69">
        <f>SUM(LSU:PBRC!D21)</f>
        <v>0</v>
      </c>
      <c r="E21" s="69">
        <f t="shared" si="1"/>
        <v>0</v>
      </c>
      <c r="F21" s="70">
        <f t="shared" si="0"/>
        <v>0</v>
      </c>
      <c r="G21" s="69">
        <f>SUM(LSU:PBRC!G21)</f>
        <v>0</v>
      </c>
      <c r="H21" s="227"/>
    </row>
    <row r="22" spans="1:8" ht="15" customHeight="1" x14ac:dyDescent="0.25">
      <c r="A22" s="75" t="s">
        <v>26</v>
      </c>
      <c r="B22" s="69">
        <f>SUM(LSU:PBRC!B22)</f>
        <v>0</v>
      </c>
      <c r="C22" s="69">
        <f>SUM(LSU:PBRC!C22)</f>
        <v>0</v>
      </c>
      <c r="D22" s="69">
        <f>SUM(LSU:PBRC!D22)</f>
        <v>0</v>
      </c>
      <c r="E22" s="69">
        <f t="shared" si="1"/>
        <v>0</v>
      </c>
      <c r="F22" s="70">
        <f t="shared" si="0"/>
        <v>0</v>
      </c>
      <c r="G22" s="69">
        <f>SUM(LSU:PBRC!G22)</f>
        <v>0</v>
      </c>
      <c r="H22" s="227"/>
    </row>
    <row r="23" spans="1:8" ht="15" customHeight="1" x14ac:dyDescent="0.25">
      <c r="A23" s="76" t="s">
        <v>27</v>
      </c>
      <c r="B23" s="69">
        <f>SUM(LSU:PBRC!B23)</f>
        <v>0</v>
      </c>
      <c r="C23" s="69">
        <f>SUM(LSU:PBRC!C23)</f>
        <v>0</v>
      </c>
      <c r="D23" s="69">
        <f>SUM(LSU:PBRC!D23)</f>
        <v>0</v>
      </c>
      <c r="E23" s="69">
        <f t="shared" si="1"/>
        <v>0</v>
      </c>
      <c r="F23" s="70">
        <f t="shared" si="0"/>
        <v>0</v>
      </c>
      <c r="G23" s="69">
        <f>SUM(LSU:PBRC!G23)</f>
        <v>0</v>
      </c>
      <c r="H23" s="227"/>
    </row>
    <row r="24" spans="1:8" ht="15" customHeight="1" x14ac:dyDescent="0.25">
      <c r="A24" s="76" t="s">
        <v>28</v>
      </c>
      <c r="B24" s="69">
        <f>SUM(LSU:PBRC!B24)</f>
        <v>0</v>
      </c>
      <c r="C24" s="69">
        <f>SUM(LSU:PBRC!C24)</f>
        <v>0</v>
      </c>
      <c r="D24" s="69">
        <f>SUM(LSU:PBRC!D24)</f>
        <v>0</v>
      </c>
      <c r="E24" s="69">
        <f t="shared" si="1"/>
        <v>0</v>
      </c>
      <c r="F24" s="70">
        <f t="shared" si="0"/>
        <v>0</v>
      </c>
      <c r="G24" s="69">
        <f>SUM(LSU:PBRC!G24)</f>
        <v>0</v>
      </c>
      <c r="H24" s="227"/>
    </row>
    <row r="25" spans="1:8" ht="15" customHeight="1" x14ac:dyDescent="0.25">
      <c r="A25" s="76" t="s">
        <v>29</v>
      </c>
      <c r="B25" s="69">
        <f>SUM(LSU:PBRC!B25)</f>
        <v>0</v>
      </c>
      <c r="C25" s="69">
        <f>SUM(LSU:PBRC!C25)</f>
        <v>0</v>
      </c>
      <c r="D25" s="69">
        <f>SUM(LSU:PBRC!D25)</f>
        <v>0</v>
      </c>
      <c r="E25" s="69">
        <f t="shared" si="1"/>
        <v>0</v>
      </c>
      <c r="F25" s="70">
        <f t="shared" si="0"/>
        <v>0</v>
      </c>
      <c r="G25" s="69">
        <f>SUM(LSU:PBRC!G25)</f>
        <v>0</v>
      </c>
      <c r="H25" s="227"/>
    </row>
    <row r="26" spans="1:8" ht="15" customHeight="1" x14ac:dyDescent="0.25">
      <c r="A26" s="76" t="s">
        <v>30</v>
      </c>
      <c r="B26" s="69">
        <f>SUM(LSU:PBRC!B26)</f>
        <v>0</v>
      </c>
      <c r="C26" s="69">
        <f>SUM(LSU:PBRC!C26)</f>
        <v>0</v>
      </c>
      <c r="D26" s="69">
        <f>SUM(LSU:PBRC!D26)</f>
        <v>0</v>
      </c>
      <c r="E26" s="69">
        <f t="shared" si="1"/>
        <v>0</v>
      </c>
      <c r="F26" s="70">
        <f t="shared" si="0"/>
        <v>0</v>
      </c>
      <c r="G26" s="69">
        <f>SUM(LSU:PBRC!G26)</f>
        <v>0</v>
      </c>
      <c r="H26" s="227"/>
    </row>
    <row r="27" spans="1:8" ht="15" customHeight="1" x14ac:dyDescent="0.25">
      <c r="A27" s="76" t="s">
        <v>31</v>
      </c>
      <c r="B27" s="69">
        <f>SUM(LSU:PBRC!B27)</f>
        <v>0</v>
      </c>
      <c r="C27" s="69">
        <f>SUM(LSU:PBRC!C27)</f>
        <v>0</v>
      </c>
      <c r="D27" s="69">
        <f>SUM(LSU:PBRC!D27)</f>
        <v>0</v>
      </c>
      <c r="E27" s="69">
        <f t="shared" si="1"/>
        <v>0</v>
      </c>
      <c r="F27" s="70">
        <f t="shared" si="0"/>
        <v>0</v>
      </c>
      <c r="G27" s="69">
        <f>SUM(LSU:PBRC!G27)</f>
        <v>0</v>
      </c>
      <c r="H27" s="227"/>
    </row>
    <row r="28" spans="1:8" ht="15" customHeight="1" x14ac:dyDescent="0.25">
      <c r="A28" s="76" t="s">
        <v>87</v>
      </c>
      <c r="B28" s="69">
        <f>SUM(LSU:PBRC!B28)</f>
        <v>0</v>
      </c>
      <c r="C28" s="69">
        <f>SUM(LSU:PBRC!C28)</f>
        <v>0</v>
      </c>
      <c r="D28" s="69">
        <f>SUM(LSU:PBRC!D28)</f>
        <v>0</v>
      </c>
      <c r="E28" s="69">
        <f t="shared" si="1"/>
        <v>0</v>
      </c>
      <c r="F28" s="70">
        <f t="shared" si="0"/>
        <v>0</v>
      </c>
      <c r="G28" s="69">
        <f>SUM(LSU:PBRC!G28)</f>
        <v>0</v>
      </c>
      <c r="H28" s="227"/>
    </row>
    <row r="29" spans="1:8" ht="15" customHeight="1" x14ac:dyDescent="0.25">
      <c r="A29" s="76" t="s">
        <v>32</v>
      </c>
      <c r="B29" s="69">
        <f>SUM(LSU:PBRC!B29)</f>
        <v>0</v>
      </c>
      <c r="C29" s="69">
        <f>SUM(LSU:PBRC!C29)</f>
        <v>0</v>
      </c>
      <c r="D29" s="69">
        <f>SUM(LSU:PBRC!D29)</f>
        <v>0</v>
      </c>
      <c r="E29" s="69">
        <f t="shared" si="1"/>
        <v>0</v>
      </c>
      <c r="F29" s="70">
        <f t="shared" si="0"/>
        <v>0</v>
      </c>
      <c r="G29" s="69">
        <f>SUM(LSU:PBRC!G29)</f>
        <v>0</v>
      </c>
      <c r="H29" s="227"/>
    </row>
    <row r="30" spans="1:8" ht="15" customHeight="1" x14ac:dyDescent="0.25">
      <c r="A30" s="217" t="s">
        <v>201</v>
      </c>
      <c r="B30" s="69">
        <f>SUM(LSU:PBRC!B30)</f>
        <v>0</v>
      </c>
      <c r="C30" s="69">
        <f>SUM(LSU:PBRC!C30)</f>
        <v>25811</v>
      </c>
      <c r="D30" s="69">
        <f>SUM(LSU:PBRC!D30)</f>
        <v>25297</v>
      </c>
      <c r="E30" s="69">
        <f t="shared" si="1"/>
        <v>-514</v>
      </c>
      <c r="F30" s="70">
        <f t="shared" si="0"/>
        <v>-1.9913990159234434E-2</v>
      </c>
      <c r="G30" s="69">
        <f>SUM(LSU:PBRC!G30)</f>
        <v>25297</v>
      </c>
      <c r="H30" s="227"/>
    </row>
    <row r="31" spans="1:8" ht="15" customHeight="1" x14ac:dyDescent="0.25">
      <c r="A31" s="76" t="s">
        <v>202</v>
      </c>
      <c r="B31" s="69">
        <f>SUM(LSU:PBRC!B31)</f>
        <v>0</v>
      </c>
      <c r="C31" s="69">
        <f>SUM(LSU:PBRC!C31)</f>
        <v>0</v>
      </c>
      <c r="D31" s="69">
        <f>SUM(LSU:PBRC!D31)</f>
        <v>200000</v>
      </c>
      <c r="E31" s="69">
        <f t="shared" si="1"/>
        <v>200000</v>
      </c>
      <c r="F31" s="70">
        <f t="shared" si="0"/>
        <v>1</v>
      </c>
      <c r="G31" s="69">
        <f>SUM(LSU:PBRC!G31)</f>
        <v>200000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f>SUM(LSU:PBRC!B33)</f>
        <v>0</v>
      </c>
      <c r="C33" s="69">
        <f>SUM(LSU:PBRC!C33)</f>
        <v>0</v>
      </c>
      <c r="D33" s="69">
        <f>SUM(LSU:PBRC!D33)</f>
        <v>0</v>
      </c>
      <c r="E33" s="69">
        <f>D33-C33</f>
        <v>0</v>
      </c>
      <c r="F33" s="70">
        <f>IF(ISBLANK(E33),"  ",IF(C33&gt;0,E33/C33,IF(E33&gt;0,1,0)))</f>
        <v>0</v>
      </c>
      <c r="G33" s="69">
        <f>SUM(LSU:PBRC!G33)</f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9">
        <f>SUM(LSU:PBRC!B35)</f>
        <v>0</v>
      </c>
      <c r="C35" s="69">
        <f>SUM(LSU:PBRC!C35)</f>
        <v>0</v>
      </c>
      <c r="D35" s="69">
        <f>SUM(LSU:PBRC!D35)</f>
        <v>0</v>
      </c>
      <c r="E35" s="69">
        <f>D35-C35</f>
        <v>0</v>
      </c>
      <c r="F35" s="70">
        <f>IF(ISBLANK(E35),"  ",IF(C35&gt;0,E35/C35,IF(E35&gt;0,1,0)))</f>
        <v>0</v>
      </c>
      <c r="G35" s="69">
        <f>SUM(LSU:PBRC!G35)</f>
        <v>0</v>
      </c>
      <c r="H35" s="227"/>
    </row>
    <row r="36" spans="1:13" ht="15" customHeight="1" x14ac:dyDescent="0.25">
      <c r="A36" s="75" t="s">
        <v>36</v>
      </c>
      <c r="B36" s="122"/>
      <c r="C36" s="122"/>
      <c r="D36" s="122"/>
      <c r="E36" s="72"/>
      <c r="F36" s="70" t="s">
        <v>37</v>
      </c>
      <c r="G36" s="122"/>
      <c r="H36" s="227"/>
    </row>
    <row r="37" spans="1:13" s="124" customFormat="1" ht="15" customHeight="1" x14ac:dyDescent="0.25">
      <c r="A37" s="79" t="s">
        <v>38</v>
      </c>
      <c r="B37" s="123">
        <f>SUM(B8,B9,B10,B33,B35,B36)</f>
        <v>387960092.69999999</v>
      </c>
      <c r="C37" s="123">
        <f t="shared" ref="C37:D37" si="2">SUM(C8,C9,C10,C33,C35,C36)</f>
        <v>391476529</v>
      </c>
      <c r="D37" s="123">
        <f t="shared" si="2"/>
        <v>357834304.76999998</v>
      </c>
      <c r="E37" s="87">
        <f>D37-C37</f>
        <v>-33642224.230000019</v>
      </c>
      <c r="F37" s="81">
        <f>IF(ISBLANK(E37),"  ",IF(C37&gt;0,E37/C37,IF(E37&gt;0,1,0)))</f>
        <v>-8.5936759263541995E-2</v>
      </c>
      <c r="G37" s="123">
        <f>SUM(G8,G9,G10,G33,G35,G36)</f>
        <v>357834304.76999998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f>SUM(LSU:PBRC!B39)</f>
        <v>0</v>
      </c>
      <c r="C39" s="69">
        <f>SUM(LSU:PBRC!C39)</f>
        <v>0</v>
      </c>
      <c r="D39" s="69">
        <f>SUM(LSU:PBRC!D39)</f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f>SUM(LSU:PBRC!G39)</f>
        <v>0</v>
      </c>
      <c r="H39" s="227"/>
    </row>
    <row r="40" spans="1:13" ht="15" customHeight="1" x14ac:dyDescent="0.25">
      <c r="A40" s="83" t="s">
        <v>41</v>
      </c>
      <c r="B40" s="69">
        <f>SUM(LSU:PBRC!B40)</f>
        <v>0</v>
      </c>
      <c r="C40" s="69">
        <f>SUM(LSU:PBRC!C40)</f>
        <v>0</v>
      </c>
      <c r="D40" s="69">
        <f>SUM(LSU:PBRC!D40)</f>
        <v>0</v>
      </c>
      <c r="E40" s="69">
        <f>D40-C40</f>
        <v>0</v>
      </c>
      <c r="F40" s="70">
        <f t="shared" si="3"/>
        <v>0</v>
      </c>
      <c r="G40" s="69">
        <f>SUM(LSU:PBRC!G40)</f>
        <v>0</v>
      </c>
      <c r="H40" s="227"/>
    </row>
    <row r="41" spans="1:13" ht="15" customHeight="1" x14ac:dyDescent="0.25">
      <c r="A41" s="83" t="s">
        <v>42</v>
      </c>
      <c r="B41" s="69">
        <f>SUM(LSU:PBRC!B41)</f>
        <v>0</v>
      </c>
      <c r="C41" s="69">
        <f>SUM(LSU:PBRC!C41)</f>
        <v>0</v>
      </c>
      <c r="D41" s="69">
        <f>SUM(LSU:PBRC!D41)</f>
        <v>0</v>
      </c>
      <c r="E41" s="69">
        <f t="shared" ref="E41:E44" si="4">D41-C41</f>
        <v>0</v>
      </c>
      <c r="F41" s="70">
        <f t="shared" si="3"/>
        <v>0</v>
      </c>
      <c r="G41" s="69">
        <f>SUM(LSU:PBRC!G41)</f>
        <v>0</v>
      </c>
      <c r="H41" s="227"/>
    </row>
    <row r="42" spans="1:13" ht="15" customHeight="1" x14ac:dyDescent="0.25">
      <c r="A42" s="83" t="s">
        <v>43</v>
      </c>
      <c r="B42" s="69">
        <f>SUM(LSU:PBRC!B42)</f>
        <v>0</v>
      </c>
      <c r="C42" s="69">
        <f>SUM(LSU:PBRC!C42)</f>
        <v>0</v>
      </c>
      <c r="D42" s="69">
        <f>SUM(LSU:PBRC!D42)</f>
        <v>0</v>
      </c>
      <c r="E42" s="69">
        <f t="shared" si="4"/>
        <v>0</v>
      </c>
      <c r="F42" s="70">
        <f t="shared" si="3"/>
        <v>0</v>
      </c>
      <c r="G42" s="69">
        <f>SUM(LSU:PBRC!G42)</f>
        <v>0</v>
      </c>
      <c r="H42" s="227"/>
    </row>
    <row r="43" spans="1:13" ht="15" customHeight="1" x14ac:dyDescent="0.25">
      <c r="A43" s="84" t="s">
        <v>44</v>
      </c>
      <c r="B43" s="69">
        <f>SUM(LSU:PBRC!B43)</f>
        <v>0</v>
      </c>
      <c r="C43" s="69">
        <f>SUM(LSU:PBRC!C43)</f>
        <v>0</v>
      </c>
      <c r="D43" s="69">
        <f>SUM(LSU:PBRC!D43)</f>
        <v>0</v>
      </c>
      <c r="E43" s="69">
        <f t="shared" si="4"/>
        <v>0</v>
      </c>
      <c r="F43" s="70">
        <f t="shared" si="3"/>
        <v>0</v>
      </c>
      <c r="G43" s="69">
        <f>SUM(LSU:PBRC!G43)</f>
        <v>0</v>
      </c>
      <c r="H43" s="227"/>
    </row>
    <row r="44" spans="1:13" s="124" customFormat="1" ht="15" customHeight="1" x14ac:dyDescent="0.25">
      <c r="A44" s="77" t="s">
        <v>45</v>
      </c>
      <c r="B44" s="87">
        <f>SUM(LSU:PBRC!B44)</f>
        <v>0</v>
      </c>
      <c r="C44" s="87">
        <f>SUM(LSU:PBRC!C44)</f>
        <v>0</v>
      </c>
      <c r="D44" s="87">
        <f>SUM(LSU:PBRC!D44)</f>
        <v>0</v>
      </c>
      <c r="E44" s="87">
        <f t="shared" si="4"/>
        <v>0</v>
      </c>
      <c r="F44" s="81">
        <f t="shared" si="3"/>
        <v>0</v>
      </c>
      <c r="G44" s="87">
        <f>SUM(LSU:PBRC!G44)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f>SUM(LSU:PBRC!B46)</f>
        <v>7656473.0099999998</v>
      </c>
      <c r="C46" s="87">
        <f>SUM(LSU:PBRC!C46)</f>
        <v>7658808</v>
      </c>
      <c r="D46" s="87">
        <f>SUM(LSU:PBRC!D46)</f>
        <v>7614116</v>
      </c>
      <c r="E46" s="87">
        <f>D46-C46</f>
        <v>-44692</v>
      </c>
      <c r="F46" s="81">
        <f>IF(ISBLANK(E46),"  ",IF(C46&gt;0,E46/C46,IF(E46&gt;0,1,0)))</f>
        <v>-5.835372815195263E-3</v>
      </c>
      <c r="G46" s="87">
        <f>SUM(LSU:PBRC!G46)</f>
        <v>7614116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f>SUM(LSU:PBRC!B48)</f>
        <v>30058450.530000001</v>
      </c>
      <c r="C48" s="87">
        <f>SUM(LSU:PBRC!C48)</f>
        <v>30058450</v>
      </c>
      <c r="D48" s="87">
        <f>SUM(LSU:PBRC!D48)</f>
        <v>0</v>
      </c>
      <c r="E48" s="87">
        <f>D48-C48</f>
        <v>-30058450</v>
      </c>
      <c r="F48" s="81">
        <f>IF(ISBLANK(E48)," ",IF(C48&gt;0,E48/C48,IF(E48&gt;0,1,0)))</f>
        <v>-1</v>
      </c>
      <c r="G48" s="87">
        <f>SUM(LSU:PBRC!G48)</f>
        <v>30058450.41</v>
      </c>
      <c r="H48" s="228"/>
    </row>
    <row r="49" spans="1:10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10" s="124" customFormat="1" ht="15" customHeight="1" x14ac:dyDescent="0.25">
      <c r="A50" s="86" t="s">
        <v>48</v>
      </c>
      <c r="B50" s="87">
        <f>SUM(LSU:PBRC!B50)</f>
        <v>0</v>
      </c>
      <c r="C50" s="87">
        <f>SUM(LSU:PBRC!C50)</f>
        <v>0</v>
      </c>
      <c r="D50" s="87">
        <f>SUM(LSU:PBRC!D50)</f>
        <v>0</v>
      </c>
      <c r="E50" s="87">
        <f>D50-C50</f>
        <v>0</v>
      </c>
      <c r="F50" s="81">
        <f>IF(ISBLANK(E50),"  ",IF(C50&gt;0,E50/C50,IF(E50&gt;0,1,0)))</f>
        <v>0</v>
      </c>
      <c r="G50" s="87">
        <f>SUM(LSU:PBRC!G50)</f>
        <v>0</v>
      </c>
      <c r="H50" s="228"/>
    </row>
    <row r="51" spans="1:10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10" s="124" customFormat="1" ht="15" customHeight="1" x14ac:dyDescent="0.25">
      <c r="A52" s="77" t="s">
        <v>49</v>
      </c>
      <c r="B52" s="87">
        <f>SUM(LSU:PBRC!B52)</f>
        <v>589070620.53999996</v>
      </c>
      <c r="C52" s="87">
        <f>SUM(LSU:PBRC!C52)</f>
        <v>608907236</v>
      </c>
      <c r="D52" s="87">
        <f>SUM(LSU:PBRC!D52)</f>
        <v>619757120</v>
      </c>
      <c r="E52" s="87">
        <f>D52-C52</f>
        <v>10849884</v>
      </c>
      <c r="F52" s="81">
        <f>IF(ISBLANK(E52),"  ",IF(C52&gt;0,E52/C52,IF(E52&gt;0,1,0)))</f>
        <v>1.7818615642136989E-2</v>
      </c>
      <c r="G52" s="87">
        <f>SUM(LSU:PBRC!G52)</f>
        <v>619757120</v>
      </c>
      <c r="H52" s="228"/>
    </row>
    <row r="53" spans="1:10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10" s="124" customFormat="1" ht="15" customHeight="1" x14ac:dyDescent="0.25">
      <c r="A54" s="88" t="s">
        <v>50</v>
      </c>
      <c r="B54" s="87">
        <f>SUM(LSU:PBRC!B54)</f>
        <v>12147289.34</v>
      </c>
      <c r="C54" s="87">
        <f>SUM(LSU:PBRC!C54)</f>
        <v>13018275</v>
      </c>
      <c r="D54" s="87">
        <f>SUM(LSU:PBRC!D54)</f>
        <v>13018275</v>
      </c>
      <c r="E54" s="87">
        <f>D54-C54</f>
        <v>0</v>
      </c>
      <c r="F54" s="81">
        <f>IF(ISBLANK(E54),"  ",IF(C54&gt;0,E54/C54,IF(E54&gt;0,1,0)))</f>
        <v>0</v>
      </c>
      <c r="G54" s="87">
        <f>SUM(LSU:PBRC!G54)</f>
        <v>13018275</v>
      </c>
      <c r="H54" s="228"/>
    </row>
    <row r="55" spans="1:10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10" s="124" customFormat="1" ht="15" customHeight="1" x14ac:dyDescent="0.25">
      <c r="A56" s="77" t="s">
        <v>51</v>
      </c>
      <c r="B56" s="87">
        <f>SUM(LSU:PBRC!B56)</f>
        <v>0</v>
      </c>
      <c r="C56" s="87">
        <f>SUM(LSU:PBRC!C56)</f>
        <v>0</v>
      </c>
      <c r="D56" s="87">
        <f>SUM(LSU:PBRC!D56)</f>
        <v>0</v>
      </c>
      <c r="E56" s="87">
        <f>D56-C56</f>
        <v>0</v>
      </c>
      <c r="F56" s="81">
        <f>IF(ISBLANK(E56),"  ",IF(C56&gt;0,E56/C56,IF(E56&gt;0,1,0)))</f>
        <v>0</v>
      </c>
      <c r="G56" s="87">
        <f>SUM(LSU:PBRC!G56)</f>
        <v>0</v>
      </c>
      <c r="H56" s="228"/>
    </row>
    <row r="57" spans="1:10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10" s="124" customFormat="1" ht="15" customHeight="1" x14ac:dyDescent="0.25">
      <c r="A58" s="91" t="s">
        <v>52</v>
      </c>
      <c r="B58" s="87">
        <f>SUM(LSU:PBRC!B58)</f>
        <v>1026892917.1199999</v>
      </c>
      <c r="C58" s="87">
        <f t="shared" ref="C58:D58" si="5">SUM(C37,C46,C48,C50,C52,C54,C56)-C44</f>
        <v>1051119298</v>
      </c>
      <c r="D58" s="87">
        <f t="shared" si="5"/>
        <v>998223815.76999998</v>
      </c>
      <c r="E58" s="87">
        <f>D58-C58</f>
        <v>-52895482.230000019</v>
      </c>
      <c r="F58" s="81">
        <f>IF(ISBLANK(E58),"  ",IF(C58&gt;0,E58/C58,IF(E58&gt;0,1,0)))</f>
        <v>-5.0323005514831695E-2</v>
      </c>
      <c r="G58" s="87">
        <f>SUM(G37,G46,G48,G50,G52,G54,G56)-G44</f>
        <v>1028282266.1800001</v>
      </c>
      <c r="H58" s="228"/>
    </row>
    <row r="59" spans="1:10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10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10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  <c r="J61" s="187"/>
    </row>
    <row r="62" spans="1:10" ht="15" customHeight="1" x14ac:dyDescent="0.25">
      <c r="A62" s="73" t="s">
        <v>54</v>
      </c>
      <c r="B62" s="69">
        <f>SUM(LSU:PBRC!B62)</f>
        <v>346451982.31</v>
      </c>
      <c r="C62" s="69">
        <f>SUM(LSU:PBRC!C62)</f>
        <v>353258646</v>
      </c>
      <c r="D62" s="69">
        <f>SUM(LSU:PBRC!D62)</f>
        <v>318805323</v>
      </c>
      <c r="E62" s="69">
        <f>D62-C62</f>
        <v>-34453323</v>
      </c>
      <c r="F62" s="70">
        <f t="shared" ref="F62:F75" si="6">IF(ISBLANK(E62),"  ",IF(C62&gt;0,E62/C62,IF(E62&gt;0,1,0)))</f>
        <v>-9.7530020539115123E-2</v>
      </c>
      <c r="G62" s="69">
        <f>SUM(LSU:PBRC!G62)</f>
        <v>339619577.5</v>
      </c>
      <c r="H62" s="227"/>
    </row>
    <row r="63" spans="1:10" ht="15" customHeight="1" x14ac:dyDescent="0.25">
      <c r="A63" s="75" t="s">
        <v>55</v>
      </c>
      <c r="B63" s="69">
        <f>SUM(LSU:PBRC!B63)</f>
        <v>124068506.72000001</v>
      </c>
      <c r="C63" s="69">
        <f>SUM(LSU:PBRC!C63)</f>
        <v>127153373</v>
      </c>
      <c r="D63" s="69">
        <f>SUM(LSU:PBRC!D63)</f>
        <v>124793595</v>
      </c>
      <c r="E63" s="69">
        <f>D63-C63</f>
        <v>-2359778</v>
      </c>
      <c r="F63" s="70">
        <f t="shared" si="6"/>
        <v>-1.8558516729241623E-2</v>
      </c>
      <c r="G63" s="69">
        <f>SUM(LSU:PBRC!G63)</f>
        <v>125730217.25</v>
      </c>
      <c r="H63" s="227"/>
    </row>
    <row r="64" spans="1:10" ht="15" customHeight="1" x14ac:dyDescent="0.25">
      <c r="A64" s="75" t="s">
        <v>56</v>
      </c>
      <c r="B64" s="69">
        <f>SUM(LSU:PBRC!B64)</f>
        <v>35157994.770000003</v>
      </c>
      <c r="C64" s="69">
        <f>SUM(LSU:PBRC!C64)</f>
        <v>31221192.190000001</v>
      </c>
      <c r="D64" s="69">
        <f>SUM(LSU:PBRC!D64)</f>
        <v>45164571</v>
      </c>
      <c r="E64" s="69">
        <f t="shared" ref="E64:E75" si="7">D64-C64</f>
        <v>13943378.809999999</v>
      </c>
      <c r="F64" s="70">
        <f t="shared" si="6"/>
        <v>0.44659981992827286</v>
      </c>
      <c r="G64" s="69">
        <f>SUM(LSU:PBRC!G64)</f>
        <v>46568707.829999998</v>
      </c>
      <c r="H64" s="227"/>
    </row>
    <row r="65" spans="1:9" ht="15" customHeight="1" x14ac:dyDescent="0.25">
      <c r="A65" s="75" t="s">
        <v>57</v>
      </c>
      <c r="B65" s="69">
        <f>SUM(LSU:PBRC!B65)</f>
        <v>117111501.45</v>
      </c>
      <c r="C65" s="69">
        <f>SUM(LSU:PBRC!C65)</f>
        <v>119948795</v>
      </c>
      <c r="D65" s="69">
        <f>SUM(LSU:PBRC!D65)</f>
        <v>117784046</v>
      </c>
      <c r="E65" s="69">
        <f t="shared" si="7"/>
        <v>-2164749</v>
      </c>
      <c r="F65" s="70">
        <f t="shared" si="6"/>
        <v>-1.8047275923030324E-2</v>
      </c>
      <c r="G65" s="69">
        <f>SUM(LSU:PBRC!G65)</f>
        <v>120910544.11000001</v>
      </c>
      <c r="H65" s="227"/>
    </row>
    <row r="66" spans="1:9" ht="15" customHeight="1" x14ac:dyDescent="0.25">
      <c r="A66" s="75" t="s">
        <v>58</v>
      </c>
      <c r="B66" s="69">
        <f>SUM(LSU:PBRC!B66)</f>
        <v>29190320.469999999</v>
      </c>
      <c r="C66" s="69">
        <f>SUM(LSU:PBRC!C66)</f>
        <v>28798840</v>
      </c>
      <c r="D66" s="69">
        <f>SUM(LSU:PBRC!D66)</f>
        <v>29895111</v>
      </c>
      <c r="E66" s="69">
        <f t="shared" si="7"/>
        <v>1096271</v>
      </c>
      <c r="F66" s="70">
        <f t="shared" si="6"/>
        <v>3.8066498511745615E-2</v>
      </c>
      <c r="G66" s="69">
        <f>SUM(LSU:PBRC!G66)</f>
        <v>30325424.73</v>
      </c>
      <c r="H66" s="227"/>
    </row>
    <row r="67" spans="1:9" ht="15" customHeight="1" x14ac:dyDescent="0.25">
      <c r="A67" s="75" t="s">
        <v>59</v>
      </c>
      <c r="B67" s="69">
        <f>SUM(LSU:PBRC!B67)</f>
        <v>154452503.14999998</v>
      </c>
      <c r="C67" s="69">
        <f>SUM(LSU:PBRC!C67)</f>
        <v>166321198.49000001</v>
      </c>
      <c r="D67" s="69">
        <f>SUM(LSU:PBRC!D67)</f>
        <v>156000054</v>
      </c>
      <c r="E67" s="69">
        <f t="shared" si="7"/>
        <v>-10321144.49000001</v>
      </c>
      <c r="F67" s="70">
        <f t="shared" si="6"/>
        <v>-6.2055496134610671E-2</v>
      </c>
      <c r="G67" s="69">
        <f>SUM(LSU:PBRC!G67)</f>
        <v>157883511.34</v>
      </c>
      <c r="H67" s="227"/>
    </row>
    <row r="68" spans="1:9" ht="15" customHeight="1" x14ac:dyDescent="0.25">
      <c r="A68" s="75" t="s">
        <v>60</v>
      </c>
      <c r="B68" s="69">
        <f>SUM(LSU:PBRC!B68)</f>
        <v>110840180.63999999</v>
      </c>
      <c r="C68" s="69">
        <f>SUM(LSU:PBRC!C68)</f>
        <v>114896322</v>
      </c>
      <c r="D68" s="69">
        <f>SUM(LSU:PBRC!D68)</f>
        <v>136659259</v>
      </c>
      <c r="E68" s="69">
        <f t="shared" si="7"/>
        <v>21762937</v>
      </c>
      <c r="F68" s="70">
        <f t="shared" si="6"/>
        <v>0.18941369594058893</v>
      </c>
      <c r="G68" s="69">
        <f>SUM(LSU:PBRC!G68)</f>
        <v>136659259</v>
      </c>
      <c r="H68" s="227"/>
    </row>
    <row r="69" spans="1:9" ht="15" customHeight="1" x14ac:dyDescent="0.25">
      <c r="A69" s="75" t="s">
        <v>61</v>
      </c>
      <c r="B69" s="69">
        <f>SUM(LSU:PBRC!B69)</f>
        <v>105032447.19</v>
      </c>
      <c r="C69" s="69">
        <f>SUM(LSU:PBRC!C69)</f>
        <v>108034659.89</v>
      </c>
      <c r="D69" s="69">
        <f>SUM(LSU:PBRC!D69)</f>
        <v>112326659</v>
      </c>
      <c r="E69" s="69">
        <f t="shared" si="7"/>
        <v>4291999.1099999994</v>
      </c>
      <c r="F69" s="70">
        <f t="shared" si="6"/>
        <v>3.9727982800798166E-2</v>
      </c>
      <c r="G69" s="69">
        <f>SUM(LSU:PBRC!G69)</f>
        <v>113789825.64999999</v>
      </c>
      <c r="H69" s="227"/>
    </row>
    <row r="70" spans="1:9" s="124" customFormat="1" ht="15" customHeight="1" x14ac:dyDescent="0.25">
      <c r="A70" s="94" t="s">
        <v>62</v>
      </c>
      <c r="B70" s="87">
        <f>SUM(LSU:PBRC!B70)</f>
        <v>1022305436.6999998</v>
      </c>
      <c r="C70" s="87">
        <f>SUM(LSU:PBRC!C70)</f>
        <v>1049633026.5700001</v>
      </c>
      <c r="D70" s="87">
        <f>SUM(LSU:PBRC!D70)</f>
        <v>1041428618</v>
      </c>
      <c r="E70" s="87">
        <f t="shared" si="7"/>
        <v>-8204408.5700000525</v>
      </c>
      <c r="F70" s="81">
        <f t="shared" si="6"/>
        <v>-7.8164542867048409E-3</v>
      </c>
      <c r="G70" s="87">
        <f>SUM(LSU:PBRC!G70)</f>
        <v>1071487067.41</v>
      </c>
      <c r="H70" s="228"/>
    </row>
    <row r="71" spans="1:9" ht="15" customHeight="1" x14ac:dyDescent="0.25">
      <c r="A71" s="75" t="s">
        <v>63</v>
      </c>
      <c r="B71" s="69">
        <f>SUM(LSU:PBRC!B71)</f>
        <v>4056276.4899999998</v>
      </c>
      <c r="C71" s="69">
        <f>SUM(LSU:PBRC!C71)</f>
        <v>4366686</v>
      </c>
      <c r="D71" s="69">
        <f>SUM(LSU:PBRC!D71)</f>
        <v>4204241</v>
      </c>
      <c r="E71" s="69">
        <f t="shared" si="7"/>
        <v>-162445</v>
      </c>
      <c r="F71" s="70">
        <f t="shared" si="6"/>
        <v>-3.7200980331537466E-2</v>
      </c>
      <c r="G71" s="69">
        <f>SUM(LSU:PBRC!G71)</f>
        <v>4204241</v>
      </c>
      <c r="H71" s="227"/>
    </row>
    <row r="72" spans="1:9" ht="15" customHeight="1" x14ac:dyDescent="0.25">
      <c r="A72" s="75" t="s">
        <v>64</v>
      </c>
      <c r="B72" s="69">
        <f>SUM(LSU:PBRC!B72)</f>
        <v>434737.75999999989</v>
      </c>
      <c r="C72" s="69">
        <f>SUM(LSU:PBRC!C72)</f>
        <v>-2987681</v>
      </c>
      <c r="D72" s="69">
        <f>SUM(LSU:PBRC!D72)</f>
        <v>-47409043</v>
      </c>
      <c r="E72" s="69">
        <f t="shared" si="7"/>
        <v>-44421362</v>
      </c>
      <c r="F72" s="70">
        <f t="shared" si="6"/>
        <v>0</v>
      </c>
      <c r="G72" s="69">
        <f>SUM(LSU:PBRC!G72)</f>
        <v>-47409043</v>
      </c>
      <c r="H72" s="227"/>
    </row>
    <row r="73" spans="1:9" ht="15" customHeight="1" x14ac:dyDescent="0.25">
      <c r="A73" s="75" t="s">
        <v>65</v>
      </c>
      <c r="B73" s="69">
        <f>SUM(LSU:PBRC!B73)</f>
        <v>0</v>
      </c>
      <c r="C73" s="69">
        <f>SUM(LSU:PBRC!C73)</f>
        <v>0</v>
      </c>
      <c r="D73" s="69">
        <f>SUM(LSU:PBRC!D73)</f>
        <v>0</v>
      </c>
      <c r="E73" s="69">
        <f t="shared" si="7"/>
        <v>0</v>
      </c>
      <c r="F73" s="70">
        <f t="shared" si="6"/>
        <v>0</v>
      </c>
      <c r="G73" s="69">
        <f>SUM(LSU:PBRC!G73)</f>
        <v>0</v>
      </c>
      <c r="H73" s="227"/>
    </row>
    <row r="74" spans="1:9" ht="15" customHeight="1" x14ac:dyDescent="0.25">
      <c r="A74" s="75" t="s">
        <v>66</v>
      </c>
      <c r="B74" s="69">
        <f>SUM(LSU:PBRC!B74)</f>
        <v>96467</v>
      </c>
      <c r="C74" s="69">
        <f>SUM(LSU:PBRC!C74)</f>
        <v>107267</v>
      </c>
      <c r="D74" s="69">
        <f>SUM(LSU:PBRC!D74)</f>
        <v>0</v>
      </c>
      <c r="E74" s="69">
        <f t="shared" si="7"/>
        <v>-107267</v>
      </c>
      <c r="F74" s="70">
        <f t="shared" si="6"/>
        <v>-1</v>
      </c>
      <c r="G74" s="69">
        <f>SUM(LSU:PBRC!G74)</f>
        <v>0</v>
      </c>
      <c r="H74" s="227"/>
    </row>
    <row r="75" spans="1:9" s="124" customFormat="1" ht="15" customHeight="1" x14ac:dyDescent="0.25">
      <c r="A75" s="95" t="s">
        <v>67</v>
      </c>
      <c r="B75" s="87">
        <f>SUM(B70:B74)-1</f>
        <v>1026892916.9499998</v>
      </c>
      <c r="C75" s="87">
        <f t="shared" ref="C75:D75" si="8">SUM(C70:C74)</f>
        <v>1051119298.5700001</v>
      </c>
      <c r="D75" s="87">
        <f t="shared" si="8"/>
        <v>998223816</v>
      </c>
      <c r="E75" s="87">
        <f t="shared" si="7"/>
        <v>-52895482.570000052</v>
      </c>
      <c r="F75" s="81">
        <f t="shared" si="6"/>
        <v>-5.0323005811007321E-2</v>
      </c>
      <c r="G75" s="87">
        <f>SUM(G70:G74)</f>
        <v>1028282265.4099998</v>
      </c>
      <c r="H75" s="228"/>
    </row>
    <row r="76" spans="1:9" ht="15" customHeight="1" x14ac:dyDescent="0.25">
      <c r="A76" s="93"/>
      <c r="B76" s="65"/>
      <c r="C76" s="65"/>
      <c r="D76" s="65"/>
      <c r="E76" s="65"/>
      <c r="F76" s="67"/>
      <c r="G76" s="65"/>
      <c r="H76" s="227"/>
      <c r="I76" s="187"/>
    </row>
    <row r="77" spans="1:9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9" ht="15" customHeight="1" x14ac:dyDescent="0.25">
      <c r="A78" s="73" t="s">
        <v>69</v>
      </c>
      <c r="B78" s="69">
        <f>SUM(LSU:PBRC!B78)</f>
        <v>464229820.69999999</v>
      </c>
      <c r="C78" s="69">
        <f>SUM(LSU:PBRC!C78)</f>
        <v>485235351.73000002</v>
      </c>
      <c r="D78" s="69">
        <f>SUM(LSU:PBRC!D78)</f>
        <v>463651147</v>
      </c>
      <c r="E78" s="69">
        <f>D78-C78</f>
        <v>-21584204.730000019</v>
      </c>
      <c r="F78" s="70">
        <f t="shared" ref="F78:F96" si="9">IF(ISBLANK(E78),"  ",IF(C78&gt;0,E78/C78,IF(E78&gt;0,1,0)))</f>
        <v>-4.4481929548303274E-2</v>
      </c>
      <c r="G78" s="69">
        <f>SUM(LSU:PBRC!G78)</f>
        <v>484765603.07999998</v>
      </c>
      <c r="H78" s="227"/>
    </row>
    <row r="79" spans="1:9" ht="15" customHeight="1" x14ac:dyDescent="0.25">
      <c r="A79" s="75" t="s">
        <v>70</v>
      </c>
      <c r="B79" s="69">
        <f>SUM(LSU:PBRC!B79)</f>
        <v>39485246.380000003</v>
      </c>
      <c r="C79" s="69">
        <f>SUM(LSU:PBRC!C79)</f>
        <v>35622539.189999998</v>
      </c>
      <c r="D79" s="69">
        <f>SUM(LSU:PBRC!D79)</f>
        <v>33973999</v>
      </c>
      <c r="E79" s="69">
        <f>D79-C79</f>
        <v>-1648540.1899999976</v>
      </c>
      <c r="F79" s="70">
        <f t="shared" si="9"/>
        <v>-4.6278009021400078E-2</v>
      </c>
      <c r="G79" s="69">
        <f>SUM(LSU:PBRC!G79)</f>
        <v>33973999</v>
      </c>
      <c r="H79" s="227"/>
    </row>
    <row r="80" spans="1:9" ht="15" customHeight="1" x14ac:dyDescent="0.25">
      <c r="A80" s="75" t="s">
        <v>71</v>
      </c>
      <c r="B80" s="69">
        <f>SUM(LSU:PBRC!B80)</f>
        <v>216232242.70999998</v>
      </c>
      <c r="C80" s="69">
        <f>SUM(LSU:PBRC!C80)</f>
        <v>226596328.16</v>
      </c>
      <c r="D80" s="69">
        <f>SUM(LSU:PBRC!D80)</f>
        <v>208223404</v>
      </c>
      <c r="E80" s="69">
        <f t="shared" ref="E80:E95" si="10">D80-C80</f>
        <v>-18372924.159999996</v>
      </c>
      <c r="F80" s="70">
        <f t="shared" si="9"/>
        <v>-8.1082179526875867E-2</v>
      </c>
      <c r="G80" s="69">
        <f>SUM(LSU:PBRC!G80)</f>
        <v>217037305.21999997</v>
      </c>
      <c r="H80" s="227"/>
    </row>
    <row r="81" spans="1:9" s="124" customFormat="1" ht="15" customHeight="1" x14ac:dyDescent="0.25">
      <c r="A81" s="94" t="s">
        <v>72</v>
      </c>
      <c r="B81" s="87">
        <f>SUM(B78:B80)</f>
        <v>719947309.78999996</v>
      </c>
      <c r="C81" s="87">
        <f t="shared" ref="C81:D81" si="11">SUM(C78:C80)</f>
        <v>747454219.08000004</v>
      </c>
      <c r="D81" s="87">
        <f t="shared" si="11"/>
        <v>705848550</v>
      </c>
      <c r="E81" s="87">
        <f t="shared" si="10"/>
        <v>-41605669.080000043</v>
      </c>
      <c r="F81" s="81">
        <f t="shared" si="9"/>
        <v>-5.566316707825953E-2</v>
      </c>
      <c r="G81" s="87">
        <f>SUM(G78:G80)</f>
        <v>735776907.29999995</v>
      </c>
      <c r="H81" s="228"/>
    </row>
    <row r="82" spans="1:9" ht="15" customHeight="1" x14ac:dyDescent="0.25">
      <c r="A82" s="75" t="s">
        <v>73</v>
      </c>
      <c r="B82" s="69">
        <f>SUM(LSU:PBRC!B82)</f>
        <v>4774386.53</v>
      </c>
      <c r="C82" s="69">
        <f>SUM(LSU:PBRC!C82)</f>
        <v>5868925</v>
      </c>
      <c r="D82" s="69">
        <f>SUM(LSU:PBRC!D82)</f>
        <v>5048890</v>
      </c>
      <c r="E82" s="69">
        <f t="shared" si="10"/>
        <v>-820035</v>
      </c>
      <c r="F82" s="70">
        <f t="shared" si="9"/>
        <v>-0.13972490703152621</v>
      </c>
      <c r="G82" s="69">
        <f>SUM(LSU:PBRC!G82)</f>
        <v>5048890</v>
      </c>
      <c r="H82" s="227"/>
    </row>
    <row r="83" spans="1:9" ht="15" customHeight="1" x14ac:dyDescent="0.25">
      <c r="A83" s="75" t="s">
        <v>74</v>
      </c>
      <c r="B83" s="69">
        <f>SUM(LSU:PBRC!B83)</f>
        <v>73050833.590000004</v>
      </c>
      <c r="C83" s="69">
        <f>SUM(LSU:PBRC!C83)</f>
        <v>87235113</v>
      </c>
      <c r="D83" s="69">
        <f>SUM(LSU:PBRC!D83)</f>
        <v>86288128.620000005</v>
      </c>
      <c r="E83" s="69">
        <f t="shared" si="10"/>
        <v>-946984.37999999523</v>
      </c>
      <c r="F83" s="70">
        <f t="shared" si="9"/>
        <v>-1.0855541391916294E-2</v>
      </c>
      <c r="G83" s="69">
        <f>SUM(LSU:PBRC!G83)</f>
        <v>86298513.620000005</v>
      </c>
      <c r="H83" s="227"/>
    </row>
    <row r="84" spans="1:9" ht="15" customHeight="1" x14ac:dyDescent="0.25">
      <c r="A84" s="75" t="s">
        <v>75</v>
      </c>
      <c r="B84" s="69">
        <f>SUM(LSU:PBRC!B84)</f>
        <v>35699788.019999996</v>
      </c>
      <c r="C84" s="69">
        <f>SUM(LSU:PBRC!C84)</f>
        <v>30435924.489999998</v>
      </c>
      <c r="D84" s="69">
        <f>SUM(LSU:PBRC!D84)</f>
        <v>30610441</v>
      </c>
      <c r="E84" s="69">
        <f t="shared" si="10"/>
        <v>174516.51000000164</v>
      </c>
      <c r="F84" s="70">
        <f t="shared" si="9"/>
        <v>5.7338987700978374E-3</v>
      </c>
      <c r="G84" s="69">
        <f>SUM(LSU:PBRC!G84)</f>
        <v>30637543.900000002</v>
      </c>
      <c r="H84" s="227"/>
    </row>
    <row r="85" spans="1:9" s="124" customFormat="1" ht="15" customHeight="1" x14ac:dyDescent="0.25">
      <c r="A85" s="78" t="s">
        <v>76</v>
      </c>
      <c r="B85" s="87">
        <f>SUM(B82:B84)</f>
        <v>113525008.14</v>
      </c>
      <c r="C85" s="87">
        <f t="shared" ref="C85:D85" si="12">SUM(C82:C84)</f>
        <v>123539962.48999999</v>
      </c>
      <c r="D85" s="87">
        <f t="shared" si="12"/>
        <v>121947459.62</v>
      </c>
      <c r="E85" s="87">
        <f t="shared" si="10"/>
        <v>-1592502.8699999899</v>
      </c>
      <c r="F85" s="81">
        <f t="shared" si="9"/>
        <v>-1.2890588906637364E-2</v>
      </c>
      <c r="G85" s="87">
        <f>SUM(G82:G84)</f>
        <v>121984947.52000001</v>
      </c>
      <c r="H85" s="228"/>
    </row>
    <row r="86" spans="1:9" ht="15" customHeight="1" x14ac:dyDescent="0.25">
      <c r="A86" s="75" t="s">
        <v>77</v>
      </c>
      <c r="B86" s="69">
        <f>SUM(LSU:PBRC!B86)</f>
        <v>27051783.509999998</v>
      </c>
      <c r="C86" s="69">
        <f>SUM(LSU:PBRC!C86)</f>
        <v>26486566</v>
      </c>
      <c r="D86" s="69">
        <f>SUM(LSU:PBRC!D86)</f>
        <v>25841734</v>
      </c>
      <c r="E86" s="69">
        <f t="shared" si="10"/>
        <v>-644832</v>
      </c>
      <c r="F86" s="70">
        <f t="shared" si="9"/>
        <v>-2.4345624872624108E-2</v>
      </c>
      <c r="G86" s="69">
        <f>SUM(LSU:PBRC!G86)</f>
        <v>25841734</v>
      </c>
      <c r="H86" s="227"/>
    </row>
    <row r="87" spans="1:9" ht="15" customHeight="1" x14ac:dyDescent="0.25">
      <c r="A87" s="75" t="s">
        <v>78</v>
      </c>
      <c r="B87" s="69">
        <f>SUM(LSU:PBRC!B87)</f>
        <v>134902753.67000002</v>
      </c>
      <c r="C87" s="69">
        <f>SUM(LSU:PBRC!C87)</f>
        <v>122718924</v>
      </c>
      <c r="D87" s="69">
        <f>SUM(LSU:PBRC!D87)</f>
        <v>116484687</v>
      </c>
      <c r="E87" s="69">
        <f t="shared" si="10"/>
        <v>-6234237</v>
      </c>
      <c r="F87" s="70">
        <f t="shared" si="9"/>
        <v>-5.0800942485447476E-2</v>
      </c>
      <c r="G87" s="69">
        <f>SUM(LSU:PBRC!G87)</f>
        <v>116484687</v>
      </c>
      <c r="H87" s="227"/>
    </row>
    <row r="88" spans="1:9" ht="15" customHeight="1" x14ac:dyDescent="0.25">
      <c r="A88" s="75" t="s">
        <v>79</v>
      </c>
      <c r="B88" s="69">
        <f>SUM(LSU:PBRC!B88)</f>
        <v>262392</v>
      </c>
      <c r="C88" s="69">
        <f>SUM(LSU:PBRC!C88)</f>
        <v>260039</v>
      </c>
      <c r="D88" s="69">
        <f>SUM(LSU:PBRC!D88)</f>
        <v>262124</v>
      </c>
      <c r="E88" s="69">
        <f t="shared" si="10"/>
        <v>2085</v>
      </c>
      <c r="F88" s="70">
        <f t="shared" si="9"/>
        <v>8.0180280650210163E-3</v>
      </c>
      <c r="G88" s="69">
        <f>SUM(LSU:PBRC!G88)</f>
        <v>262124</v>
      </c>
      <c r="H88" s="227"/>
    </row>
    <row r="89" spans="1:9" ht="15" customHeight="1" x14ac:dyDescent="0.25">
      <c r="A89" s="75" t="s">
        <v>80</v>
      </c>
      <c r="B89" s="69">
        <f>SUM(LSU:PBRC!B89)</f>
        <v>18703541.75</v>
      </c>
      <c r="C89" s="69">
        <f>SUM(LSU:PBRC!C89)</f>
        <v>20339911</v>
      </c>
      <c r="D89" s="69">
        <f>SUM(LSU:PBRC!D89)</f>
        <v>19137424</v>
      </c>
      <c r="E89" s="69">
        <f t="shared" si="10"/>
        <v>-1202487</v>
      </c>
      <c r="F89" s="70">
        <f t="shared" si="9"/>
        <v>-5.911958021841885E-2</v>
      </c>
      <c r="G89" s="69">
        <f>SUM(LSU:PBRC!G89)</f>
        <v>19137424</v>
      </c>
      <c r="H89" s="227"/>
    </row>
    <row r="90" spans="1:9" s="124" customFormat="1" ht="15" customHeight="1" x14ac:dyDescent="0.25">
      <c r="A90" s="78" t="s">
        <v>81</v>
      </c>
      <c r="B90" s="87">
        <f>SUM(B86:B89)</f>
        <v>180920470.93000001</v>
      </c>
      <c r="C90" s="87">
        <f t="shared" ref="C90:D90" si="13">SUM(C86:C89)</f>
        <v>169805440</v>
      </c>
      <c r="D90" s="87">
        <f t="shared" si="13"/>
        <v>161725969</v>
      </c>
      <c r="E90" s="87">
        <f t="shared" si="10"/>
        <v>-8079471</v>
      </c>
      <c r="F90" s="81">
        <f t="shared" si="9"/>
        <v>-4.7580754774405341E-2</v>
      </c>
      <c r="G90" s="87">
        <f>SUM(G86:G89)</f>
        <v>161725969</v>
      </c>
      <c r="H90" s="228"/>
    </row>
    <row r="91" spans="1:9" ht="15" customHeight="1" x14ac:dyDescent="0.25">
      <c r="A91" s="75" t="s">
        <v>82</v>
      </c>
      <c r="B91" s="69">
        <f>SUM(LSU:PBRC!B91)</f>
        <v>11986540.91</v>
      </c>
      <c r="C91" s="69">
        <f>SUM(LSU:PBRC!C91)</f>
        <v>9095288</v>
      </c>
      <c r="D91" s="69">
        <f>SUM(LSU:PBRC!D91)</f>
        <v>5534803</v>
      </c>
      <c r="E91" s="69">
        <f t="shared" si="10"/>
        <v>-3560485</v>
      </c>
      <c r="F91" s="70">
        <f t="shared" si="9"/>
        <v>-0.39146478924031874</v>
      </c>
      <c r="G91" s="69">
        <f>SUM(LSU:PBRC!G91)</f>
        <v>5627408.2000000002</v>
      </c>
      <c r="H91" s="227"/>
    </row>
    <row r="92" spans="1:9" ht="15" customHeight="1" x14ac:dyDescent="0.25">
      <c r="A92" s="75" t="s">
        <v>83</v>
      </c>
      <c r="B92" s="69">
        <f>SUM(LSU:PBRC!B92)</f>
        <v>889191.28</v>
      </c>
      <c r="C92" s="69">
        <f>SUM(LSU:PBRC!C92)</f>
        <v>1211538</v>
      </c>
      <c r="D92" s="69">
        <f>SUM(LSU:PBRC!D92)</f>
        <v>1126150</v>
      </c>
      <c r="E92" s="69">
        <f t="shared" si="10"/>
        <v>-85388</v>
      </c>
      <c r="F92" s="70">
        <f t="shared" si="9"/>
        <v>-7.0479010976131171E-2</v>
      </c>
      <c r="G92" s="69">
        <f>SUM(LSU:PBRC!G92)</f>
        <v>1126150</v>
      </c>
      <c r="H92" s="227"/>
    </row>
    <row r="93" spans="1:9" ht="15" customHeight="1" x14ac:dyDescent="0.25">
      <c r="A93" s="83" t="s">
        <v>84</v>
      </c>
      <c r="B93" s="69">
        <f>SUM(LSU:PBRC!B93)</f>
        <v>-375601.1</v>
      </c>
      <c r="C93" s="69">
        <f>SUM(LSU:PBRC!C93)</f>
        <v>12851</v>
      </c>
      <c r="D93" s="69">
        <f>SUM(LSU:PBRC!D93)</f>
        <v>2040884</v>
      </c>
      <c r="E93" s="69">
        <f t="shared" si="10"/>
        <v>2028033</v>
      </c>
      <c r="F93" s="70">
        <f t="shared" si="9"/>
        <v>157.8112987316162</v>
      </c>
      <c r="G93" s="69">
        <f>SUM(LSU:PBRC!G93)</f>
        <v>2040884</v>
      </c>
      <c r="H93" s="227"/>
    </row>
    <row r="94" spans="1:9" s="124" customFormat="1" ht="15" customHeight="1" x14ac:dyDescent="0.25">
      <c r="A94" s="97" t="s">
        <v>85</v>
      </c>
      <c r="B94" s="87">
        <f>SUM(B91:B93)</f>
        <v>12500131.09</v>
      </c>
      <c r="C94" s="87">
        <f t="shared" ref="C94:D94" si="14">SUM(C91:C93)</f>
        <v>10319677</v>
      </c>
      <c r="D94" s="87">
        <f t="shared" si="14"/>
        <v>8701837</v>
      </c>
      <c r="E94" s="87">
        <f t="shared" si="10"/>
        <v>-1617840</v>
      </c>
      <c r="F94" s="81">
        <f t="shared" si="9"/>
        <v>-0.15677234859191813</v>
      </c>
      <c r="G94" s="87">
        <f>SUM(G91:G93)</f>
        <v>8794442.1999999993</v>
      </c>
      <c r="H94" s="228"/>
    </row>
    <row r="95" spans="1:9" ht="15" customHeight="1" x14ac:dyDescent="0.25">
      <c r="A95" s="83" t="s">
        <v>86</v>
      </c>
      <c r="B95" s="69">
        <f>SUM(LSU:PBRC!B95)</f>
        <v>0</v>
      </c>
      <c r="C95" s="69">
        <f>SUM(LSU:PBRC!C95)</f>
        <v>0</v>
      </c>
      <c r="D95" s="69">
        <f>SUM(LSU:PBRC!D95)</f>
        <v>0</v>
      </c>
      <c r="E95" s="69">
        <f t="shared" si="10"/>
        <v>0</v>
      </c>
      <c r="F95" s="70">
        <f t="shared" si="9"/>
        <v>0</v>
      </c>
      <c r="G95" s="69">
        <f>SUM(LSU:PBRC!G95)</f>
        <v>0</v>
      </c>
      <c r="H95" s="227"/>
    </row>
    <row r="96" spans="1:9" s="124" customFormat="1" ht="15" customHeight="1" thickBot="1" x14ac:dyDescent="0.3">
      <c r="A96" s="195" t="s">
        <v>67</v>
      </c>
      <c r="B96" s="196">
        <f>SUM(B81,B85,B90,B94,B95)-3</f>
        <v>1026892916.9499999</v>
      </c>
      <c r="C96" s="196">
        <f>SUM(C81,C85,C90,C94,C95)</f>
        <v>1051119298.5700001</v>
      </c>
      <c r="D96" s="196">
        <f>SUM(D81,D85,D90,D94,D95)</f>
        <v>998223815.62</v>
      </c>
      <c r="E96" s="197">
        <f>D96-C96</f>
        <v>-52895482.950000048</v>
      </c>
      <c r="F96" s="198">
        <f t="shared" si="9"/>
        <v>-5.0323006172526698E-2</v>
      </c>
      <c r="G96" s="196">
        <f>SUM(G81,G85,G90,G94,G95)</f>
        <v>1028282266.02</v>
      </c>
      <c r="H96" s="228"/>
      <c r="I96" s="189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" t="s">
        <v>197</v>
      </c>
    </row>
    <row r="99" spans="1:9" x14ac:dyDescent="0.25">
      <c r="A99" s="1" t="s">
        <v>190</v>
      </c>
    </row>
    <row r="101" spans="1:9" x14ac:dyDescent="0.25">
      <c r="A101" s="1" t="s">
        <v>46</v>
      </c>
    </row>
  </sheetData>
  <mergeCells count="1">
    <mergeCell ref="G2:G3"/>
  </mergeCells>
  <hyperlinks>
    <hyperlink ref="I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117</v>
      </c>
      <c r="F1" s="40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115968824</v>
      </c>
      <c r="C8" s="69">
        <v>115968824</v>
      </c>
      <c r="D8" s="69">
        <v>107546191</v>
      </c>
      <c r="E8" s="69">
        <f>D8-C8</f>
        <v>-8422633</v>
      </c>
      <c r="F8" s="70">
        <f t="shared" ref="F8:F31" si="0">IF(ISBLANK(E8),"  ",IF(C8&gt;0,E8/C8,IF(E8&gt;0,1,0)))</f>
        <v>-7.2628424687655707E-2</v>
      </c>
      <c r="G8" s="69">
        <v>107546191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11561372.4</v>
      </c>
      <c r="C10" s="72">
        <f>SUM(C11:C31)</f>
        <v>12979359</v>
      </c>
      <c r="D10" s="72">
        <f>SUM(D11:D31)</f>
        <v>11916815</v>
      </c>
      <c r="E10" s="69">
        <f t="shared" ref="E10:E31" si="1">D10-C10</f>
        <v>-1062544</v>
      </c>
      <c r="F10" s="70">
        <f t="shared" si="0"/>
        <v>-8.1864135201129729E-2</v>
      </c>
      <c r="G10" s="72">
        <f>SUM(G11:G31)</f>
        <v>11916815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7269239.7599999998</v>
      </c>
      <c r="C12" s="74">
        <v>8636287</v>
      </c>
      <c r="D12" s="74">
        <v>7398159</v>
      </c>
      <c r="E12" s="69">
        <f t="shared" si="1"/>
        <v>-1238128</v>
      </c>
      <c r="F12" s="70">
        <f t="shared" si="0"/>
        <v>-0.1433634616357701</v>
      </c>
      <c r="G12" s="74">
        <v>7398159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750000</v>
      </c>
      <c r="C18" s="74">
        <v>750000</v>
      </c>
      <c r="D18" s="74">
        <v>750000</v>
      </c>
      <c r="E18" s="69">
        <f t="shared" si="1"/>
        <v>0</v>
      </c>
      <c r="F18" s="70">
        <f t="shared" si="0"/>
        <v>0</v>
      </c>
      <c r="G18" s="74">
        <v>750000</v>
      </c>
      <c r="H18" s="227"/>
    </row>
    <row r="19" spans="1:8" ht="15" customHeight="1" x14ac:dyDescent="0.25">
      <c r="A19" s="75" t="s">
        <v>23</v>
      </c>
      <c r="B19" s="74">
        <v>3332132.64</v>
      </c>
      <c r="C19" s="74">
        <v>3357261</v>
      </c>
      <c r="D19" s="74">
        <v>3533359</v>
      </c>
      <c r="E19" s="69">
        <f t="shared" si="1"/>
        <v>176098</v>
      </c>
      <c r="F19" s="70">
        <f t="shared" si="0"/>
        <v>5.2452877509374454E-2</v>
      </c>
      <c r="G19" s="74">
        <v>3533359</v>
      </c>
      <c r="H19" s="227"/>
    </row>
    <row r="20" spans="1:8" ht="15" customHeight="1" x14ac:dyDescent="0.25">
      <c r="A20" s="75" t="s">
        <v>24</v>
      </c>
      <c r="B20" s="74">
        <v>210000</v>
      </c>
      <c r="C20" s="74">
        <v>210000</v>
      </c>
      <c r="D20" s="74">
        <v>210000</v>
      </c>
      <c r="E20" s="69">
        <f t="shared" si="1"/>
        <v>0</v>
      </c>
      <c r="F20" s="70">
        <f t="shared" si="0"/>
        <v>0</v>
      </c>
      <c r="G20" s="74">
        <v>210000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25811</v>
      </c>
      <c r="D30" s="74">
        <v>25297</v>
      </c>
      <c r="E30" s="69">
        <f t="shared" si="1"/>
        <v>-514</v>
      </c>
      <c r="F30" s="70">
        <f t="shared" si="0"/>
        <v>-1.9913990159234434E-2</v>
      </c>
      <c r="G30" s="74">
        <v>25297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SUM(B8,B9,B10,B33,B35)</f>
        <v>127530196.40000001</v>
      </c>
      <c r="C37" s="80">
        <f t="shared" ref="C37:D37" si="2">SUM(C8,C9,C10,C33,C35)</f>
        <v>128948183</v>
      </c>
      <c r="D37" s="80">
        <f t="shared" si="2"/>
        <v>119463006</v>
      </c>
      <c r="E37" s="80">
        <f>D37-C37</f>
        <v>-9485177</v>
      </c>
      <c r="F37" s="81">
        <f>IF(ISBLANK(E37),"  ",IF(C37&gt;0,E37/C37,IF(E37&gt;0,1,0)))</f>
        <v>-7.3558050833488667E-2</v>
      </c>
      <c r="G37" s="80">
        <f>SUM(G8,G9,G10,G33,G35)</f>
        <v>119463006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7656473.0099999998</v>
      </c>
      <c r="C46" s="87">
        <v>7658808</v>
      </c>
      <c r="D46" s="87">
        <v>7614116</v>
      </c>
      <c r="E46" s="87">
        <f>D46-C46</f>
        <v>-44692</v>
      </c>
      <c r="F46" s="81">
        <f>IF(ISBLANK(E46),"  ",IF(C46&gt;0,E46/C46,IF(E46&gt;0,1,0)))</f>
        <v>-5.835372815195263E-3</v>
      </c>
      <c r="G46" s="87">
        <v>7614116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5361800</v>
      </c>
      <c r="C48" s="87">
        <v>5361800</v>
      </c>
      <c r="D48" s="87">
        <v>0</v>
      </c>
      <c r="E48" s="87">
        <f>D48-C48</f>
        <v>-5361800</v>
      </c>
      <c r="F48" s="81">
        <f>IF(ISBLANK(E48)," ",IF(C48&gt;0,E48/C48,IF(E48&gt;0,1,0)))</f>
        <v>-1</v>
      </c>
      <c r="G48" s="87">
        <v>5361800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425860056.22999996</v>
      </c>
      <c r="C52" s="85">
        <v>433116716</v>
      </c>
      <c r="D52" s="85">
        <v>439816716</v>
      </c>
      <c r="E52" s="85">
        <f>D52-C52</f>
        <v>6700000</v>
      </c>
      <c r="F52" s="81">
        <f>IF(ISBLANK(E52),"  ",IF(C52&gt;0,E52/C52,IF(E52&gt;0,1,0)))</f>
        <v>1.5469271336089462E-2</v>
      </c>
      <c r="G52" s="85">
        <v>439816716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566408525.63999999</v>
      </c>
      <c r="C58" s="85">
        <f t="shared" ref="C58:D58" si="5">SUM(C37,C46,C48,C50,C52,C54,C56)-C44</f>
        <v>575085507</v>
      </c>
      <c r="D58" s="85">
        <f t="shared" si="5"/>
        <v>566893838</v>
      </c>
      <c r="E58" s="85">
        <f>D58-C58</f>
        <v>-8191669</v>
      </c>
      <c r="F58" s="81">
        <f>IF(ISBLANK(E58),"  ",IF(C58&gt;0,E58/C58,IF(E58&gt;0,1,0)))</f>
        <v>-1.4244262636234371E-2</v>
      </c>
      <c r="G58" s="85">
        <f>SUM(G37,G46,G48,G50,G52,G54,G56)-G44</f>
        <v>572255638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214572550.87</v>
      </c>
      <c r="C62" s="65">
        <v>229492295</v>
      </c>
      <c r="D62" s="65">
        <v>221483824</v>
      </c>
      <c r="E62" s="65">
        <f>D62-C62</f>
        <v>-8008471</v>
      </c>
      <c r="F62" s="70">
        <f t="shared" ref="F62:F75" si="6">IF(ISBLANK(E62),"  ",IF(C62&gt;0,E62/C62,IF(E62&gt;0,1,0)))</f>
        <v>-3.4896470053602455E-2</v>
      </c>
      <c r="G62" s="65">
        <f>221483824+5361800</f>
        <v>226845624</v>
      </c>
      <c r="H62" s="227"/>
    </row>
    <row r="63" spans="1:8" ht="15" customHeight="1" x14ac:dyDescent="0.25">
      <c r="A63" s="75" t="s">
        <v>55</v>
      </c>
      <c r="B63" s="74">
        <v>64751383.520000003</v>
      </c>
      <c r="C63" s="74">
        <v>63874265</v>
      </c>
      <c r="D63" s="74">
        <v>63945668</v>
      </c>
      <c r="E63" s="74">
        <f>D63-C63</f>
        <v>71403</v>
      </c>
      <c r="F63" s="70">
        <f t="shared" si="6"/>
        <v>1.117868049049175E-3</v>
      </c>
      <c r="G63" s="74">
        <v>63945668</v>
      </c>
      <c r="H63" s="227"/>
    </row>
    <row r="64" spans="1:8" ht="15" customHeight="1" x14ac:dyDescent="0.25">
      <c r="A64" s="75" t="s">
        <v>56</v>
      </c>
      <c r="B64" s="74">
        <v>5222869.53</v>
      </c>
      <c r="C64" s="74">
        <v>3507622</v>
      </c>
      <c r="D64" s="74">
        <v>3973998</v>
      </c>
      <c r="E64" s="74">
        <f t="shared" ref="E64:E75" si="7">D64-C64</f>
        <v>466376</v>
      </c>
      <c r="F64" s="70">
        <f t="shared" si="6"/>
        <v>0.13296073522175422</v>
      </c>
      <c r="G64" s="74">
        <v>3973998</v>
      </c>
      <c r="H64" s="227"/>
    </row>
    <row r="65" spans="1:8" ht="15" customHeight="1" x14ac:dyDescent="0.25">
      <c r="A65" s="75" t="s">
        <v>57</v>
      </c>
      <c r="B65" s="74">
        <v>78282827.629999995</v>
      </c>
      <c r="C65" s="74">
        <v>74525346</v>
      </c>
      <c r="D65" s="74">
        <v>79205223</v>
      </c>
      <c r="E65" s="74">
        <f t="shared" si="7"/>
        <v>4679877</v>
      </c>
      <c r="F65" s="70">
        <f t="shared" si="6"/>
        <v>6.2795776889113669E-2</v>
      </c>
      <c r="G65" s="74">
        <v>79205223</v>
      </c>
      <c r="H65" s="227"/>
    </row>
    <row r="66" spans="1:8" ht="15" customHeight="1" x14ac:dyDescent="0.25">
      <c r="A66" s="75" t="s">
        <v>58</v>
      </c>
      <c r="B66" s="74">
        <v>17700316.699999999</v>
      </c>
      <c r="C66" s="74">
        <v>18001547</v>
      </c>
      <c r="D66" s="74">
        <v>18360104</v>
      </c>
      <c r="E66" s="74">
        <f t="shared" si="7"/>
        <v>358557</v>
      </c>
      <c r="F66" s="70">
        <f t="shared" si="6"/>
        <v>1.9918121481448232E-2</v>
      </c>
      <c r="G66" s="74">
        <v>18360104</v>
      </c>
      <c r="H66" s="227"/>
    </row>
    <row r="67" spans="1:8" ht="15" customHeight="1" x14ac:dyDescent="0.25">
      <c r="A67" s="75" t="s">
        <v>59</v>
      </c>
      <c r="B67" s="74">
        <v>35763314.520000003</v>
      </c>
      <c r="C67" s="74">
        <v>31184451</v>
      </c>
      <c r="D67" s="74">
        <v>36928050</v>
      </c>
      <c r="E67" s="74">
        <f t="shared" si="7"/>
        <v>5743599</v>
      </c>
      <c r="F67" s="70">
        <f t="shared" si="6"/>
        <v>0.18418150122315766</v>
      </c>
      <c r="G67" s="74">
        <v>36928050</v>
      </c>
      <c r="H67" s="227"/>
    </row>
    <row r="68" spans="1:8" ht="15" customHeight="1" x14ac:dyDescent="0.25">
      <c r="A68" s="75" t="s">
        <v>60</v>
      </c>
      <c r="B68" s="74">
        <v>99156584.689999998</v>
      </c>
      <c r="C68" s="74">
        <v>102796668</v>
      </c>
      <c r="D68" s="74">
        <v>124586336</v>
      </c>
      <c r="E68" s="74">
        <f t="shared" si="7"/>
        <v>21789668</v>
      </c>
      <c r="F68" s="70">
        <f t="shared" si="6"/>
        <v>0.21196862139539385</v>
      </c>
      <c r="G68" s="74">
        <v>124586336</v>
      </c>
      <c r="H68" s="227"/>
    </row>
    <row r="69" spans="1:8" ht="15" customHeight="1" x14ac:dyDescent="0.25">
      <c r="A69" s="75" t="s">
        <v>61</v>
      </c>
      <c r="B69" s="74">
        <v>54939106.189999998</v>
      </c>
      <c r="C69" s="74">
        <v>57529671</v>
      </c>
      <c r="D69" s="74">
        <v>56212852</v>
      </c>
      <c r="E69" s="74">
        <f t="shared" si="7"/>
        <v>-1316819</v>
      </c>
      <c r="F69" s="70">
        <f t="shared" si="6"/>
        <v>-2.2889388677366153E-2</v>
      </c>
      <c r="G69" s="74">
        <v>56212852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570388953.64999986</v>
      </c>
      <c r="C70" s="80">
        <f>SUM(C62:C69)</f>
        <v>580911865</v>
      </c>
      <c r="D70" s="80">
        <f>SUM(D62:D69)</f>
        <v>604696055</v>
      </c>
      <c r="E70" s="80">
        <f t="shared" si="7"/>
        <v>23784190</v>
      </c>
      <c r="F70" s="81">
        <f t="shared" si="6"/>
        <v>4.0942854558496583E-2</v>
      </c>
      <c r="G70" s="80">
        <f>SUM(G62:G69)</f>
        <v>610057855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7"/>
        <v>0</v>
      </c>
      <c r="F71" s="70">
        <f t="shared" si="6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-3980428</v>
      </c>
      <c r="C72" s="74">
        <v>-5826358</v>
      </c>
      <c r="D72" s="74">
        <v>-37802217</v>
      </c>
      <c r="E72" s="74">
        <f t="shared" si="7"/>
        <v>-31975859</v>
      </c>
      <c r="F72" s="70">
        <f t="shared" si="6"/>
        <v>0</v>
      </c>
      <c r="G72" s="74">
        <v>-37802217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7"/>
        <v>0</v>
      </c>
      <c r="F73" s="70">
        <f t="shared" si="6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7"/>
        <v>0</v>
      </c>
      <c r="F74" s="70">
        <f t="shared" si="6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566408525.64999986</v>
      </c>
      <c r="C75" s="96">
        <f>SUM(C70,C71:C74)</f>
        <v>575085507</v>
      </c>
      <c r="D75" s="96">
        <f>SUM(D70,D71:D74)</f>
        <v>566893838</v>
      </c>
      <c r="E75" s="231">
        <f t="shared" si="7"/>
        <v>-8191669</v>
      </c>
      <c r="F75" s="81">
        <f t="shared" si="6"/>
        <v>-1.4244262636234371E-2</v>
      </c>
      <c r="G75" s="96">
        <f>SUM(G70,G71:G74)</f>
        <v>572255638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265761503.82999998</v>
      </c>
      <c r="C78" s="69">
        <v>279236851</v>
      </c>
      <c r="D78" s="69">
        <v>279008244</v>
      </c>
      <c r="E78" s="65">
        <f>D78-C78</f>
        <v>-228607</v>
      </c>
      <c r="F78" s="70">
        <f t="shared" ref="F78:F96" si="8">IF(ISBLANK(E78),"  ",IF(C78&gt;0,E78/C78,IF(E78&gt;0,1,0)))</f>
        <v>-8.1868492350244994E-4</v>
      </c>
      <c r="G78" s="69">
        <f>279008244+3782749.9</f>
        <v>282790993.89999998</v>
      </c>
      <c r="H78" s="227"/>
    </row>
    <row r="79" spans="1:8" ht="15" customHeight="1" x14ac:dyDescent="0.25">
      <c r="A79" s="75" t="s">
        <v>70</v>
      </c>
      <c r="B79" s="72">
        <v>31557835.5</v>
      </c>
      <c r="C79" s="72">
        <v>29563300</v>
      </c>
      <c r="D79" s="72">
        <v>28724814</v>
      </c>
      <c r="E79" s="74">
        <f>D79-C79</f>
        <v>-838486</v>
      </c>
      <c r="F79" s="70">
        <f t="shared" si="8"/>
        <v>-2.8362395267104823E-2</v>
      </c>
      <c r="G79" s="72">
        <v>28724814</v>
      </c>
      <c r="H79" s="227"/>
    </row>
    <row r="80" spans="1:8" ht="15" customHeight="1" x14ac:dyDescent="0.25">
      <c r="A80" s="75" t="s">
        <v>71</v>
      </c>
      <c r="B80" s="65">
        <v>114528684.63999999</v>
      </c>
      <c r="C80" s="65">
        <v>117395897</v>
      </c>
      <c r="D80" s="65">
        <v>118129219</v>
      </c>
      <c r="E80" s="74">
        <f t="shared" ref="E80:E95" si="9">D80-C80</f>
        <v>733322</v>
      </c>
      <c r="F80" s="70">
        <f t="shared" si="8"/>
        <v>6.2465726549199583E-3</v>
      </c>
      <c r="G80" s="65">
        <f>118129219+1579050.1</f>
        <v>119708269.09999999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411848023.96999997</v>
      </c>
      <c r="C81" s="96">
        <f t="shared" ref="C81:D81" si="10">SUM(C78:C80)</f>
        <v>426196048</v>
      </c>
      <c r="D81" s="96">
        <f t="shared" si="10"/>
        <v>425862277</v>
      </c>
      <c r="E81" s="80">
        <f t="shared" si="9"/>
        <v>-333771</v>
      </c>
      <c r="F81" s="81">
        <f t="shared" si="8"/>
        <v>-7.8313959401143951E-4</v>
      </c>
      <c r="G81" s="96">
        <f>SUM(G78:G80)</f>
        <v>431224077</v>
      </c>
      <c r="H81" s="228"/>
    </row>
    <row r="82" spans="1:8" ht="15" customHeight="1" x14ac:dyDescent="0.25">
      <c r="A82" s="75" t="s">
        <v>73</v>
      </c>
      <c r="B82" s="72">
        <v>3047673.83</v>
      </c>
      <c r="C82" s="72">
        <v>3061414</v>
      </c>
      <c r="D82" s="72">
        <v>2718472</v>
      </c>
      <c r="E82" s="74">
        <f t="shared" si="9"/>
        <v>-342942</v>
      </c>
      <c r="F82" s="70">
        <f t="shared" si="8"/>
        <v>-0.11202078516659296</v>
      </c>
      <c r="G82" s="72">
        <v>2718472</v>
      </c>
      <c r="H82" s="227"/>
    </row>
    <row r="83" spans="1:8" ht="15" customHeight="1" x14ac:dyDescent="0.25">
      <c r="A83" s="75" t="s">
        <v>74</v>
      </c>
      <c r="B83" s="69">
        <v>18199412.669999998</v>
      </c>
      <c r="C83" s="69">
        <v>28854200</v>
      </c>
      <c r="D83" s="69">
        <v>23508086</v>
      </c>
      <c r="E83" s="74">
        <f t="shared" si="9"/>
        <v>-5346114</v>
      </c>
      <c r="F83" s="70">
        <f t="shared" si="8"/>
        <v>-0.18528027115636544</v>
      </c>
      <c r="G83" s="69">
        <v>23508086</v>
      </c>
      <c r="H83" s="227"/>
    </row>
    <row r="84" spans="1:8" ht="15" customHeight="1" x14ac:dyDescent="0.25">
      <c r="A84" s="75" t="s">
        <v>75</v>
      </c>
      <c r="B84" s="65">
        <v>21819107.149999995</v>
      </c>
      <c r="C84" s="65">
        <v>12141908</v>
      </c>
      <c r="D84" s="65">
        <v>16428825</v>
      </c>
      <c r="E84" s="74">
        <f t="shared" si="9"/>
        <v>4286917</v>
      </c>
      <c r="F84" s="70">
        <f t="shared" si="8"/>
        <v>0.35306782097179457</v>
      </c>
      <c r="G84" s="65">
        <v>16428825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43066193.649999991</v>
      </c>
      <c r="C85" s="96">
        <f t="shared" ref="C85:D85" si="11">SUM(C82:C84)</f>
        <v>44057522</v>
      </c>
      <c r="D85" s="96">
        <f t="shared" si="11"/>
        <v>42655383</v>
      </c>
      <c r="E85" s="80">
        <f t="shared" si="9"/>
        <v>-1402139</v>
      </c>
      <c r="F85" s="81">
        <f t="shared" si="8"/>
        <v>-3.1825189805273206E-2</v>
      </c>
      <c r="G85" s="96">
        <f>SUM(G82:G84)</f>
        <v>42655383</v>
      </c>
      <c r="H85" s="228"/>
    </row>
    <row r="86" spans="1:8" ht="15" customHeight="1" x14ac:dyDescent="0.25">
      <c r="A86" s="75" t="s">
        <v>77</v>
      </c>
      <c r="B86" s="65">
        <v>5333366.79</v>
      </c>
      <c r="C86" s="65">
        <v>3123547</v>
      </c>
      <c r="D86" s="65">
        <v>2881769</v>
      </c>
      <c r="E86" s="74">
        <f t="shared" si="9"/>
        <v>-241778</v>
      </c>
      <c r="F86" s="70">
        <f t="shared" si="8"/>
        <v>-7.7404950205647624E-2</v>
      </c>
      <c r="G86" s="65">
        <v>2881769</v>
      </c>
      <c r="H86" s="227"/>
    </row>
    <row r="87" spans="1:8" ht="15" customHeight="1" x14ac:dyDescent="0.25">
      <c r="A87" s="75" t="s">
        <v>78</v>
      </c>
      <c r="B87" s="74">
        <v>98077741.899999991</v>
      </c>
      <c r="C87" s="74">
        <v>96259994</v>
      </c>
      <c r="D87" s="74">
        <v>89132560</v>
      </c>
      <c r="E87" s="74">
        <f t="shared" si="9"/>
        <v>-7127434</v>
      </c>
      <c r="F87" s="70">
        <f t="shared" si="8"/>
        <v>-7.4043574114496621E-2</v>
      </c>
      <c r="G87" s="74">
        <v>89132560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9"/>
        <v>0</v>
      </c>
      <c r="F88" s="70">
        <f t="shared" si="8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918166</v>
      </c>
      <c r="C89" s="74">
        <v>935200</v>
      </c>
      <c r="D89" s="74">
        <v>940503</v>
      </c>
      <c r="E89" s="74">
        <f t="shared" si="9"/>
        <v>5303</v>
      </c>
      <c r="F89" s="70">
        <f t="shared" si="8"/>
        <v>5.6704448246364418E-3</v>
      </c>
      <c r="G89" s="74">
        <v>940503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104329274.69</v>
      </c>
      <c r="C90" s="80">
        <f t="shared" ref="C90:D90" si="12">SUM(C86:C89)</f>
        <v>100318741</v>
      </c>
      <c r="D90" s="80">
        <f t="shared" si="12"/>
        <v>92954832</v>
      </c>
      <c r="E90" s="80">
        <f t="shared" si="9"/>
        <v>-7363909</v>
      </c>
      <c r="F90" s="81">
        <f t="shared" si="8"/>
        <v>-7.3405117793493846E-2</v>
      </c>
      <c r="G90" s="80">
        <f>SUM(G86:G89)</f>
        <v>92954832</v>
      </c>
      <c r="H90" s="228"/>
    </row>
    <row r="91" spans="1:8" ht="15" customHeight="1" x14ac:dyDescent="0.25">
      <c r="A91" s="75" t="s">
        <v>82</v>
      </c>
      <c r="B91" s="74">
        <v>6279244.1600000001</v>
      </c>
      <c r="C91" s="74">
        <v>3324975</v>
      </c>
      <c r="D91" s="74">
        <v>4305196</v>
      </c>
      <c r="E91" s="74">
        <f t="shared" si="9"/>
        <v>980221</v>
      </c>
      <c r="F91" s="70">
        <f t="shared" si="8"/>
        <v>0.29480552485357031</v>
      </c>
      <c r="G91" s="74">
        <v>4305196</v>
      </c>
      <c r="H91" s="227"/>
    </row>
    <row r="92" spans="1:8" ht="15" customHeight="1" x14ac:dyDescent="0.25">
      <c r="A92" s="75" t="s">
        <v>83</v>
      </c>
      <c r="B92" s="74">
        <v>885789.18</v>
      </c>
      <c r="C92" s="74">
        <v>1188221</v>
      </c>
      <c r="D92" s="74">
        <v>1116150</v>
      </c>
      <c r="E92" s="74">
        <f t="shared" si="9"/>
        <v>-72071</v>
      </c>
      <c r="F92" s="70">
        <f t="shared" si="8"/>
        <v>-6.0654541537306615E-2</v>
      </c>
      <c r="G92" s="74">
        <v>1116150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9"/>
        <v>0</v>
      </c>
      <c r="F93" s="70">
        <f t="shared" si="8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7165033.3399999999</v>
      </c>
      <c r="C94" s="96">
        <f t="shared" ref="C94:D94" si="13">SUM(C91:C93)</f>
        <v>4513196</v>
      </c>
      <c r="D94" s="96">
        <f t="shared" si="13"/>
        <v>5421346</v>
      </c>
      <c r="E94" s="80">
        <f t="shared" si="9"/>
        <v>908150</v>
      </c>
      <c r="F94" s="81">
        <f t="shared" si="8"/>
        <v>0.20122104158560808</v>
      </c>
      <c r="G94" s="96">
        <f>SUM(G91:G93)</f>
        <v>5421346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9"/>
        <v>0</v>
      </c>
      <c r="F95" s="70">
        <f t="shared" si="8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566408525.64999998</v>
      </c>
      <c r="C96" s="196">
        <f>SUM(C81,C85,C90,C94,C95)</f>
        <v>575085507</v>
      </c>
      <c r="D96" s="196">
        <f>SUM(D81,D85,D90,D94,D95)</f>
        <v>566893838</v>
      </c>
      <c r="E96" s="196">
        <f>D96-C96</f>
        <v>-8191669</v>
      </c>
      <c r="F96" s="198">
        <f t="shared" si="8"/>
        <v>-1.4244262636234371E-2</v>
      </c>
      <c r="G96" s="196">
        <f>SUM(G81,G85,G90,G94,G95)</f>
        <v>572255638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119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5100153</v>
      </c>
      <c r="C8" s="69">
        <v>5100153</v>
      </c>
      <c r="D8" s="69">
        <v>2463950</v>
      </c>
      <c r="E8" s="69">
        <f>D8-C8</f>
        <v>-2636203</v>
      </c>
      <c r="F8" s="70">
        <f t="shared" ref="F8:F31" si="0">IF(ISBLANK(E8),"  ",IF(C8&gt;0,E8/C8,IF(E8&gt;0,1,0)))</f>
        <v>-0.51688704240833561</v>
      </c>
      <c r="G8" s="69">
        <v>2463950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225079</v>
      </c>
      <c r="C10" s="72">
        <v>267407</v>
      </c>
      <c r="D10" s="72">
        <v>229070</v>
      </c>
      <c r="E10" s="69">
        <f t="shared" ref="E10:E31" si="1">D10-C10</f>
        <v>-38337</v>
      </c>
      <c r="F10" s="70">
        <f t="shared" si="0"/>
        <v>-0.14336573088961771</v>
      </c>
      <c r="G10" s="72">
        <f>SUM(G11:G31)</f>
        <v>229070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225079</v>
      </c>
      <c r="C12" s="74">
        <v>267407</v>
      </c>
      <c r="D12" s="74">
        <v>229070</v>
      </c>
      <c r="E12" s="69">
        <f t="shared" si="1"/>
        <v>-38337</v>
      </c>
      <c r="F12" s="70">
        <f t="shared" si="0"/>
        <v>-0.14336573088961771</v>
      </c>
      <c r="G12" s="74">
        <v>229070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SUM(B8,B9,B10,B33,B35)</f>
        <v>5325232</v>
      </c>
      <c r="C37" s="80">
        <f t="shared" ref="C37:D37" si="2">SUM(C8,C9,C10,C33,C35)</f>
        <v>5367560</v>
      </c>
      <c r="D37" s="80">
        <f t="shared" si="2"/>
        <v>2693020</v>
      </c>
      <c r="E37" s="80">
        <f>D37-C37</f>
        <v>-2674540</v>
      </c>
      <c r="F37" s="81">
        <f>IF(ISBLANK(E37),"  ",IF(C37&gt;0,E37/C37,IF(E37&gt;0,1,0)))</f>
        <v>-0.49827854742191985</v>
      </c>
      <c r="G37" s="80">
        <f>SUM(G8,G9,G10,G33,G35)</f>
        <v>2693020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2576300</v>
      </c>
      <c r="C48" s="87">
        <v>2576300</v>
      </c>
      <c r="D48" s="87">
        <v>0</v>
      </c>
      <c r="E48" s="87">
        <f>D48-C48</f>
        <v>-2576300</v>
      </c>
      <c r="F48" s="81">
        <f>IF(ISBLANK(E48)," ",IF(C48&gt;0,E48/C48,IF(E48&gt;0,1,0)))</f>
        <v>-1</v>
      </c>
      <c r="G48" s="87">
        <v>2576300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18550933</v>
      </c>
      <c r="C52" s="85">
        <v>18441127</v>
      </c>
      <c r="D52" s="85">
        <v>17291127</v>
      </c>
      <c r="E52" s="85">
        <f>D52-C52</f>
        <v>-1150000</v>
      </c>
      <c r="F52" s="81">
        <f>IF(ISBLANK(E52),"  ",IF(C52&gt;0,E52/C52,IF(E52&gt;0,1,0)))</f>
        <v>-6.2360613860530323E-2</v>
      </c>
      <c r="G52" s="85">
        <v>17291127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26452465</v>
      </c>
      <c r="C58" s="85">
        <f t="shared" ref="C58:D58" si="5">SUM(C37,C46,C48,C50,C52,C54,C56)-C44</f>
        <v>26384987</v>
      </c>
      <c r="D58" s="85">
        <f t="shared" si="5"/>
        <v>19984147</v>
      </c>
      <c r="E58" s="85">
        <f>D58-C58</f>
        <v>-6400840</v>
      </c>
      <c r="F58" s="81">
        <f>IF(ISBLANK(E58),"  ",IF(C58&gt;0,E58/C58,IF(E58&gt;0,1,0)))</f>
        <v>-0.24259401757522184</v>
      </c>
      <c r="G58" s="85">
        <f>SUM(G37,G46,G48,G50,G52,G54,G56)-G44</f>
        <v>22560447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11676092.77</v>
      </c>
      <c r="C62" s="65">
        <v>10732887</v>
      </c>
      <c r="D62" s="65">
        <v>9007728</v>
      </c>
      <c r="E62" s="65">
        <f>D62-C62</f>
        <v>-1725159</v>
      </c>
      <c r="F62" s="70">
        <f t="shared" ref="F62:F75" si="6">IF(ISBLANK(E62),"  ",IF(C62&gt;0,E62/C62,IF(E62&gt;0,1,0)))</f>
        <v>-0.16073578339173794</v>
      </c>
      <c r="G62" s="65">
        <f>9007728+1529003.24</f>
        <v>10536731.24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74">
        <f>D63-C63</f>
        <v>0</v>
      </c>
      <c r="F63" s="70">
        <f t="shared" si="6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74">
        <f t="shared" ref="E64:E75" si="7">D64-C64</f>
        <v>0</v>
      </c>
      <c r="F64" s="70">
        <f t="shared" si="6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1467606.58</v>
      </c>
      <c r="C65" s="74">
        <v>1084145</v>
      </c>
      <c r="D65" s="74">
        <v>1031239</v>
      </c>
      <c r="E65" s="74">
        <f t="shared" si="7"/>
        <v>-52906</v>
      </c>
      <c r="F65" s="70">
        <f t="shared" si="6"/>
        <v>-4.8799745421507272E-2</v>
      </c>
      <c r="G65" s="74">
        <f>1031239+85886.65</f>
        <v>1117125.6499999999</v>
      </c>
      <c r="H65" s="227"/>
    </row>
    <row r="66" spans="1:8" ht="15" customHeight="1" x14ac:dyDescent="0.25">
      <c r="A66" s="75" t="s">
        <v>58</v>
      </c>
      <c r="B66" s="74">
        <v>1878930.04</v>
      </c>
      <c r="C66" s="74">
        <v>1170326</v>
      </c>
      <c r="D66" s="74">
        <v>1256288</v>
      </c>
      <c r="E66" s="74">
        <f t="shared" si="7"/>
        <v>85962</v>
      </c>
      <c r="F66" s="70">
        <f t="shared" si="6"/>
        <v>7.3451328945951813E-2</v>
      </c>
      <c r="G66" s="74">
        <f>1256288+282007.01</f>
        <v>1538295.01</v>
      </c>
      <c r="H66" s="227"/>
    </row>
    <row r="67" spans="1:8" ht="15" customHeight="1" x14ac:dyDescent="0.25">
      <c r="A67" s="75" t="s">
        <v>59</v>
      </c>
      <c r="B67" s="74">
        <v>3097987.59</v>
      </c>
      <c r="C67" s="74">
        <v>6777648</v>
      </c>
      <c r="D67" s="74">
        <v>7123050</v>
      </c>
      <c r="E67" s="74">
        <f t="shared" si="7"/>
        <v>345402</v>
      </c>
      <c r="F67" s="70">
        <f t="shared" si="6"/>
        <v>5.0961926615250598E-2</v>
      </c>
      <c r="G67" s="74">
        <f>7123050+158456.38</f>
        <v>7281506.3799999999</v>
      </c>
      <c r="H67" s="227"/>
    </row>
    <row r="68" spans="1:8" ht="15" customHeight="1" x14ac:dyDescent="0.25">
      <c r="A68" s="75" t="s">
        <v>60</v>
      </c>
      <c r="B68" s="74">
        <v>1662181.74</v>
      </c>
      <c r="C68" s="74">
        <v>1616000</v>
      </c>
      <c r="D68" s="74">
        <v>1616000</v>
      </c>
      <c r="E68" s="74">
        <f t="shared" si="7"/>
        <v>0</v>
      </c>
      <c r="F68" s="70">
        <f t="shared" si="6"/>
        <v>0</v>
      </c>
      <c r="G68" s="74">
        <v>1616000</v>
      </c>
      <c r="H68" s="227"/>
    </row>
    <row r="69" spans="1:8" ht="15" customHeight="1" x14ac:dyDescent="0.25">
      <c r="A69" s="75" t="s">
        <v>61</v>
      </c>
      <c r="B69" s="74">
        <v>2982266.9599999995</v>
      </c>
      <c r="C69" s="74">
        <v>2427681</v>
      </c>
      <c r="D69" s="74">
        <v>2526142</v>
      </c>
      <c r="E69" s="74">
        <f t="shared" si="7"/>
        <v>98461</v>
      </c>
      <c r="F69" s="70">
        <f t="shared" si="6"/>
        <v>4.0557635043483885E-2</v>
      </c>
      <c r="G69" s="74">
        <f>2526142+520946.72</f>
        <v>3047088.7199999997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22765065.68</v>
      </c>
      <c r="C70" s="80">
        <f>SUM(C62:C69)</f>
        <v>23808687</v>
      </c>
      <c r="D70" s="80">
        <f>SUM(D62:D69)</f>
        <v>22560447</v>
      </c>
      <c r="E70" s="80">
        <f t="shared" si="7"/>
        <v>-1248240</v>
      </c>
      <c r="F70" s="81">
        <f t="shared" si="6"/>
        <v>-5.242792263176882E-2</v>
      </c>
      <c r="G70" s="80">
        <f>SUM(G62:G69)</f>
        <v>25136747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7"/>
        <v>0</v>
      </c>
      <c r="F71" s="70">
        <f t="shared" si="6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3687400</v>
      </c>
      <c r="C72" s="74">
        <v>2576300</v>
      </c>
      <c r="D72" s="74">
        <v>-2576300</v>
      </c>
      <c r="E72" s="74">
        <f t="shared" si="7"/>
        <v>-5152600</v>
      </c>
      <c r="F72" s="70">
        <f t="shared" si="6"/>
        <v>-2</v>
      </c>
      <c r="G72" s="74">
        <v>-2576300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7"/>
        <v>0</v>
      </c>
      <c r="F73" s="70">
        <f t="shared" si="6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7"/>
        <v>0</v>
      </c>
      <c r="F74" s="70">
        <f t="shared" si="6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26452465.68</v>
      </c>
      <c r="C75" s="96">
        <f>SUM(C70,C71:C74)</f>
        <v>26384987</v>
      </c>
      <c r="D75" s="96">
        <f>SUM(D70,D71:D74)</f>
        <v>19984147</v>
      </c>
      <c r="E75" s="231">
        <f t="shared" si="7"/>
        <v>-6400840</v>
      </c>
      <c r="F75" s="81">
        <f t="shared" si="6"/>
        <v>-0.24259401757522184</v>
      </c>
      <c r="G75" s="96">
        <f>SUM(G70,G71:G74)</f>
        <v>22560447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12607471.419999998</v>
      </c>
      <c r="C78" s="69">
        <v>13581505</v>
      </c>
      <c r="D78" s="69">
        <v>10977531</v>
      </c>
      <c r="E78" s="65">
        <f>D78-C78</f>
        <v>-2603974</v>
      </c>
      <c r="F78" s="70">
        <f t="shared" ref="F78:F96" si="8">IF(ISBLANK(E78),"  ",IF(C78&gt;0,E78/C78,IF(E78&gt;0,1,0)))</f>
        <v>-0.19172941437638907</v>
      </c>
      <c r="G78" s="69">
        <v>12795110.65</v>
      </c>
      <c r="H78" s="227"/>
    </row>
    <row r="79" spans="1:8" ht="15" customHeight="1" x14ac:dyDescent="0.25">
      <c r="A79" s="75" t="s">
        <v>70</v>
      </c>
      <c r="B79" s="72">
        <v>201077.75</v>
      </c>
      <c r="C79" s="69">
        <v>221050</v>
      </c>
      <c r="D79" s="69">
        <v>185250</v>
      </c>
      <c r="E79" s="74">
        <f>D79-C79</f>
        <v>-35800</v>
      </c>
      <c r="F79" s="70">
        <f t="shared" si="8"/>
        <v>-0.16195430897986882</v>
      </c>
      <c r="G79" s="69">
        <v>185250</v>
      </c>
      <c r="H79" s="227"/>
    </row>
    <row r="80" spans="1:8" ht="15" customHeight="1" x14ac:dyDescent="0.25">
      <c r="A80" s="75" t="s">
        <v>71</v>
      </c>
      <c r="B80" s="65">
        <v>6336630.3500000006</v>
      </c>
      <c r="C80" s="69">
        <v>6164592</v>
      </c>
      <c r="D80" s="69">
        <v>5584351</v>
      </c>
      <c r="E80" s="74">
        <f t="shared" ref="E80:E95" si="9">D80-C80</f>
        <v>-580241</v>
      </c>
      <c r="F80" s="70">
        <f t="shared" si="8"/>
        <v>-9.4124801771147223E-2</v>
      </c>
      <c r="G80" s="69">
        <v>6343071.3499999996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19145179.52</v>
      </c>
      <c r="C81" s="96">
        <f t="shared" ref="C81:D81" si="10">SUM(C78:C80)</f>
        <v>19967147</v>
      </c>
      <c r="D81" s="96">
        <f t="shared" si="10"/>
        <v>16747132</v>
      </c>
      <c r="E81" s="80">
        <f t="shared" si="9"/>
        <v>-3220015</v>
      </c>
      <c r="F81" s="81">
        <f t="shared" si="8"/>
        <v>-0.16126565302494142</v>
      </c>
      <c r="G81" s="96">
        <f>SUM(G78:G80)</f>
        <v>19323432</v>
      </c>
      <c r="H81" s="228"/>
    </row>
    <row r="82" spans="1:8" ht="15" customHeight="1" x14ac:dyDescent="0.25">
      <c r="A82" s="75" t="s">
        <v>73</v>
      </c>
      <c r="B82" s="72">
        <v>87077.5</v>
      </c>
      <c r="C82" s="72">
        <v>135200</v>
      </c>
      <c r="D82" s="72">
        <v>132200</v>
      </c>
      <c r="E82" s="74">
        <f t="shared" si="9"/>
        <v>-3000</v>
      </c>
      <c r="F82" s="70">
        <f t="shared" si="8"/>
        <v>-2.2189349112426034E-2</v>
      </c>
      <c r="G82" s="72">
        <v>132200</v>
      </c>
      <c r="H82" s="227"/>
    </row>
    <row r="83" spans="1:8" ht="15" customHeight="1" x14ac:dyDescent="0.25">
      <c r="A83" s="75" t="s">
        <v>74</v>
      </c>
      <c r="B83" s="69">
        <v>1864347.76</v>
      </c>
      <c r="C83" s="69">
        <v>1803800</v>
      </c>
      <c r="D83" s="69">
        <v>1061420.6200000001</v>
      </c>
      <c r="E83" s="74">
        <f t="shared" si="9"/>
        <v>-742379.37999999989</v>
      </c>
      <c r="F83" s="70">
        <f t="shared" si="8"/>
        <v>-0.41156413127841218</v>
      </c>
      <c r="G83" s="69">
        <v>1061420.6200000001</v>
      </c>
      <c r="H83" s="227"/>
    </row>
    <row r="84" spans="1:8" ht="15" customHeight="1" x14ac:dyDescent="0.25">
      <c r="A84" s="75" t="s">
        <v>75</v>
      </c>
      <c r="B84" s="65">
        <v>751917.06</v>
      </c>
      <c r="C84" s="65">
        <v>359250</v>
      </c>
      <c r="D84" s="65">
        <v>361550</v>
      </c>
      <c r="E84" s="74">
        <f t="shared" si="9"/>
        <v>2300</v>
      </c>
      <c r="F84" s="70">
        <f t="shared" si="8"/>
        <v>6.4022268615170491E-3</v>
      </c>
      <c r="G84" s="65">
        <v>361550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2703342.3200000003</v>
      </c>
      <c r="C85" s="96">
        <f t="shared" ref="C85:D85" si="11">SUM(C82:C84)</f>
        <v>2298250</v>
      </c>
      <c r="D85" s="96">
        <f t="shared" si="11"/>
        <v>1555170.62</v>
      </c>
      <c r="E85" s="80">
        <f t="shared" si="9"/>
        <v>-743079.37999999989</v>
      </c>
      <c r="F85" s="81">
        <f t="shared" si="8"/>
        <v>-0.32332399869465894</v>
      </c>
      <c r="G85" s="96">
        <f>SUM(G82:G84)</f>
        <v>1555170.62</v>
      </c>
      <c r="H85" s="228"/>
    </row>
    <row r="86" spans="1:8" ht="15" customHeight="1" x14ac:dyDescent="0.25">
      <c r="A86" s="75" t="s">
        <v>77</v>
      </c>
      <c r="B86" s="65">
        <v>1783743.65</v>
      </c>
      <c r="C86" s="65">
        <v>2360840</v>
      </c>
      <c r="D86" s="65">
        <v>2479394</v>
      </c>
      <c r="E86" s="74">
        <f t="shared" si="9"/>
        <v>118554</v>
      </c>
      <c r="F86" s="70">
        <f t="shared" si="8"/>
        <v>5.0216871960827504E-2</v>
      </c>
      <c r="G86" s="65">
        <v>2479394</v>
      </c>
      <c r="H86" s="227"/>
    </row>
    <row r="87" spans="1:8" ht="15" customHeight="1" x14ac:dyDescent="0.25">
      <c r="A87" s="75" t="s">
        <v>78</v>
      </c>
      <c r="B87" s="74">
        <v>2785977.25</v>
      </c>
      <c r="C87" s="74">
        <v>1710250</v>
      </c>
      <c r="D87" s="74">
        <v>-846050</v>
      </c>
      <c r="E87" s="74">
        <f t="shared" si="9"/>
        <v>-2556300</v>
      </c>
      <c r="F87" s="70">
        <f t="shared" si="8"/>
        <v>-1.4946937582224822</v>
      </c>
      <c r="G87" s="74">
        <v>-846050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9"/>
        <v>0</v>
      </c>
      <c r="F88" s="70">
        <f t="shared" si="8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0</v>
      </c>
      <c r="C89" s="74">
        <v>0</v>
      </c>
      <c r="D89" s="74">
        <v>0</v>
      </c>
      <c r="E89" s="74">
        <f t="shared" si="9"/>
        <v>0</v>
      </c>
      <c r="F89" s="70">
        <f t="shared" si="8"/>
        <v>0</v>
      </c>
      <c r="G89" s="74">
        <v>0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4569720.9000000004</v>
      </c>
      <c r="C90" s="80">
        <f t="shared" ref="C90:D90" si="12">SUM(C86:C89)</f>
        <v>4071090</v>
      </c>
      <c r="D90" s="80">
        <f t="shared" si="12"/>
        <v>1633344</v>
      </c>
      <c r="E90" s="80">
        <f t="shared" si="9"/>
        <v>-2437746</v>
      </c>
      <c r="F90" s="81">
        <f t="shared" si="8"/>
        <v>-0.59879442606279887</v>
      </c>
      <c r="G90" s="80">
        <f>SUM(G86:G89)</f>
        <v>1633344</v>
      </c>
      <c r="H90" s="228"/>
    </row>
    <row r="91" spans="1:8" ht="15" customHeight="1" x14ac:dyDescent="0.25">
      <c r="A91" s="75" t="s">
        <v>82</v>
      </c>
      <c r="B91" s="74">
        <v>34045.94</v>
      </c>
      <c r="C91" s="74">
        <v>48500</v>
      </c>
      <c r="D91" s="74">
        <v>48500</v>
      </c>
      <c r="E91" s="74">
        <f t="shared" si="9"/>
        <v>0</v>
      </c>
      <c r="F91" s="70">
        <f t="shared" si="8"/>
        <v>0</v>
      </c>
      <c r="G91" s="74">
        <v>48500</v>
      </c>
      <c r="H91" s="227"/>
    </row>
    <row r="92" spans="1:8" ht="15" customHeight="1" x14ac:dyDescent="0.25">
      <c r="A92" s="75" t="s">
        <v>83</v>
      </c>
      <c r="B92" s="74">
        <v>177</v>
      </c>
      <c r="C92" s="74">
        <v>0</v>
      </c>
      <c r="D92" s="74">
        <v>0</v>
      </c>
      <c r="E92" s="74">
        <f t="shared" si="9"/>
        <v>0</v>
      </c>
      <c r="F92" s="70">
        <f t="shared" si="8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9"/>
        <v>0</v>
      </c>
      <c r="F93" s="70">
        <f t="shared" si="8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34222.94</v>
      </c>
      <c r="C94" s="96">
        <f t="shared" ref="C94:D94" si="13">SUM(C91:C93)</f>
        <v>48500</v>
      </c>
      <c r="D94" s="96">
        <f t="shared" si="13"/>
        <v>48500</v>
      </c>
      <c r="E94" s="80">
        <f t="shared" si="9"/>
        <v>0</v>
      </c>
      <c r="F94" s="81">
        <f t="shared" si="8"/>
        <v>0</v>
      </c>
      <c r="G94" s="96">
        <f>SUM(G91:G93)</f>
        <v>48500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9"/>
        <v>0</v>
      </c>
      <c r="F95" s="70">
        <f t="shared" si="8"/>
        <v>0</v>
      </c>
      <c r="G95" s="72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26452465.680000003</v>
      </c>
      <c r="C96" s="196">
        <f>SUM(C81,C85,C90,C94,C95)</f>
        <v>26384987</v>
      </c>
      <c r="D96" s="196">
        <f>SUM(D81,D85,D90,D94,D95)</f>
        <v>19984146.620000001</v>
      </c>
      <c r="E96" s="196">
        <f>D96-C96</f>
        <v>-6400840.379999999</v>
      </c>
      <c r="F96" s="198">
        <f t="shared" si="8"/>
        <v>-0.24259403197735133</v>
      </c>
      <c r="G96" s="197">
        <f>SUM(G81,G85,G90,G94,G95)</f>
        <v>22560446.620000001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121</v>
      </c>
      <c r="F1" s="50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9031005</v>
      </c>
      <c r="C8" s="69">
        <v>9031005</v>
      </c>
      <c r="D8" s="69">
        <v>8023149</v>
      </c>
      <c r="E8" s="69">
        <f>D8-C8</f>
        <v>-1007856</v>
      </c>
      <c r="F8" s="70">
        <f t="shared" ref="F8:F31" si="0">IF(ISBLANK(E8),"  ",IF(C8&gt;0,E8/C8,IF(E8&gt;0,1,0)))</f>
        <v>-0.1115995395861258</v>
      </c>
      <c r="G8" s="69">
        <v>8023149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529763</v>
      </c>
      <c r="C10" s="72">
        <f>SUM(C11:C31)</f>
        <v>629390</v>
      </c>
      <c r="D10" s="72">
        <f>SUM(D11:D31)</f>
        <v>539159</v>
      </c>
      <c r="E10" s="69">
        <f t="shared" ref="E10:E31" si="1">D10-C10</f>
        <v>-90231</v>
      </c>
      <c r="F10" s="70">
        <f t="shared" si="0"/>
        <v>-0.14336262095044408</v>
      </c>
      <c r="G10" s="72">
        <f>SUM(G11:G31)</f>
        <v>539159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529763</v>
      </c>
      <c r="C12" s="74">
        <v>629390</v>
      </c>
      <c r="D12" s="74">
        <v>539159</v>
      </c>
      <c r="E12" s="69">
        <f t="shared" si="1"/>
        <v>-90231</v>
      </c>
      <c r="F12" s="70">
        <f t="shared" si="0"/>
        <v>-0.14336262095044408</v>
      </c>
      <c r="G12" s="74">
        <v>539159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SUM(B8,B9,B10,B33,B35)</f>
        <v>9560768</v>
      </c>
      <c r="C37" s="80">
        <f t="shared" ref="C37:D37" si="2">SUM(C8,C9,C10,C33,C35)</f>
        <v>9660395</v>
      </c>
      <c r="D37" s="80">
        <f t="shared" si="2"/>
        <v>8562308</v>
      </c>
      <c r="E37" s="80">
        <f>D37-C37</f>
        <v>-1098087</v>
      </c>
      <c r="F37" s="81">
        <f>IF(ISBLANK(E37),"  ",IF(C37&gt;0,E37/C37,IF(E37&gt;0,1,0)))</f>
        <v>-0.11366895453032717</v>
      </c>
      <c r="G37" s="80">
        <f>SUM(G8,G9,G10,G33,G35)</f>
        <v>8562308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781100</v>
      </c>
      <c r="C48" s="87">
        <v>781100</v>
      </c>
      <c r="D48" s="87">
        <v>0</v>
      </c>
      <c r="E48" s="87">
        <f>D48-C48</f>
        <v>-781100</v>
      </c>
      <c r="F48" s="81">
        <f>IF(ISBLANK(E48)," ",IF(C48&gt;0,E48/C48,IF(E48&gt;0,1,0)))</f>
        <v>-1</v>
      </c>
      <c r="G48" s="87">
        <v>781100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49198087.689999998</v>
      </c>
      <c r="C52" s="85">
        <v>50994397</v>
      </c>
      <c r="D52" s="85">
        <v>52994397</v>
      </c>
      <c r="E52" s="85">
        <f>D52-C52</f>
        <v>2000000</v>
      </c>
      <c r="F52" s="81">
        <f>IF(ISBLANK(E52),"  ",IF(C52&gt;0,E52/C52,IF(E52&gt;0,1,0)))</f>
        <v>3.9219995090833217E-2</v>
      </c>
      <c r="G52" s="85">
        <v>52994397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59539955.689999998</v>
      </c>
      <c r="C58" s="85">
        <f t="shared" ref="C58:D58" si="5">SUM(C37,C46,C48,C50,C52,C54,C56)-C44</f>
        <v>61435892</v>
      </c>
      <c r="D58" s="85">
        <f t="shared" si="5"/>
        <v>61556705</v>
      </c>
      <c r="E58" s="85">
        <f>D58-C58</f>
        <v>120813</v>
      </c>
      <c r="F58" s="81">
        <f>IF(ISBLANK(E58),"  ",IF(C58&gt;0,E58/C58,IF(E58&gt;0,1,0)))</f>
        <v>1.966488905215212E-3</v>
      </c>
      <c r="G58" s="85">
        <f>SUM(G37,G46,G48,G50,G52,G54,G56)-G44</f>
        <v>62337805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32904724.050000001</v>
      </c>
      <c r="C62" s="65">
        <v>30062545</v>
      </c>
      <c r="D62" s="65">
        <v>29748276</v>
      </c>
      <c r="E62" s="65">
        <f>D62-C62</f>
        <v>-314269</v>
      </c>
      <c r="F62" s="70">
        <f t="shared" ref="F62:F75" si="6">IF(ISBLANK(E62),"  ",IF(C62&gt;0,E62/C62,IF(E62&gt;0,1,0)))</f>
        <v>-1.0453838821696567E-2</v>
      </c>
      <c r="G62" s="65">
        <f>29748275+655814.28</f>
        <v>30404089.280000001</v>
      </c>
      <c r="H62" s="227"/>
    </row>
    <row r="63" spans="1:8" ht="15" customHeight="1" x14ac:dyDescent="0.25">
      <c r="A63" s="75" t="s">
        <v>55</v>
      </c>
      <c r="B63" s="74">
        <v>70169</v>
      </c>
      <c r="C63" s="74">
        <v>84508</v>
      </c>
      <c r="D63" s="74">
        <v>153127</v>
      </c>
      <c r="E63" s="74">
        <f>D63-C63</f>
        <v>68619</v>
      </c>
      <c r="F63" s="70">
        <f t="shared" si="6"/>
        <v>0.81198229753396123</v>
      </c>
      <c r="G63" s="74">
        <v>153127</v>
      </c>
      <c r="H63" s="227"/>
    </row>
    <row r="64" spans="1:8" ht="15" customHeight="1" x14ac:dyDescent="0.25">
      <c r="A64" s="75" t="s">
        <v>56</v>
      </c>
      <c r="B64" s="74">
        <v>357983.57</v>
      </c>
      <c r="C64" s="74">
        <v>102000</v>
      </c>
      <c r="D64" s="74">
        <v>102000</v>
      </c>
      <c r="E64" s="74">
        <f t="shared" ref="E64:E75" si="7">D64-C64</f>
        <v>0</v>
      </c>
      <c r="F64" s="70">
        <f t="shared" si="6"/>
        <v>0</v>
      </c>
      <c r="G64" s="74">
        <v>102000</v>
      </c>
      <c r="H64" s="227"/>
    </row>
    <row r="65" spans="1:8" ht="15" customHeight="1" x14ac:dyDescent="0.25">
      <c r="A65" s="75" t="s">
        <v>57</v>
      </c>
      <c r="B65" s="74">
        <v>4202846.95</v>
      </c>
      <c r="C65" s="74">
        <v>3802510</v>
      </c>
      <c r="D65" s="74">
        <v>3945607</v>
      </c>
      <c r="E65" s="74">
        <f t="shared" si="7"/>
        <v>143097</v>
      </c>
      <c r="F65" s="70">
        <f t="shared" si="6"/>
        <v>3.7632248172917361E-2</v>
      </c>
      <c r="G65" s="74">
        <f>3945607+60836.09</f>
        <v>4006443.09</v>
      </c>
      <c r="H65" s="227"/>
    </row>
    <row r="66" spans="1:8" ht="15" customHeight="1" x14ac:dyDescent="0.25">
      <c r="A66" s="75" t="s">
        <v>58</v>
      </c>
      <c r="B66" s="74">
        <v>2687423.0500000003</v>
      </c>
      <c r="C66" s="74">
        <v>2306476</v>
      </c>
      <c r="D66" s="74">
        <v>2399521</v>
      </c>
      <c r="E66" s="74">
        <f t="shared" si="7"/>
        <v>93045</v>
      </c>
      <c r="F66" s="70">
        <f t="shared" si="6"/>
        <v>4.0340762271101019E-2</v>
      </c>
      <c r="G66" s="74">
        <v>2399521</v>
      </c>
      <c r="H66" s="227"/>
    </row>
    <row r="67" spans="1:8" ht="15" customHeight="1" x14ac:dyDescent="0.25">
      <c r="A67" s="75" t="s">
        <v>59</v>
      </c>
      <c r="B67" s="74">
        <v>9535022.8399999999</v>
      </c>
      <c r="C67" s="74">
        <v>18397511</v>
      </c>
      <c r="D67" s="74">
        <v>16895131</v>
      </c>
      <c r="E67" s="74">
        <f t="shared" si="7"/>
        <v>-1502380</v>
      </c>
      <c r="F67" s="70">
        <f t="shared" si="6"/>
        <v>-8.1662133535346168E-2</v>
      </c>
      <c r="G67" s="74">
        <f>16895131+64449.63</f>
        <v>16959580.629999999</v>
      </c>
      <c r="H67" s="227"/>
    </row>
    <row r="68" spans="1:8" ht="15" customHeight="1" x14ac:dyDescent="0.25">
      <c r="A68" s="75" t="s">
        <v>60</v>
      </c>
      <c r="B68" s="74">
        <v>1658359</v>
      </c>
      <c r="C68" s="74">
        <v>1521000</v>
      </c>
      <c r="D68" s="74">
        <v>1507500</v>
      </c>
      <c r="E68" s="74">
        <f t="shared" si="7"/>
        <v>-13500</v>
      </c>
      <c r="F68" s="70">
        <f t="shared" si="6"/>
        <v>-8.8757396449704144E-3</v>
      </c>
      <c r="G68" s="74">
        <v>1507500</v>
      </c>
      <c r="H68" s="227"/>
    </row>
    <row r="69" spans="1:8" ht="15" customHeight="1" x14ac:dyDescent="0.25">
      <c r="A69" s="75" t="s">
        <v>61</v>
      </c>
      <c r="B69" s="74">
        <v>6793114.1200000001</v>
      </c>
      <c r="C69" s="74">
        <v>5159342</v>
      </c>
      <c r="D69" s="74">
        <v>7586643</v>
      </c>
      <c r="E69" s="74">
        <f t="shared" si="7"/>
        <v>2427301</v>
      </c>
      <c r="F69" s="70">
        <f t="shared" si="6"/>
        <v>0.47046716422365487</v>
      </c>
      <c r="G69" s="74">
        <v>7586643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58209642.579999991</v>
      </c>
      <c r="C70" s="80">
        <f>SUM(C62:C69)</f>
        <v>61435892</v>
      </c>
      <c r="D70" s="80">
        <f>SUM(D62:D69)</f>
        <v>62337805</v>
      </c>
      <c r="E70" s="80">
        <f t="shared" si="7"/>
        <v>901913</v>
      </c>
      <c r="F70" s="81">
        <f t="shared" si="6"/>
        <v>1.4680555138680171E-2</v>
      </c>
      <c r="G70" s="80">
        <f>SUM(G62:G69)</f>
        <v>63118904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7"/>
        <v>0</v>
      </c>
      <c r="F71" s="70">
        <f t="shared" si="6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1330313.18</v>
      </c>
      <c r="C72" s="74">
        <v>0</v>
      </c>
      <c r="D72" s="74">
        <v>-781100</v>
      </c>
      <c r="E72" s="74">
        <f t="shared" si="7"/>
        <v>-781100</v>
      </c>
      <c r="F72" s="70">
        <f t="shared" si="6"/>
        <v>0</v>
      </c>
      <c r="G72" s="74">
        <v>-781100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7"/>
        <v>0</v>
      </c>
      <c r="F73" s="70">
        <f t="shared" si="6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7"/>
        <v>0</v>
      </c>
      <c r="F74" s="70">
        <f t="shared" si="6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59539955.75999999</v>
      </c>
      <c r="C75" s="96">
        <f>SUM(C70,C71:C74)</f>
        <v>61435892</v>
      </c>
      <c r="D75" s="96">
        <f>SUM(D70,D71:D74)</f>
        <v>61556705</v>
      </c>
      <c r="E75" s="231">
        <f t="shared" si="7"/>
        <v>120813</v>
      </c>
      <c r="F75" s="81">
        <f t="shared" si="6"/>
        <v>1.966488905215212E-3</v>
      </c>
      <c r="G75" s="96">
        <f>SUM(G70,G71:G74)</f>
        <v>62337804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18084272.529999997</v>
      </c>
      <c r="C78" s="69">
        <v>20423987</v>
      </c>
      <c r="D78" s="69">
        <v>22344366</v>
      </c>
      <c r="E78" s="65">
        <f>D78-C78</f>
        <v>1920379</v>
      </c>
      <c r="F78" s="70">
        <f t="shared" ref="F78:F96" si="8">IF(ISBLANK(E78),"  ",IF(C78&gt;0,E78/C78,IF(E78&gt;0,1,0)))</f>
        <v>9.402566697677589E-2</v>
      </c>
      <c r="G78" s="69">
        <f>22344366+513529.75</f>
        <v>22857895.75</v>
      </c>
      <c r="H78" s="227"/>
    </row>
    <row r="79" spans="1:8" ht="15" customHeight="1" x14ac:dyDescent="0.25">
      <c r="A79" s="75" t="s">
        <v>70</v>
      </c>
      <c r="B79" s="72">
        <v>551020.79999999993</v>
      </c>
      <c r="C79" s="69">
        <v>742958</v>
      </c>
      <c r="D79" s="69">
        <v>633700</v>
      </c>
      <c r="E79" s="74">
        <f>D79-C79</f>
        <v>-109258</v>
      </c>
      <c r="F79" s="70">
        <f t="shared" si="8"/>
        <v>-0.14705811095647398</v>
      </c>
      <c r="G79" s="69">
        <v>633700</v>
      </c>
      <c r="H79" s="227"/>
    </row>
    <row r="80" spans="1:8" ht="15" customHeight="1" x14ac:dyDescent="0.25">
      <c r="A80" s="75" t="s">
        <v>71</v>
      </c>
      <c r="B80" s="65">
        <v>9674920.0700000003</v>
      </c>
      <c r="C80" s="69">
        <v>9755120</v>
      </c>
      <c r="D80" s="69">
        <v>8683000</v>
      </c>
      <c r="E80" s="74">
        <f t="shared" ref="E80:E95" si="9">D80-C80</f>
        <v>-1072120</v>
      </c>
      <c r="F80" s="70">
        <f t="shared" si="8"/>
        <v>-0.10990331231189365</v>
      </c>
      <c r="G80" s="69">
        <f>8683000+214365</f>
        <v>8897365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28310213.399999999</v>
      </c>
      <c r="C81" s="96">
        <f t="shared" ref="C81:D81" si="10">SUM(C78:C80)</f>
        <v>30922065</v>
      </c>
      <c r="D81" s="96">
        <f t="shared" si="10"/>
        <v>31661066</v>
      </c>
      <c r="E81" s="80">
        <f t="shared" si="9"/>
        <v>739001</v>
      </c>
      <c r="F81" s="81">
        <f t="shared" si="8"/>
        <v>2.3898824350831679E-2</v>
      </c>
      <c r="G81" s="96">
        <f>SUM(G78:G80)</f>
        <v>32388960.75</v>
      </c>
      <c r="H81" s="228"/>
    </row>
    <row r="82" spans="1:8" ht="15" customHeight="1" x14ac:dyDescent="0.25">
      <c r="A82" s="75" t="s">
        <v>73</v>
      </c>
      <c r="B82" s="72">
        <v>180282.28999999998</v>
      </c>
      <c r="C82" s="72">
        <v>212538</v>
      </c>
      <c r="D82" s="72">
        <v>138938</v>
      </c>
      <c r="E82" s="74">
        <f t="shared" si="9"/>
        <v>-73600</v>
      </c>
      <c r="F82" s="70">
        <f t="shared" si="8"/>
        <v>-0.34629101619475106</v>
      </c>
      <c r="G82" s="72">
        <v>138938</v>
      </c>
      <c r="H82" s="227"/>
    </row>
    <row r="83" spans="1:8" ht="15" customHeight="1" x14ac:dyDescent="0.25">
      <c r="A83" s="75" t="s">
        <v>74</v>
      </c>
      <c r="B83" s="69">
        <v>6359210.8199999994</v>
      </c>
      <c r="C83" s="69">
        <v>5530617</v>
      </c>
      <c r="D83" s="69">
        <v>6797359</v>
      </c>
      <c r="E83" s="74">
        <f t="shared" si="9"/>
        <v>1266742</v>
      </c>
      <c r="F83" s="70">
        <f t="shared" si="8"/>
        <v>0.22904171451395025</v>
      </c>
      <c r="G83" s="69">
        <v>6797359</v>
      </c>
      <c r="H83" s="227"/>
    </row>
    <row r="84" spans="1:8" ht="15" customHeight="1" x14ac:dyDescent="0.25">
      <c r="A84" s="75" t="s">
        <v>75</v>
      </c>
      <c r="B84" s="65">
        <v>2397726.23</v>
      </c>
      <c r="C84" s="65">
        <v>2542575</v>
      </c>
      <c r="D84" s="65">
        <v>1900098</v>
      </c>
      <c r="E84" s="74">
        <f t="shared" si="9"/>
        <v>-642477</v>
      </c>
      <c r="F84" s="70">
        <f t="shared" si="8"/>
        <v>-0.25268753134125838</v>
      </c>
      <c r="G84" s="65">
        <v>1900098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8937219.3399999999</v>
      </c>
      <c r="C85" s="96">
        <f t="shared" ref="C85:D85" si="11">SUM(C82:C84)</f>
        <v>8285730</v>
      </c>
      <c r="D85" s="96">
        <f t="shared" si="11"/>
        <v>8836395</v>
      </c>
      <c r="E85" s="80">
        <f t="shared" si="9"/>
        <v>550665</v>
      </c>
      <c r="F85" s="81">
        <f t="shared" si="8"/>
        <v>6.6459442921746187E-2</v>
      </c>
      <c r="G85" s="96">
        <f>SUM(G82:G84)</f>
        <v>8836395</v>
      </c>
      <c r="H85" s="228"/>
    </row>
    <row r="86" spans="1:8" ht="15" customHeight="1" x14ac:dyDescent="0.25">
      <c r="A86" s="75" t="s">
        <v>77</v>
      </c>
      <c r="B86" s="65">
        <v>14870710.869999999</v>
      </c>
      <c r="C86" s="65">
        <v>15958400</v>
      </c>
      <c r="D86" s="65">
        <v>16028336</v>
      </c>
      <c r="E86" s="74">
        <f t="shared" si="9"/>
        <v>69936</v>
      </c>
      <c r="F86" s="70">
        <f t="shared" si="8"/>
        <v>4.3823942249849607E-3</v>
      </c>
      <c r="G86" s="65">
        <v>16028336</v>
      </c>
      <c r="H86" s="227"/>
    </row>
    <row r="87" spans="1:8" ht="15" customHeight="1" x14ac:dyDescent="0.25">
      <c r="A87" s="75" t="s">
        <v>78</v>
      </c>
      <c r="B87" s="74">
        <v>4503994.13</v>
      </c>
      <c r="C87" s="74">
        <v>2229197</v>
      </c>
      <c r="D87" s="74">
        <v>3782508</v>
      </c>
      <c r="E87" s="74">
        <f t="shared" si="9"/>
        <v>1553311</v>
      </c>
      <c r="F87" s="70">
        <f t="shared" si="8"/>
        <v>0.6968029294853707</v>
      </c>
      <c r="G87" s="74">
        <v>3782508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9"/>
        <v>0</v>
      </c>
      <c r="F88" s="70">
        <f t="shared" si="8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0</v>
      </c>
      <c r="C89" s="74">
        <v>0</v>
      </c>
      <c r="D89" s="74">
        <v>-781100</v>
      </c>
      <c r="E89" s="74">
        <f t="shared" si="9"/>
        <v>-781100</v>
      </c>
      <c r="F89" s="70">
        <f t="shared" si="8"/>
        <v>0</v>
      </c>
      <c r="G89" s="74">
        <v>-781100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19374705</v>
      </c>
      <c r="C90" s="80">
        <f t="shared" ref="C90:D90" si="12">SUM(C86:C89)</f>
        <v>18187597</v>
      </c>
      <c r="D90" s="80">
        <f t="shared" si="12"/>
        <v>19029744</v>
      </c>
      <c r="E90" s="80">
        <f t="shared" si="9"/>
        <v>842147</v>
      </c>
      <c r="F90" s="81">
        <f t="shared" si="8"/>
        <v>4.630336816897801E-2</v>
      </c>
      <c r="G90" s="80">
        <f>SUM(G86:G89)</f>
        <v>19029744</v>
      </c>
      <c r="H90" s="228"/>
    </row>
    <row r="91" spans="1:8" ht="15" customHeight="1" x14ac:dyDescent="0.25">
      <c r="A91" s="75" t="s">
        <v>82</v>
      </c>
      <c r="B91" s="74">
        <v>2917818.02</v>
      </c>
      <c r="C91" s="74">
        <v>4040500</v>
      </c>
      <c r="D91" s="74">
        <v>0</v>
      </c>
      <c r="E91" s="74">
        <f t="shared" si="9"/>
        <v>-4040500</v>
      </c>
      <c r="F91" s="70">
        <f t="shared" si="8"/>
        <v>-1</v>
      </c>
      <c r="G91" s="74">
        <v>53205.24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9"/>
        <v>0</v>
      </c>
      <c r="F92" s="70">
        <f t="shared" si="8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2029500</v>
      </c>
      <c r="E93" s="74">
        <f t="shared" si="9"/>
        <v>2029500</v>
      </c>
      <c r="F93" s="70">
        <f t="shared" si="8"/>
        <v>1</v>
      </c>
      <c r="G93" s="74">
        <v>2029500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2917818.02</v>
      </c>
      <c r="C94" s="96">
        <f t="shared" ref="C94:D94" si="13">SUM(C91:C93)</f>
        <v>4040500</v>
      </c>
      <c r="D94" s="96">
        <f t="shared" si="13"/>
        <v>2029500</v>
      </c>
      <c r="E94" s="80">
        <f t="shared" si="9"/>
        <v>-2011000</v>
      </c>
      <c r="F94" s="81">
        <f t="shared" si="8"/>
        <v>-0.49771067937136493</v>
      </c>
      <c r="G94" s="96">
        <f>SUM(G91:G93)</f>
        <v>2082705.24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9"/>
        <v>0</v>
      </c>
      <c r="F95" s="70">
        <f t="shared" si="8"/>
        <v>0</v>
      </c>
      <c r="G95" s="72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59539955.759999998</v>
      </c>
      <c r="C96" s="196">
        <f>SUM(C81,C85,C90,C94,C95)</f>
        <v>61435892</v>
      </c>
      <c r="D96" s="196">
        <f>SUM(D81,D85,D90,D94,D95)</f>
        <v>61556705</v>
      </c>
      <c r="E96" s="196">
        <f>D96-C96</f>
        <v>120813</v>
      </c>
      <c r="F96" s="198">
        <f t="shared" si="8"/>
        <v>1.966488905215212E-3</v>
      </c>
      <c r="G96" s="197">
        <f>SUM(G81,G85,G90,G94,G95)</f>
        <v>62337804.990000002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14.7109375" style="139" customWidth="1"/>
    <col min="11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120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4814477</v>
      </c>
      <c r="C8" s="69">
        <v>4814477</v>
      </c>
      <c r="D8" s="69">
        <v>1701905</v>
      </c>
      <c r="E8" s="69">
        <f>D8-C8</f>
        <v>-3112572</v>
      </c>
      <c r="F8" s="70">
        <f t="shared" ref="F8:F31" si="0">IF(ISBLANK(E8),"  ",IF(C8&gt;0,E8/C8,IF(E8&gt;0,1,0)))</f>
        <v>-0.64650262115698132</v>
      </c>
      <c r="G8" s="69">
        <v>1701905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209493.78</v>
      </c>
      <c r="C10" s="72">
        <v>248891</v>
      </c>
      <c r="D10" s="72">
        <v>213209</v>
      </c>
      <c r="E10" s="69">
        <f t="shared" ref="E10:E31" si="1">D10-C10</f>
        <v>-35682</v>
      </c>
      <c r="F10" s="70">
        <f t="shared" si="0"/>
        <v>-0.14336396253781775</v>
      </c>
      <c r="G10" s="72">
        <f>SUM(G11:G31)</f>
        <v>213209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209493.78</v>
      </c>
      <c r="C12" s="74">
        <v>248891</v>
      </c>
      <c r="D12" s="74">
        <v>213209</v>
      </c>
      <c r="E12" s="69">
        <f t="shared" si="1"/>
        <v>-35682</v>
      </c>
      <c r="F12" s="70">
        <f t="shared" si="0"/>
        <v>-0.14336396253781775</v>
      </c>
      <c r="G12" s="74">
        <v>213209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v>5023970.78</v>
      </c>
      <c r="C37" s="80">
        <v>5063368</v>
      </c>
      <c r="D37" s="80">
        <v>1915114</v>
      </c>
      <c r="E37" s="80">
        <f>D37-C37</f>
        <v>-3148254</v>
      </c>
      <c r="F37" s="81">
        <f>IF(ISBLANK(E37),"  ",IF(C37&gt;0,E37/C37,IF(E37&gt;0,1,0)))</f>
        <v>-0.62177072652037146</v>
      </c>
      <c r="G37" s="80">
        <f>SUM(G8,G9,G10,G33,G35)</f>
        <v>1915114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2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3">D41-C41</f>
        <v>0</v>
      </c>
      <c r="F41" s="70">
        <f t="shared" si="2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3"/>
        <v>0</v>
      </c>
      <c r="F42" s="70">
        <f t="shared" si="2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3"/>
        <v>0</v>
      </c>
      <c r="F43" s="70">
        <f t="shared" si="2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3"/>
        <v>0</v>
      </c>
      <c r="F44" s="81">
        <f t="shared" si="2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1758165</v>
      </c>
      <c r="C48" s="87">
        <v>3076600</v>
      </c>
      <c r="D48" s="87">
        <v>0</v>
      </c>
      <c r="E48" s="87">
        <f>D48-C48</f>
        <v>-3076600</v>
      </c>
      <c r="F48" s="81">
        <f>IF(ISBLANK(E48)," ",IF(C48&gt;0,E48/C48,IF(E48&gt;0,1,0)))</f>
        <v>-1</v>
      </c>
      <c r="G48" s="87">
        <v>1758165.1500000001</v>
      </c>
      <c r="H48" s="228"/>
      <c r="J48" s="187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7753833.4000000004</v>
      </c>
      <c r="C52" s="85">
        <v>10628383</v>
      </c>
      <c r="D52" s="85">
        <v>10628383</v>
      </c>
      <c r="E52" s="85">
        <f>D52-C52</f>
        <v>0</v>
      </c>
      <c r="F52" s="81">
        <f>IF(ISBLANK(E52),"  ",IF(C52&gt;0,E52/C52,IF(E52&gt;0,1,0)))</f>
        <v>0</v>
      </c>
      <c r="G52" s="85">
        <v>10628383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v>14535970.18</v>
      </c>
      <c r="C58" s="85">
        <v>18768351</v>
      </c>
      <c r="D58" s="85">
        <v>12543497</v>
      </c>
      <c r="E58" s="85">
        <f>D58-C58</f>
        <v>-6224854</v>
      </c>
      <c r="F58" s="81">
        <f>IF(ISBLANK(E58),"  ",IF(C58&gt;0,E58/C58,IF(E58&gt;0,1,0)))</f>
        <v>-0.33166760361632197</v>
      </c>
      <c r="G58" s="85">
        <f>SUM(G37,G46,G48,G50,G52,G54,G56)-G44</f>
        <v>14301662.15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5007800.4399999985</v>
      </c>
      <c r="C62" s="65">
        <v>7321157</v>
      </c>
      <c r="D62" s="65">
        <v>7237844</v>
      </c>
      <c r="E62" s="65">
        <f>D62-C62</f>
        <v>-83313</v>
      </c>
      <c r="F62" s="70">
        <f t="shared" ref="F62:F75" si="4">IF(ISBLANK(E62),"  ",IF(C62&gt;0,E62/C62,IF(E62&gt;0,1,0)))</f>
        <v>-1.1379758691146769E-2</v>
      </c>
      <c r="G62" s="65">
        <f>7237844+1210452.55</f>
        <v>8448296.5500000007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74">
        <f>D63-C63</f>
        <v>0</v>
      </c>
      <c r="F63" s="70">
        <f t="shared" si="4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74">
        <f t="shared" ref="E64:E75" si="5">D64-C64</f>
        <v>0</v>
      </c>
      <c r="F64" s="70">
        <f t="shared" si="4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466757.41999999993</v>
      </c>
      <c r="C65" s="74">
        <v>648329</v>
      </c>
      <c r="D65" s="74">
        <v>619306</v>
      </c>
      <c r="E65" s="74">
        <f t="shared" si="5"/>
        <v>-29023</v>
      </c>
      <c r="F65" s="70">
        <f t="shared" si="4"/>
        <v>-4.4765851905436901E-2</v>
      </c>
      <c r="G65" s="74">
        <f>619306+7014</f>
        <v>626320</v>
      </c>
      <c r="H65" s="227"/>
    </row>
    <row r="66" spans="1:8" ht="15" customHeight="1" x14ac:dyDescent="0.25">
      <c r="A66" s="75" t="s">
        <v>58</v>
      </c>
      <c r="B66" s="74">
        <v>902108.57</v>
      </c>
      <c r="C66" s="74">
        <v>1282879</v>
      </c>
      <c r="D66" s="74">
        <v>1372363</v>
      </c>
      <c r="E66" s="74">
        <f t="shared" si="5"/>
        <v>89484</v>
      </c>
      <c r="F66" s="70">
        <f t="shared" si="4"/>
        <v>6.9752486399730612E-2</v>
      </c>
      <c r="G66" s="74">
        <f>1372363+148306.72</f>
        <v>1520669.72</v>
      </c>
      <c r="H66" s="227"/>
    </row>
    <row r="67" spans="1:8" ht="15" customHeight="1" x14ac:dyDescent="0.25">
      <c r="A67" s="75" t="s">
        <v>59</v>
      </c>
      <c r="B67" s="74">
        <v>5993144.2400000002</v>
      </c>
      <c r="C67" s="74">
        <v>6026085</v>
      </c>
      <c r="D67" s="74">
        <v>2950099</v>
      </c>
      <c r="E67" s="74">
        <f t="shared" si="5"/>
        <v>-3075986</v>
      </c>
      <c r="F67" s="70">
        <f t="shared" si="4"/>
        <v>-0.51044517294395952</v>
      </c>
      <c r="G67" s="74">
        <f>2950099+130334.75</f>
        <v>3080433.75</v>
      </c>
      <c r="H67" s="227"/>
    </row>
    <row r="68" spans="1:8" ht="15" customHeight="1" x14ac:dyDescent="0.25">
      <c r="A68" s="75" t="s">
        <v>60</v>
      </c>
      <c r="B68" s="74">
        <v>1133353.77</v>
      </c>
      <c r="C68" s="74">
        <v>1144720</v>
      </c>
      <c r="D68" s="74">
        <v>1144720</v>
      </c>
      <c r="E68" s="74">
        <f t="shared" si="5"/>
        <v>0</v>
      </c>
      <c r="F68" s="70">
        <f t="shared" si="4"/>
        <v>0</v>
      </c>
      <c r="G68" s="74">
        <v>1144720</v>
      </c>
      <c r="H68" s="227"/>
    </row>
    <row r="69" spans="1:8" ht="15" customHeight="1" x14ac:dyDescent="0.25">
      <c r="A69" s="75" t="s">
        <v>61</v>
      </c>
      <c r="B69" s="74">
        <v>1578171.2800000003</v>
      </c>
      <c r="C69" s="74">
        <v>2345181</v>
      </c>
      <c r="D69" s="74">
        <v>2295765</v>
      </c>
      <c r="E69" s="74">
        <f t="shared" si="5"/>
        <v>-49416</v>
      </c>
      <c r="F69" s="70">
        <f t="shared" si="4"/>
        <v>-2.1071294710301679E-2</v>
      </c>
      <c r="G69" s="74">
        <f>2295765+262057.13</f>
        <v>2557822.13</v>
      </c>
      <c r="H69" s="227"/>
    </row>
    <row r="70" spans="1:8" s="124" customFormat="1" ht="15" customHeight="1" x14ac:dyDescent="0.25">
      <c r="A70" s="94" t="s">
        <v>62</v>
      </c>
      <c r="B70" s="80">
        <v>15081335.719999999</v>
      </c>
      <c r="C70" s="80">
        <v>18768351</v>
      </c>
      <c r="D70" s="80">
        <v>15620097</v>
      </c>
      <c r="E70" s="80">
        <f t="shared" si="5"/>
        <v>-3148254</v>
      </c>
      <c r="F70" s="81">
        <f t="shared" si="4"/>
        <v>-0.16774270685794399</v>
      </c>
      <c r="G70" s="80">
        <f>SUM(G62:G69)</f>
        <v>17378262.150000002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5"/>
        <v>0</v>
      </c>
      <c r="F71" s="70">
        <f t="shared" si="4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-545365.42000000004</v>
      </c>
      <c r="C72" s="74">
        <v>0</v>
      </c>
      <c r="D72" s="74">
        <v>-3076600</v>
      </c>
      <c r="E72" s="74">
        <f t="shared" si="5"/>
        <v>-3076600</v>
      </c>
      <c r="F72" s="70">
        <f t="shared" si="4"/>
        <v>0</v>
      </c>
      <c r="G72" s="74">
        <v>-3076600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5"/>
        <v>0</v>
      </c>
      <c r="F73" s="70">
        <f t="shared" si="4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5"/>
        <v>0</v>
      </c>
      <c r="F74" s="70">
        <f t="shared" si="4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v>14535970.299999999</v>
      </c>
      <c r="C75" s="96">
        <v>18768351</v>
      </c>
      <c r="D75" s="96">
        <v>12543497</v>
      </c>
      <c r="E75" s="231">
        <f t="shared" si="5"/>
        <v>-6224854</v>
      </c>
      <c r="F75" s="81">
        <f t="shared" si="4"/>
        <v>-0.33166760361632197</v>
      </c>
      <c r="G75" s="96">
        <f>SUM(G70,G71:G74)</f>
        <v>14301662.150000002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7850591.6699999999</v>
      </c>
      <c r="C78" s="69">
        <v>8266638</v>
      </c>
      <c r="D78" s="69">
        <v>8251057</v>
      </c>
      <c r="E78" s="65">
        <f>D78-C78</f>
        <v>-15581</v>
      </c>
      <c r="F78" s="70">
        <f t="shared" ref="F78:F96" si="6">IF(ISBLANK(E78),"  ",IF(C78&gt;0,E78/C78,IF(E78&gt;0,1,0)))</f>
        <v>-1.8848049231138463E-3</v>
      </c>
      <c r="G78" s="69">
        <f>8251057+1201387.33</f>
        <v>9452444.3300000001</v>
      </c>
      <c r="H78" s="227"/>
    </row>
    <row r="79" spans="1:8" ht="15" customHeight="1" x14ac:dyDescent="0.25">
      <c r="A79" s="75" t="s">
        <v>70</v>
      </c>
      <c r="B79" s="72">
        <v>59454.2</v>
      </c>
      <c r="C79" s="72">
        <v>112200</v>
      </c>
      <c r="D79" s="72">
        <v>88500</v>
      </c>
      <c r="E79" s="74">
        <f>D79-C79</f>
        <v>-23700</v>
      </c>
      <c r="F79" s="70">
        <f t="shared" si="6"/>
        <v>-0.21122994652406418</v>
      </c>
      <c r="G79" s="72">
        <v>88500</v>
      </c>
      <c r="H79" s="227"/>
    </row>
    <row r="80" spans="1:8" ht="15" customHeight="1" x14ac:dyDescent="0.25">
      <c r="A80" s="75" t="s">
        <v>71</v>
      </c>
      <c r="B80" s="65">
        <v>4029939.32</v>
      </c>
      <c r="C80" s="65">
        <v>3835436</v>
      </c>
      <c r="D80" s="65">
        <v>3805617</v>
      </c>
      <c r="E80" s="74">
        <f t="shared" ref="E80:E95" si="7">D80-C80</f>
        <v>-29819</v>
      </c>
      <c r="F80" s="70">
        <f t="shared" si="6"/>
        <v>-7.7746050253478353E-3</v>
      </c>
      <c r="G80" s="65">
        <f>3805617+501500.45</f>
        <v>4307117.45</v>
      </c>
      <c r="H80" s="227"/>
    </row>
    <row r="81" spans="1:8" s="124" customFormat="1" ht="15" customHeight="1" x14ac:dyDescent="0.25">
      <c r="A81" s="94" t="s">
        <v>72</v>
      </c>
      <c r="B81" s="96">
        <v>11939985.189999999</v>
      </c>
      <c r="C81" s="96">
        <v>12214274</v>
      </c>
      <c r="D81" s="96">
        <v>12145174</v>
      </c>
      <c r="E81" s="80">
        <f t="shared" si="7"/>
        <v>-69100</v>
      </c>
      <c r="F81" s="81">
        <f t="shared" si="6"/>
        <v>-5.6573153672498256E-3</v>
      </c>
      <c r="G81" s="96">
        <f>SUM(G78:G80)</f>
        <v>13848061.780000001</v>
      </c>
      <c r="H81" s="228"/>
    </row>
    <row r="82" spans="1:8" ht="15" customHeight="1" x14ac:dyDescent="0.25">
      <c r="A82" s="75" t="s">
        <v>73</v>
      </c>
      <c r="B82" s="72">
        <v>59799.159999999996</v>
      </c>
      <c r="C82" s="72">
        <v>111475</v>
      </c>
      <c r="D82" s="72">
        <v>110975</v>
      </c>
      <c r="E82" s="74">
        <f t="shared" si="7"/>
        <v>-500</v>
      </c>
      <c r="F82" s="70">
        <f t="shared" si="6"/>
        <v>-4.4853106077595876E-3</v>
      </c>
      <c r="G82" s="72">
        <v>110975</v>
      </c>
      <c r="H82" s="227"/>
    </row>
    <row r="83" spans="1:8" ht="15" customHeight="1" x14ac:dyDescent="0.25">
      <c r="A83" s="75" t="s">
        <v>74</v>
      </c>
      <c r="B83" s="69">
        <v>1317708.8999999999</v>
      </c>
      <c r="C83" s="69">
        <v>1535971</v>
      </c>
      <c r="D83" s="69">
        <v>1657225</v>
      </c>
      <c r="E83" s="74">
        <f t="shared" si="7"/>
        <v>121254</v>
      </c>
      <c r="F83" s="70">
        <f t="shared" si="6"/>
        <v>7.8942896708336291E-2</v>
      </c>
      <c r="G83" s="69">
        <f>1657225+10385</f>
        <v>1667610</v>
      </c>
      <c r="H83" s="227"/>
    </row>
    <row r="84" spans="1:8" ht="15" customHeight="1" x14ac:dyDescent="0.25">
      <c r="A84" s="75" t="s">
        <v>75</v>
      </c>
      <c r="B84" s="65">
        <v>669739.41</v>
      </c>
      <c r="C84" s="65">
        <v>471500</v>
      </c>
      <c r="D84" s="65">
        <v>416077</v>
      </c>
      <c r="E84" s="74">
        <f t="shared" si="7"/>
        <v>-55423</v>
      </c>
      <c r="F84" s="70">
        <f t="shared" si="6"/>
        <v>-0.11754612937433723</v>
      </c>
      <c r="G84" s="65">
        <f>416077+8142.37</f>
        <v>424219.37</v>
      </c>
      <c r="H84" s="227"/>
    </row>
    <row r="85" spans="1:8" s="124" customFormat="1" ht="15" customHeight="1" x14ac:dyDescent="0.25">
      <c r="A85" s="78" t="s">
        <v>76</v>
      </c>
      <c r="B85" s="96">
        <v>2047247.4699999997</v>
      </c>
      <c r="C85" s="96">
        <v>2118946</v>
      </c>
      <c r="D85" s="96">
        <v>2184277</v>
      </c>
      <c r="E85" s="80">
        <f t="shared" si="7"/>
        <v>65331</v>
      </c>
      <c r="F85" s="81">
        <f t="shared" si="6"/>
        <v>3.0831838093089679E-2</v>
      </c>
      <c r="G85" s="96">
        <f>SUM(G82:G84)</f>
        <v>2202804.37</v>
      </c>
      <c r="H85" s="228"/>
    </row>
    <row r="86" spans="1:8" ht="15" customHeight="1" x14ac:dyDescent="0.25">
      <c r="A86" s="75" t="s">
        <v>77</v>
      </c>
      <c r="B86" s="65">
        <v>58097.89</v>
      </c>
      <c r="C86" s="65">
        <v>45168</v>
      </c>
      <c r="D86" s="65">
        <v>67377</v>
      </c>
      <c r="E86" s="74">
        <f t="shared" si="7"/>
        <v>22209</v>
      </c>
      <c r="F86" s="70">
        <f t="shared" si="6"/>
        <v>0.49169766206163656</v>
      </c>
      <c r="G86" s="65">
        <v>67377</v>
      </c>
      <c r="H86" s="227"/>
    </row>
    <row r="87" spans="1:8" ht="15" customHeight="1" x14ac:dyDescent="0.25">
      <c r="A87" s="75" t="s">
        <v>78</v>
      </c>
      <c r="B87" s="74">
        <v>359200.67999999982</v>
      </c>
      <c r="C87" s="74">
        <v>4264072</v>
      </c>
      <c r="D87" s="74">
        <v>-1914222</v>
      </c>
      <c r="E87" s="74">
        <f t="shared" si="7"/>
        <v>-6178294</v>
      </c>
      <c r="F87" s="70">
        <f t="shared" si="6"/>
        <v>-1.4489187799830772</v>
      </c>
      <c r="G87" s="74">
        <v>-1914222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7"/>
        <v>0</v>
      </c>
      <c r="F88" s="70">
        <f t="shared" si="6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0</v>
      </c>
      <c r="C89" s="74">
        <v>0</v>
      </c>
      <c r="D89" s="74">
        <v>0</v>
      </c>
      <c r="E89" s="74">
        <f t="shared" si="7"/>
        <v>0</v>
      </c>
      <c r="F89" s="70">
        <f t="shared" si="6"/>
        <v>0</v>
      </c>
      <c r="G89" s="74">
        <v>0</v>
      </c>
      <c r="H89" s="227"/>
    </row>
    <row r="90" spans="1:8" s="124" customFormat="1" ht="15" customHeight="1" x14ac:dyDescent="0.25">
      <c r="A90" s="78" t="s">
        <v>81</v>
      </c>
      <c r="B90" s="80">
        <v>417298.56999999983</v>
      </c>
      <c r="C90" s="80">
        <v>4309240</v>
      </c>
      <c r="D90" s="80">
        <v>-1846845</v>
      </c>
      <c r="E90" s="80">
        <f t="shared" si="7"/>
        <v>-6156085</v>
      </c>
      <c r="F90" s="81">
        <f t="shared" si="6"/>
        <v>-1.4285778930855557</v>
      </c>
      <c r="G90" s="80">
        <f>SUM(G86:G89)</f>
        <v>-1846845</v>
      </c>
      <c r="H90" s="228"/>
    </row>
    <row r="91" spans="1:8" ht="15" customHeight="1" x14ac:dyDescent="0.25">
      <c r="A91" s="75" t="s">
        <v>82</v>
      </c>
      <c r="B91" s="74">
        <v>131439.07</v>
      </c>
      <c r="C91" s="74">
        <v>125891</v>
      </c>
      <c r="D91" s="74">
        <v>60891</v>
      </c>
      <c r="E91" s="74">
        <f t="shared" si="7"/>
        <v>-65000</v>
      </c>
      <c r="F91" s="70">
        <f t="shared" si="6"/>
        <v>-0.51631967336823126</v>
      </c>
      <c r="G91" s="74">
        <f>60891+36750</f>
        <v>97641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7"/>
        <v>0</v>
      </c>
      <c r="F92" s="70">
        <f t="shared" si="6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7"/>
        <v>0</v>
      </c>
      <c r="F93" s="70">
        <f t="shared" si="6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v>131439.07</v>
      </c>
      <c r="C94" s="96">
        <v>125891</v>
      </c>
      <c r="D94" s="96">
        <v>60891</v>
      </c>
      <c r="E94" s="80">
        <f t="shared" si="7"/>
        <v>-65000</v>
      </c>
      <c r="F94" s="81">
        <f t="shared" si="6"/>
        <v>-0.51631967336823126</v>
      </c>
      <c r="G94" s="96">
        <f>SUM(G91:G93)</f>
        <v>97641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7"/>
        <v>0</v>
      </c>
      <c r="F95" s="70">
        <f t="shared" si="6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v>14535970.299999999</v>
      </c>
      <c r="C96" s="196">
        <v>18768351</v>
      </c>
      <c r="D96" s="196">
        <v>12543497</v>
      </c>
      <c r="E96" s="196">
        <f>D96-C96</f>
        <v>-6224854</v>
      </c>
      <c r="F96" s="198">
        <f t="shared" si="6"/>
        <v>-0.33166760361632197</v>
      </c>
      <c r="G96" s="196">
        <f>SUM(G81,G85,G90,G94,G95)</f>
        <v>14301662.150000002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131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58368929</v>
      </c>
      <c r="C8" s="69">
        <v>58368929</v>
      </c>
      <c r="D8" s="69">
        <v>51280400</v>
      </c>
      <c r="E8" s="69">
        <f>D8-C8</f>
        <v>-7088529</v>
      </c>
      <c r="F8" s="70">
        <f t="shared" ref="F8:F31" si="0">IF(ISBLANK(E8),"  ",IF(C8&gt;0,E8/C8,IF(E8&gt;0,1,0)))</f>
        <v>-0.12144353376776881</v>
      </c>
      <c r="G8" s="69">
        <v>51280400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6607793.5300000003</v>
      </c>
      <c r="C10" s="72">
        <f>SUM(C11:C31)</f>
        <v>7305718</v>
      </c>
      <c r="D10" s="72">
        <f>SUM(D11:D31)</f>
        <v>6879411</v>
      </c>
      <c r="E10" s="69">
        <f t="shared" ref="E10:E31" si="1">D10-C10</f>
        <v>-426307</v>
      </c>
      <c r="F10" s="70">
        <f t="shared" si="0"/>
        <v>-5.8352512374553737E-2</v>
      </c>
      <c r="G10" s="72">
        <f>SUM(G11:G31)</f>
        <v>6879411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2253263.21</v>
      </c>
      <c r="C12" s="74">
        <v>2677010</v>
      </c>
      <c r="D12" s="74">
        <v>2293225</v>
      </c>
      <c r="E12" s="69">
        <f t="shared" si="1"/>
        <v>-383785</v>
      </c>
      <c r="F12" s="70">
        <f t="shared" si="0"/>
        <v>-0.14336330458235119</v>
      </c>
      <c r="G12" s="74">
        <v>2293225</v>
      </c>
      <c r="H12" s="227"/>
    </row>
    <row r="13" spans="1:9" ht="15" customHeight="1" x14ac:dyDescent="0.25">
      <c r="A13" s="75" t="s">
        <v>17</v>
      </c>
      <c r="B13" s="74">
        <v>4354530.32</v>
      </c>
      <c r="C13" s="74">
        <v>4628708</v>
      </c>
      <c r="D13" s="74">
        <v>4386186</v>
      </c>
      <c r="E13" s="69">
        <f t="shared" si="1"/>
        <v>-242522</v>
      </c>
      <c r="F13" s="70">
        <f t="shared" si="0"/>
        <v>-5.2395182413753467E-2</v>
      </c>
      <c r="G13" s="74">
        <v>4386186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200000</v>
      </c>
      <c r="E31" s="69">
        <f t="shared" si="1"/>
        <v>200000</v>
      </c>
      <c r="F31" s="70">
        <f t="shared" si="0"/>
        <v>1</v>
      </c>
      <c r="G31" s="74">
        <v>200000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SUM(B8,B9,B10,B33,B35)</f>
        <v>64976722.530000001</v>
      </c>
      <c r="C37" s="80">
        <f t="shared" ref="C37:D37" si="2">SUM(C8,C9,C10,C33,C35)</f>
        <v>65674647</v>
      </c>
      <c r="D37" s="80">
        <f t="shared" si="2"/>
        <v>58159811</v>
      </c>
      <c r="E37" s="80">
        <f>D37-C37</f>
        <v>-7514836</v>
      </c>
      <c r="F37" s="81">
        <f>IF(ISBLANK(E37),"  ",IF(C37&gt;0,E37/C37,IF(E37&gt;0,1,0)))</f>
        <v>-0.11442522104458361</v>
      </c>
      <c r="G37" s="80">
        <f>SUM(G8,G9,G10,G33,G35)</f>
        <v>58159811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7277700</v>
      </c>
      <c r="C48" s="87">
        <v>7277700</v>
      </c>
      <c r="D48" s="87">
        <v>0</v>
      </c>
      <c r="E48" s="87">
        <f>D48-C48</f>
        <v>-7277700</v>
      </c>
      <c r="F48" s="81">
        <f>IF(ISBLANK(E48)," ",IF(C48&gt;0,E48/C48,IF(E48&gt;0,1,0)))</f>
        <v>-1</v>
      </c>
      <c r="G48" s="87">
        <v>7277700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22558396.219999999</v>
      </c>
      <c r="C52" s="85">
        <v>22659079</v>
      </c>
      <c r="D52" s="85">
        <v>23636590</v>
      </c>
      <c r="E52" s="85">
        <f>D52-C52</f>
        <v>977511</v>
      </c>
      <c r="F52" s="81">
        <f>IF(ISBLANK(E52),"  ",IF(C52&gt;0,E52/C52,IF(E52&gt;0,1,0)))</f>
        <v>4.313992638447485E-2</v>
      </c>
      <c r="G52" s="85">
        <v>23636590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94812818.75</v>
      </c>
      <c r="C58" s="85">
        <f t="shared" ref="C58:D58" si="5">SUM(C37,C46,C48,C50,C52,C54,C56)-C44</f>
        <v>95611426</v>
      </c>
      <c r="D58" s="85">
        <f t="shared" si="5"/>
        <v>81796401</v>
      </c>
      <c r="E58" s="85">
        <f>D58-C58</f>
        <v>-13815025</v>
      </c>
      <c r="F58" s="81">
        <f>IF(ISBLANK(E58),"  ",IF(C58&gt;0,E58/C58,IF(E58&gt;0,1,0)))</f>
        <v>-0.14449136026901219</v>
      </c>
      <c r="G58" s="85">
        <f>SUM(G37,G46,G48,G50,G52,G54,G56)-G44</f>
        <v>89074101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25782832.180000003</v>
      </c>
      <c r="C62" s="65">
        <v>17756545</v>
      </c>
      <c r="D62" s="65">
        <v>9326096</v>
      </c>
      <c r="E62" s="65">
        <f>D62-C62</f>
        <v>-8430449</v>
      </c>
      <c r="F62" s="70">
        <f t="shared" ref="F62:F75" si="6">IF(ISBLANK(E62),"  ",IF(C62&gt;0,E62/C62,IF(E62&gt;0,1,0)))</f>
        <v>-0.47477980654457275</v>
      </c>
      <c r="G62" s="65">
        <f>9326096+7277700</f>
        <v>16603796</v>
      </c>
      <c r="H62" s="227"/>
    </row>
    <row r="63" spans="1:8" ht="15" customHeight="1" x14ac:dyDescent="0.25">
      <c r="A63" s="75" t="s">
        <v>55</v>
      </c>
      <c r="B63" s="74">
        <v>19599224.380000003</v>
      </c>
      <c r="C63" s="74">
        <v>21134321</v>
      </c>
      <c r="D63" s="74">
        <v>19057379</v>
      </c>
      <c r="E63" s="74">
        <f>D63-C63</f>
        <v>-2076942</v>
      </c>
      <c r="F63" s="70">
        <f t="shared" si="6"/>
        <v>-9.8273419808471721E-2</v>
      </c>
      <c r="G63" s="74">
        <v>19057379</v>
      </c>
      <c r="H63" s="227"/>
    </row>
    <row r="64" spans="1:8" ht="15" customHeight="1" x14ac:dyDescent="0.25">
      <c r="A64" s="75" t="s">
        <v>56</v>
      </c>
      <c r="B64" s="74">
        <v>1209894.32</v>
      </c>
      <c r="C64" s="74">
        <v>1234526</v>
      </c>
      <c r="D64" s="74">
        <v>616168</v>
      </c>
      <c r="E64" s="74">
        <f t="shared" ref="E64:E75" si="7">D64-C64</f>
        <v>-618358</v>
      </c>
      <c r="F64" s="70">
        <f t="shared" si="6"/>
        <v>-0.50088698010410471</v>
      </c>
      <c r="G64" s="74">
        <v>616168</v>
      </c>
      <c r="H64" s="227"/>
    </row>
    <row r="65" spans="1:8" ht="15" customHeight="1" x14ac:dyDescent="0.25">
      <c r="A65" s="75" t="s">
        <v>191</v>
      </c>
      <c r="B65" s="74">
        <v>8532797.839999998</v>
      </c>
      <c r="C65" s="74">
        <v>9382718</v>
      </c>
      <c r="D65" s="74">
        <v>9180819</v>
      </c>
      <c r="E65" s="74">
        <f t="shared" si="7"/>
        <v>-201899</v>
      </c>
      <c r="F65" s="70">
        <f t="shared" si="6"/>
        <v>-2.15181784212208E-2</v>
      </c>
      <c r="G65" s="74">
        <v>9180819</v>
      </c>
      <c r="H65" s="227"/>
    </row>
    <row r="66" spans="1:8" ht="15" customHeight="1" x14ac:dyDescent="0.25">
      <c r="A66" s="75" t="s">
        <v>58</v>
      </c>
      <c r="B66" s="74">
        <v>1911372.1100000003</v>
      </c>
      <c r="C66" s="74">
        <v>1987730</v>
      </c>
      <c r="D66" s="74">
        <v>2287451</v>
      </c>
      <c r="E66" s="74">
        <f t="shared" si="7"/>
        <v>299721</v>
      </c>
      <c r="F66" s="70">
        <f t="shared" si="6"/>
        <v>0.15078556946869043</v>
      </c>
      <c r="G66" s="74">
        <v>2287451</v>
      </c>
      <c r="H66" s="227"/>
    </row>
    <row r="67" spans="1:8" ht="15" customHeight="1" x14ac:dyDescent="0.25">
      <c r="A67" s="75" t="s">
        <v>59</v>
      </c>
      <c r="B67" s="74">
        <v>24876912.629999995</v>
      </c>
      <c r="C67" s="74">
        <v>30773818</v>
      </c>
      <c r="D67" s="74">
        <v>27978274</v>
      </c>
      <c r="E67" s="74">
        <f t="shared" si="7"/>
        <v>-2795544</v>
      </c>
      <c r="F67" s="70">
        <f t="shared" si="6"/>
        <v>-9.0841636874566561E-2</v>
      </c>
      <c r="G67" s="74">
        <v>27978274</v>
      </c>
      <c r="H67" s="227"/>
    </row>
    <row r="68" spans="1:8" ht="15" customHeight="1" x14ac:dyDescent="0.25">
      <c r="A68" s="75" t="s">
        <v>60</v>
      </c>
      <c r="B68" s="74">
        <v>2690759.44</v>
      </c>
      <c r="C68" s="74">
        <v>3039934</v>
      </c>
      <c r="D68" s="74">
        <v>3325850</v>
      </c>
      <c r="E68" s="74">
        <f t="shared" si="7"/>
        <v>285916</v>
      </c>
      <c r="F68" s="70">
        <f t="shared" si="6"/>
        <v>9.4053357737371932E-2</v>
      </c>
      <c r="G68" s="74">
        <v>3325850</v>
      </c>
      <c r="H68" s="227"/>
    </row>
    <row r="69" spans="1:8" ht="15" customHeight="1" x14ac:dyDescent="0.25">
      <c r="A69" s="75" t="s">
        <v>61</v>
      </c>
      <c r="B69" s="74">
        <v>6056282.3600000003</v>
      </c>
      <c r="C69" s="74">
        <v>5827881</v>
      </c>
      <c r="D69" s="74">
        <v>5820123</v>
      </c>
      <c r="E69" s="74">
        <f t="shared" si="7"/>
        <v>-7758</v>
      </c>
      <c r="F69" s="70">
        <f t="shared" si="6"/>
        <v>-1.3311870987070601E-3</v>
      </c>
      <c r="G69" s="74">
        <v>5820123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90660075.25999999</v>
      </c>
      <c r="C70" s="80">
        <f>SUM(C62:C69)</f>
        <v>91137473</v>
      </c>
      <c r="D70" s="80">
        <f>SUM(D62:D69)</f>
        <v>77592160</v>
      </c>
      <c r="E70" s="80">
        <f t="shared" si="7"/>
        <v>-13545313</v>
      </c>
      <c r="F70" s="81">
        <f t="shared" si="6"/>
        <v>-0.1486250666616574</v>
      </c>
      <c r="G70" s="80">
        <f>SUM(G62:G69)</f>
        <v>84869860</v>
      </c>
      <c r="H70" s="228"/>
    </row>
    <row r="71" spans="1:8" ht="15" customHeight="1" x14ac:dyDescent="0.25">
      <c r="A71" s="75" t="s">
        <v>63</v>
      </c>
      <c r="B71" s="74">
        <v>4056276.4899999998</v>
      </c>
      <c r="C71" s="74">
        <v>4366686</v>
      </c>
      <c r="D71" s="74">
        <v>4204241</v>
      </c>
      <c r="E71" s="74">
        <f t="shared" si="7"/>
        <v>-162445</v>
      </c>
      <c r="F71" s="70">
        <f t="shared" si="6"/>
        <v>-3.7200980331537466E-2</v>
      </c>
      <c r="G71" s="74">
        <v>4204241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74">
        <f t="shared" si="7"/>
        <v>0</v>
      </c>
      <c r="F72" s="70">
        <f t="shared" si="6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7"/>
        <v>0</v>
      </c>
      <c r="F73" s="70">
        <f t="shared" si="6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96467</v>
      </c>
      <c r="C74" s="74">
        <v>107267</v>
      </c>
      <c r="D74" s="74">
        <v>0</v>
      </c>
      <c r="E74" s="74">
        <f t="shared" si="7"/>
        <v>-107267</v>
      </c>
      <c r="F74" s="70">
        <f t="shared" si="6"/>
        <v>-1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94812818.749999985</v>
      </c>
      <c r="C75" s="96">
        <f>SUM(C70,C71:C74)</f>
        <v>95611426</v>
      </c>
      <c r="D75" s="96">
        <f>SUM(D70,D71:D74)</f>
        <v>81796401</v>
      </c>
      <c r="E75" s="231">
        <f t="shared" si="7"/>
        <v>-13815025</v>
      </c>
      <c r="F75" s="81">
        <f t="shared" si="6"/>
        <v>-0.14449136026901219</v>
      </c>
      <c r="G75" s="96">
        <f>SUM(G70,G71:G74)</f>
        <v>89074101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35798909.639999993</v>
      </c>
      <c r="C78" s="69">
        <v>31745261</v>
      </c>
      <c r="D78" s="69">
        <v>26104366</v>
      </c>
      <c r="E78" s="65">
        <f>D78-C78</f>
        <v>-5640895</v>
      </c>
      <c r="F78" s="70">
        <f t="shared" ref="F78:F96" si="8">IF(ISBLANK(E78),"  ",IF(C78&gt;0,E78/C78,IF(E78&gt;0,1,0)))</f>
        <v>-0.17769250660752167</v>
      </c>
      <c r="G78" s="69">
        <f>26104366+5134417.35</f>
        <v>31238783.350000001</v>
      </c>
      <c r="H78" s="227"/>
    </row>
    <row r="79" spans="1:8" ht="15" customHeight="1" x14ac:dyDescent="0.25">
      <c r="A79" s="75" t="s">
        <v>70</v>
      </c>
      <c r="B79" s="72">
        <v>1542645.0999999999</v>
      </c>
      <c r="C79" s="72">
        <v>1035746</v>
      </c>
      <c r="D79" s="72">
        <v>811896</v>
      </c>
      <c r="E79" s="74">
        <f>D79-C79</f>
        <v>-223850</v>
      </c>
      <c r="F79" s="70">
        <f t="shared" si="8"/>
        <v>-0.21612441660407089</v>
      </c>
      <c r="G79" s="72">
        <v>811896</v>
      </c>
      <c r="H79" s="227"/>
    </row>
    <row r="80" spans="1:8" ht="15" customHeight="1" x14ac:dyDescent="0.25">
      <c r="A80" s="75" t="s">
        <v>71</v>
      </c>
      <c r="B80" s="65">
        <v>23719855.749999996</v>
      </c>
      <c r="C80" s="65">
        <v>28114020</v>
      </c>
      <c r="D80" s="65">
        <v>18494421</v>
      </c>
      <c r="E80" s="74">
        <f t="shared" ref="E80:E95" si="9">D80-C80</f>
        <v>-9619599</v>
      </c>
      <c r="F80" s="70">
        <f t="shared" si="8"/>
        <v>-0.34216376740146021</v>
      </c>
      <c r="G80" s="65">
        <f>18494421+2143282.65</f>
        <v>20637703.649999999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61061410.489999995</v>
      </c>
      <c r="C81" s="96">
        <f t="shared" ref="C81:D81" si="10">SUM(C78:C80)</f>
        <v>60895027</v>
      </c>
      <c r="D81" s="96">
        <f t="shared" si="10"/>
        <v>45410683</v>
      </c>
      <c r="E81" s="80">
        <f t="shared" si="9"/>
        <v>-15484344</v>
      </c>
      <c r="F81" s="81">
        <f t="shared" si="8"/>
        <v>-0.25427928622151691</v>
      </c>
      <c r="G81" s="96">
        <f>SUM(G78:G80)</f>
        <v>52688383</v>
      </c>
      <c r="H81" s="228"/>
    </row>
    <row r="82" spans="1:8" ht="15" customHeight="1" x14ac:dyDescent="0.25">
      <c r="A82" s="75" t="s">
        <v>73</v>
      </c>
      <c r="B82" s="72">
        <v>105661.85</v>
      </c>
      <c r="C82" s="72">
        <v>182324</v>
      </c>
      <c r="D82" s="72">
        <v>170322</v>
      </c>
      <c r="E82" s="74">
        <f t="shared" si="9"/>
        <v>-12002</v>
      </c>
      <c r="F82" s="70">
        <f t="shared" si="8"/>
        <v>-6.5827866874355545E-2</v>
      </c>
      <c r="G82" s="72">
        <v>170322</v>
      </c>
      <c r="H82" s="227"/>
    </row>
    <row r="83" spans="1:8" ht="15" customHeight="1" x14ac:dyDescent="0.25">
      <c r="A83" s="75" t="s">
        <v>74</v>
      </c>
      <c r="B83" s="69">
        <v>20039229.920000002</v>
      </c>
      <c r="C83" s="69">
        <v>20628300</v>
      </c>
      <c r="D83" s="69">
        <v>21975978</v>
      </c>
      <c r="E83" s="74">
        <f t="shared" si="9"/>
        <v>1347678</v>
      </c>
      <c r="F83" s="70">
        <f t="shared" si="8"/>
        <v>6.533151059466849E-2</v>
      </c>
      <c r="G83" s="69">
        <v>21975978</v>
      </c>
      <c r="H83" s="227"/>
    </row>
    <row r="84" spans="1:8" ht="15" customHeight="1" x14ac:dyDescent="0.25">
      <c r="A84" s="75" t="s">
        <v>75</v>
      </c>
      <c r="B84" s="65">
        <v>852475.87999999989</v>
      </c>
      <c r="C84" s="65">
        <v>2073582</v>
      </c>
      <c r="D84" s="65">
        <v>1366280</v>
      </c>
      <c r="E84" s="74">
        <f t="shared" si="9"/>
        <v>-707302</v>
      </c>
      <c r="F84" s="70">
        <f t="shared" si="8"/>
        <v>-0.34110153348167566</v>
      </c>
      <c r="G84" s="65">
        <v>1366280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20997367.650000002</v>
      </c>
      <c r="C85" s="96">
        <f t="shared" ref="C85:D85" si="11">SUM(C82:C84)</f>
        <v>22884206</v>
      </c>
      <c r="D85" s="96">
        <f t="shared" si="11"/>
        <v>23512580</v>
      </c>
      <c r="E85" s="80">
        <f t="shared" si="9"/>
        <v>628374</v>
      </c>
      <c r="F85" s="81">
        <f t="shared" si="8"/>
        <v>2.7458850877325611E-2</v>
      </c>
      <c r="G85" s="96">
        <f>SUM(G82:G84)</f>
        <v>23512580</v>
      </c>
      <c r="H85" s="228"/>
    </row>
    <row r="86" spans="1:8" ht="15" customHeight="1" x14ac:dyDescent="0.25">
      <c r="A86" s="75" t="s">
        <v>77</v>
      </c>
      <c r="B86" s="65">
        <v>2618555.3600000003</v>
      </c>
      <c r="C86" s="65">
        <v>2591024</v>
      </c>
      <c r="D86" s="65">
        <v>2451262</v>
      </c>
      <c r="E86" s="74">
        <f t="shared" si="9"/>
        <v>-139762</v>
      </c>
      <c r="F86" s="70">
        <f t="shared" si="8"/>
        <v>-5.3940835746793543E-2</v>
      </c>
      <c r="G86" s="65">
        <v>2451262</v>
      </c>
      <c r="H86" s="227"/>
    </row>
    <row r="87" spans="1:8" ht="15" customHeight="1" x14ac:dyDescent="0.25">
      <c r="A87" s="75" t="s">
        <v>78</v>
      </c>
      <c r="B87" s="74">
        <v>3094981.4699999997</v>
      </c>
      <c r="C87" s="74">
        <v>1532697</v>
      </c>
      <c r="D87" s="74">
        <v>3573984</v>
      </c>
      <c r="E87" s="74">
        <f t="shared" si="9"/>
        <v>2041287</v>
      </c>
      <c r="F87" s="70">
        <f t="shared" si="8"/>
        <v>1.3318268385727903</v>
      </c>
      <c r="G87" s="74">
        <v>3573984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9"/>
        <v>0</v>
      </c>
      <c r="F88" s="70">
        <f t="shared" si="8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5927088.75</v>
      </c>
      <c r="C89" s="74">
        <v>6531887</v>
      </c>
      <c r="D89" s="74">
        <v>5940004</v>
      </c>
      <c r="E89" s="74">
        <f t="shared" si="9"/>
        <v>-591883</v>
      </c>
      <c r="F89" s="70">
        <f t="shared" si="8"/>
        <v>-9.0614396727928703E-2</v>
      </c>
      <c r="G89" s="74">
        <v>5940004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11640625.58</v>
      </c>
      <c r="C90" s="80">
        <f t="shared" ref="C90:D90" si="12">SUM(C86:C89)</f>
        <v>10655608</v>
      </c>
      <c r="D90" s="80">
        <f t="shared" si="12"/>
        <v>11965250</v>
      </c>
      <c r="E90" s="80">
        <f t="shared" si="9"/>
        <v>1309642</v>
      </c>
      <c r="F90" s="81">
        <f t="shared" si="8"/>
        <v>0.12290636066942402</v>
      </c>
      <c r="G90" s="80">
        <f>SUM(G86:G89)</f>
        <v>11965250</v>
      </c>
      <c r="H90" s="228"/>
    </row>
    <row r="91" spans="1:8" ht="15" customHeight="1" x14ac:dyDescent="0.25">
      <c r="A91" s="75" t="s">
        <v>82</v>
      </c>
      <c r="B91" s="74">
        <v>1113108.9300000002</v>
      </c>
      <c r="C91" s="74">
        <v>1166585</v>
      </c>
      <c r="D91" s="74">
        <v>897888</v>
      </c>
      <c r="E91" s="74">
        <f t="shared" si="9"/>
        <v>-268697</v>
      </c>
      <c r="F91" s="70">
        <f t="shared" si="8"/>
        <v>-0.23032783723432068</v>
      </c>
      <c r="G91" s="74">
        <v>897888</v>
      </c>
      <c r="H91" s="227"/>
    </row>
    <row r="92" spans="1:8" ht="15" customHeight="1" x14ac:dyDescent="0.25">
      <c r="A92" s="75" t="s">
        <v>83</v>
      </c>
      <c r="B92" s="74">
        <v>306.10000000000002</v>
      </c>
      <c r="C92" s="74">
        <v>10000</v>
      </c>
      <c r="D92" s="74">
        <v>10000</v>
      </c>
      <c r="E92" s="74">
        <f t="shared" si="9"/>
        <v>0</v>
      </c>
      <c r="F92" s="70">
        <f t="shared" si="8"/>
        <v>0</v>
      </c>
      <c r="G92" s="74">
        <v>10000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9"/>
        <v>0</v>
      </c>
      <c r="F93" s="70">
        <f t="shared" si="8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1113415.0300000003</v>
      </c>
      <c r="C94" s="96">
        <f t="shared" ref="C94:D94" si="13">SUM(C91:C93)</f>
        <v>1176585</v>
      </c>
      <c r="D94" s="96">
        <f t="shared" si="13"/>
        <v>907888</v>
      </c>
      <c r="E94" s="80">
        <f t="shared" si="9"/>
        <v>-268697</v>
      </c>
      <c r="F94" s="81">
        <f t="shared" si="8"/>
        <v>-0.22837024099406333</v>
      </c>
      <c r="G94" s="96">
        <f>SUM(G91:G93)</f>
        <v>907888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9"/>
        <v>0</v>
      </c>
      <c r="F95" s="70">
        <f t="shared" si="8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94812818.75</v>
      </c>
      <c r="C96" s="196">
        <f>SUM(C81,C85,C90,C94,C95)</f>
        <v>95611426</v>
      </c>
      <c r="D96" s="196">
        <f>SUM(D81,D85,D90,D94,D95)</f>
        <v>81796401</v>
      </c>
      <c r="E96" s="196">
        <f>D96-C96</f>
        <v>-13815025</v>
      </c>
      <c r="F96" s="198">
        <f t="shared" si="8"/>
        <v>-0.14449136026901219</v>
      </c>
      <c r="G96" s="196">
        <f>SUM(G81,G85,G90,G94,G95)</f>
        <v>89074101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9" t="s">
        <v>118</v>
      </c>
      <c r="F1" s="29"/>
      <c r="G1" s="142"/>
      <c r="H1" s="142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79014569</v>
      </c>
      <c r="C8" s="69">
        <v>79014569</v>
      </c>
      <c r="D8" s="69">
        <v>71313200</v>
      </c>
      <c r="E8" s="69">
        <f>D8-C8</f>
        <v>-7701369</v>
      </c>
      <c r="F8" s="70">
        <f t="shared" ref="F8:F31" si="0">IF(ISBLANK(E8),"  ",IF(C8&gt;0,E8/C8,IF(E8&gt;0,1,0)))</f>
        <v>-9.7467708771530479E-2</v>
      </c>
      <c r="G8" s="69">
        <v>71313200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3464769</v>
      </c>
      <c r="C10" s="72">
        <v>4116350</v>
      </c>
      <c r="D10" s="72">
        <v>3526217</v>
      </c>
      <c r="E10" s="69">
        <f t="shared" ref="E10:E31" si="1">D10-C10</f>
        <v>-590133</v>
      </c>
      <c r="F10" s="70">
        <f t="shared" si="0"/>
        <v>-0.1433631736854252</v>
      </c>
      <c r="G10" s="72">
        <f>SUM(G11:G31)</f>
        <v>3526217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3464769</v>
      </c>
      <c r="C12" s="74">
        <v>4116350</v>
      </c>
      <c r="D12" s="74">
        <v>3526217</v>
      </c>
      <c r="E12" s="69">
        <f t="shared" si="1"/>
        <v>-590133</v>
      </c>
      <c r="F12" s="70">
        <f t="shared" si="0"/>
        <v>-0.1433631736854252</v>
      </c>
      <c r="G12" s="74">
        <v>3526217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v>82479338</v>
      </c>
      <c r="C37" s="80">
        <v>83130919</v>
      </c>
      <c r="D37" s="80">
        <v>74839417</v>
      </c>
      <c r="E37" s="80">
        <f>D37-C37</f>
        <v>-8291502</v>
      </c>
      <c r="F37" s="81">
        <f>IF(ISBLANK(E37),"  ",IF(C37&gt;0,E37/C37,IF(E37&gt;0,1,0)))</f>
        <v>-9.9740290372586887E-2</v>
      </c>
      <c r="G37" s="80">
        <f>SUM(G8,G9,G10,G33,G35)</f>
        <v>74839417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2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3">D41-C41</f>
        <v>0</v>
      </c>
      <c r="F41" s="70">
        <f t="shared" si="2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3"/>
        <v>0</v>
      </c>
      <c r="F42" s="70">
        <f t="shared" si="2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3"/>
        <v>0</v>
      </c>
      <c r="F43" s="70">
        <f t="shared" si="2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3"/>
        <v>0</v>
      </c>
      <c r="F44" s="81">
        <f t="shared" si="2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5350000</v>
      </c>
      <c r="C48" s="87">
        <v>5350000</v>
      </c>
      <c r="D48" s="87">
        <v>0</v>
      </c>
      <c r="E48" s="87">
        <f>D48-C48</f>
        <v>-5350000</v>
      </c>
      <c r="F48" s="81">
        <f>IF(ISBLANK(E48)," ",IF(C48&gt;0,E48/C48,IF(E48&gt;0,1,0)))</f>
        <v>-1</v>
      </c>
      <c r="G48" s="87">
        <v>5350000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63870008</v>
      </c>
      <c r="C52" s="85">
        <v>65414006</v>
      </c>
      <c r="D52" s="85">
        <v>67736379</v>
      </c>
      <c r="E52" s="85">
        <f>D52-C52</f>
        <v>2322373</v>
      </c>
      <c r="F52" s="81">
        <f>IF(ISBLANK(E52),"  ",IF(C52&gt;0,E52/C52,IF(E52&gt;0,1,0)))</f>
        <v>3.5502687299108389E-2</v>
      </c>
      <c r="G52" s="85">
        <v>67736379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v>151699336</v>
      </c>
      <c r="C58" s="85">
        <v>153894925</v>
      </c>
      <c r="D58" s="85">
        <v>142575796</v>
      </c>
      <c r="E58" s="85">
        <f>D58-C58</f>
        <v>-11319129</v>
      </c>
      <c r="F58" s="81">
        <f>IF(ISBLANK(E58),"  ",IF(C58&gt;0,E58/C58,IF(E58&gt;0,1,0)))</f>
        <v>-7.3551021906667818E-2</v>
      </c>
      <c r="G58" s="85">
        <f>SUM(G37,G46,G48,G50,G52,G54,G56)-G44</f>
        <v>147925796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56507982</v>
      </c>
      <c r="C62" s="65">
        <v>57893217</v>
      </c>
      <c r="D62" s="65">
        <v>42001555</v>
      </c>
      <c r="E62" s="65">
        <f>D62-C62</f>
        <v>-15891662</v>
      </c>
      <c r="F62" s="70">
        <f t="shared" ref="F62:F75" si="4">IF(ISBLANK(E62),"  ",IF(C62&gt;0,E62/C62,IF(E62&gt;0,1,0)))</f>
        <v>-0.27449954974863461</v>
      </c>
      <c r="G62" s="65">
        <f>42001555+4779485.43</f>
        <v>46781040.43</v>
      </c>
      <c r="H62" s="227"/>
    </row>
    <row r="63" spans="1:8" ht="15" customHeight="1" x14ac:dyDescent="0.25">
      <c r="A63" s="75" t="s">
        <v>55</v>
      </c>
      <c r="B63" s="74">
        <v>6151624</v>
      </c>
      <c r="C63" s="74">
        <v>6567567</v>
      </c>
      <c r="D63" s="74">
        <v>5977493</v>
      </c>
      <c r="E63" s="74">
        <f>D63-C63</f>
        <v>-590074</v>
      </c>
      <c r="F63" s="70">
        <f t="shared" si="4"/>
        <v>-8.9846666200740694E-2</v>
      </c>
      <c r="G63" s="74">
        <v>5977493</v>
      </c>
      <c r="H63" s="227"/>
    </row>
    <row r="64" spans="1:8" ht="15" customHeight="1" x14ac:dyDescent="0.25">
      <c r="A64" s="75" t="s">
        <v>56</v>
      </c>
      <c r="B64" s="74">
        <v>6618876</v>
      </c>
      <c r="C64" s="74">
        <v>909276</v>
      </c>
      <c r="D64" s="74">
        <v>15995937</v>
      </c>
      <c r="E64" s="74">
        <f t="shared" ref="E64:E75" si="5">D64-C64</f>
        <v>15086661</v>
      </c>
      <c r="F64" s="70">
        <f t="shared" si="4"/>
        <v>16.591948979187837</v>
      </c>
      <c r="G64" s="74">
        <v>15995937</v>
      </c>
      <c r="H64" s="227"/>
    </row>
    <row r="65" spans="1:8" ht="15" customHeight="1" x14ac:dyDescent="0.25">
      <c r="A65" s="75" t="s">
        <v>57</v>
      </c>
      <c r="B65" s="74">
        <v>15363842</v>
      </c>
      <c r="C65" s="74">
        <v>20646900</v>
      </c>
      <c r="D65" s="74">
        <v>15794719</v>
      </c>
      <c r="E65" s="74">
        <f t="shared" si="5"/>
        <v>-4852181</v>
      </c>
      <c r="F65" s="70">
        <f t="shared" si="4"/>
        <v>-0.23500772513064916</v>
      </c>
      <c r="G65" s="74">
        <v>15794719</v>
      </c>
      <c r="H65" s="227"/>
    </row>
    <row r="66" spans="1:8" ht="15" customHeight="1" x14ac:dyDescent="0.25">
      <c r="A66" s="75" t="s">
        <v>58</v>
      </c>
      <c r="B66" s="74">
        <v>4110170</v>
      </c>
      <c r="C66" s="74">
        <v>4049882</v>
      </c>
      <c r="D66" s="74">
        <v>4219384</v>
      </c>
      <c r="E66" s="74">
        <f t="shared" si="5"/>
        <v>169502</v>
      </c>
      <c r="F66" s="70">
        <f t="shared" si="4"/>
        <v>4.1853565116218204E-2</v>
      </c>
      <c r="G66" s="74">
        <v>4219384</v>
      </c>
      <c r="H66" s="227"/>
    </row>
    <row r="67" spans="1:8" ht="15" customHeight="1" x14ac:dyDescent="0.25">
      <c r="A67" s="75" t="s">
        <v>59</v>
      </c>
      <c r="B67" s="74">
        <v>34575532</v>
      </c>
      <c r="C67" s="74">
        <v>32102407</v>
      </c>
      <c r="D67" s="74">
        <v>24148636</v>
      </c>
      <c r="E67" s="74">
        <f t="shared" si="5"/>
        <v>-7953771</v>
      </c>
      <c r="F67" s="70">
        <f t="shared" si="4"/>
        <v>-0.24776244971288289</v>
      </c>
      <c r="G67" s="74">
        <f>24148636+570514.57</f>
        <v>24719150.57</v>
      </c>
      <c r="H67" s="227"/>
    </row>
    <row r="68" spans="1:8" ht="15" customHeight="1" x14ac:dyDescent="0.25">
      <c r="A68" s="75" t="s">
        <v>60</v>
      </c>
      <c r="B68" s="74">
        <v>4538942</v>
      </c>
      <c r="C68" s="74">
        <v>4778000</v>
      </c>
      <c r="D68" s="74">
        <v>4478853</v>
      </c>
      <c r="E68" s="74">
        <f t="shared" si="5"/>
        <v>-299147</v>
      </c>
      <c r="F68" s="70">
        <f t="shared" si="4"/>
        <v>-6.2609250732524074E-2</v>
      </c>
      <c r="G68" s="74">
        <v>4478853</v>
      </c>
      <c r="H68" s="227"/>
    </row>
    <row r="69" spans="1:8" ht="15" customHeight="1" x14ac:dyDescent="0.25">
      <c r="A69" s="75" t="s">
        <v>61</v>
      </c>
      <c r="B69" s="74">
        <v>23889549</v>
      </c>
      <c r="C69" s="74">
        <v>26685299</v>
      </c>
      <c r="D69" s="74">
        <v>29697095</v>
      </c>
      <c r="E69" s="74">
        <f t="shared" si="5"/>
        <v>3011796</v>
      </c>
      <c r="F69" s="70">
        <f t="shared" si="4"/>
        <v>0.1128634908681368</v>
      </c>
      <c r="G69" s="74">
        <v>29697095</v>
      </c>
      <c r="H69" s="227"/>
    </row>
    <row r="70" spans="1:8" s="124" customFormat="1" ht="15" customHeight="1" x14ac:dyDescent="0.25">
      <c r="A70" s="94" t="s">
        <v>62</v>
      </c>
      <c r="B70" s="80">
        <v>151756517</v>
      </c>
      <c r="C70" s="80">
        <v>153632548</v>
      </c>
      <c r="D70" s="80">
        <v>142313672</v>
      </c>
      <c r="E70" s="80">
        <f t="shared" si="5"/>
        <v>-11318876</v>
      </c>
      <c r="F70" s="81">
        <f t="shared" si="4"/>
        <v>-7.3674987151811089E-2</v>
      </c>
      <c r="G70" s="80">
        <f>SUM(G62:G69)</f>
        <v>147663672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5"/>
        <v>0</v>
      </c>
      <c r="F71" s="70">
        <f t="shared" si="4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-57182</v>
      </c>
      <c r="C72" s="74">
        <v>262377</v>
      </c>
      <c r="D72" s="74">
        <v>262124</v>
      </c>
      <c r="E72" s="74">
        <f t="shared" si="5"/>
        <v>-253</v>
      </c>
      <c r="F72" s="70">
        <f t="shared" si="4"/>
        <v>-9.642613491274006E-4</v>
      </c>
      <c r="G72" s="74">
        <v>262124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5"/>
        <v>0</v>
      </c>
      <c r="F73" s="70">
        <f t="shared" si="4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5"/>
        <v>0</v>
      </c>
      <c r="F74" s="70">
        <f t="shared" si="4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v>151699336</v>
      </c>
      <c r="C75" s="96">
        <v>153894925</v>
      </c>
      <c r="D75" s="96">
        <v>142575796</v>
      </c>
      <c r="E75" s="231">
        <f t="shared" si="5"/>
        <v>-11319129</v>
      </c>
      <c r="F75" s="81">
        <f t="shared" si="4"/>
        <v>-7.3551021906667818E-2</v>
      </c>
      <c r="G75" s="96">
        <f>SUM(G70,G71:G74)</f>
        <v>147925796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66919432</v>
      </c>
      <c r="C78" s="69">
        <v>70013576</v>
      </c>
      <c r="D78" s="69">
        <v>58420228</v>
      </c>
      <c r="E78" s="65">
        <f>D78-C78</f>
        <v>-11593348</v>
      </c>
      <c r="F78" s="70">
        <f t="shared" ref="F78:F96" si="6">IF(ISBLANK(E78),"  ",IF(C78&gt;0,E78/C78,IF(E78&gt;0,1,0)))</f>
        <v>-0.16558714269929592</v>
      </c>
      <c r="G78" s="69">
        <f>58420228+3774425</f>
        <v>62194653</v>
      </c>
      <c r="H78" s="227"/>
    </row>
    <row r="79" spans="1:8" ht="15" customHeight="1" x14ac:dyDescent="0.25">
      <c r="A79" s="75" t="s">
        <v>70</v>
      </c>
      <c r="B79" s="72">
        <v>1414336</v>
      </c>
      <c r="C79" s="72">
        <v>1096854</v>
      </c>
      <c r="D79" s="72">
        <v>942053</v>
      </c>
      <c r="E79" s="74">
        <f>D79-C79</f>
        <v>-154801</v>
      </c>
      <c r="F79" s="70">
        <f t="shared" si="6"/>
        <v>-0.14113181882000703</v>
      </c>
      <c r="G79" s="72">
        <v>942053</v>
      </c>
      <c r="H79" s="227"/>
    </row>
    <row r="80" spans="1:8" ht="15" customHeight="1" x14ac:dyDescent="0.25">
      <c r="A80" s="75" t="s">
        <v>71</v>
      </c>
      <c r="B80" s="65">
        <v>25569354</v>
      </c>
      <c r="C80" s="65">
        <v>28862758</v>
      </c>
      <c r="D80" s="65">
        <v>20299368</v>
      </c>
      <c r="E80" s="74">
        <f t="shared" ref="E80:E95" si="7">D80-C80</f>
        <v>-8563390</v>
      </c>
      <c r="F80" s="70">
        <f t="shared" si="6"/>
        <v>-0.29669340677699618</v>
      </c>
      <c r="G80" s="65">
        <f>20299368+1575575</f>
        <v>21874943</v>
      </c>
      <c r="H80" s="227"/>
    </row>
    <row r="81" spans="1:8" s="124" customFormat="1" ht="15" customHeight="1" x14ac:dyDescent="0.25">
      <c r="A81" s="94" t="s">
        <v>72</v>
      </c>
      <c r="B81" s="96">
        <v>93903122</v>
      </c>
      <c r="C81" s="96">
        <v>99973188</v>
      </c>
      <c r="D81" s="96">
        <v>79661649</v>
      </c>
      <c r="E81" s="80">
        <f t="shared" si="7"/>
        <v>-20311539</v>
      </c>
      <c r="F81" s="81">
        <f t="shared" si="6"/>
        <v>-0.20316986390390993</v>
      </c>
      <c r="G81" s="96">
        <f>SUM(G78:G80)</f>
        <v>85011649</v>
      </c>
      <c r="H81" s="228"/>
    </row>
    <row r="82" spans="1:8" ht="15" customHeight="1" x14ac:dyDescent="0.25">
      <c r="A82" s="75" t="s">
        <v>73</v>
      </c>
      <c r="B82" s="72">
        <v>274683</v>
      </c>
      <c r="C82" s="72">
        <v>389298</v>
      </c>
      <c r="D82" s="72">
        <v>285923</v>
      </c>
      <c r="E82" s="74">
        <f t="shared" si="7"/>
        <v>-103375</v>
      </c>
      <c r="F82" s="70">
        <f t="shared" si="6"/>
        <v>-0.26554207830505167</v>
      </c>
      <c r="G82" s="72">
        <v>285923</v>
      </c>
      <c r="H82" s="227"/>
    </row>
    <row r="83" spans="1:8" ht="15" customHeight="1" x14ac:dyDescent="0.25">
      <c r="A83" s="75" t="s">
        <v>74</v>
      </c>
      <c r="B83" s="69">
        <v>13926991</v>
      </c>
      <c r="C83" s="69">
        <v>18396972</v>
      </c>
      <c r="D83" s="69">
        <v>19419421</v>
      </c>
      <c r="E83" s="74">
        <f t="shared" si="7"/>
        <v>1022449</v>
      </c>
      <c r="F83" s="70">
        <f t="shared" si="6"/>
        <v>5.557702648022729E-2</v>
      </c>
      <c r="G83" s="69">
        <v>19419421</v>
      </c>
      <c r="H83" s="227"/>
    </row>
    <row r="84" spans="1:8" ht="15" customHeight="1" x14ac:dyDescent="0.25">
      <c r="A84" s="75" t="s">
        <v>75</v>
      </c>
      <c r="B84" s="65">
        <v>5227727</v>
      </c>
      <c r="C84" s="65">
        <v>5046227</v>
      </c>
      <c r="D84" s="65">
        <v>4285886</v>
      </c>
      <c r="E84" s="74">
        <f t="shared" si="7"/>
        <v>-760341</v>
      </c>
      <c r="F84" s="70">
        <f t="shared" si="6"/>
        <v>-0.15067514798680282</v>
      </c>
      <c r="G84" s="65">
        <v>4285886</v>
      </c>
      <c r="H84" s="227"/>
    </row>
    <row r="85" spans="1:8" s="124" customFormat="1" ht="15" customHeight="1" x14ac:dyDescent="0.25">
      <c r="A85" s="78" t="s">
        <v>76</v>
      </c>
      <c r="B85" s="96">
        <v>19429401</v>
      </c>
      <c r="C85" s="96">
        <v>23832497</v>
      </c>
      <c r="D85" s="96">
        <v>23991230</v>
      </c>
      <c r="E85" s="80">
        <f t="shared" si="7"/>
        <v>158733</v>
      </c>
      <c r="F85" s="81">
        <f t="shared" si="6"/>
        <v>6.6603595921988371E-3</v>
      </c>
      <c r="G85" s="96">
        <f>SUM(G82:G84)</f>
        <v>23991230</v>
      </c>
      <c r="H85" s="228"/>
    </row>
    <row r="86" spans="1:8" ht="15" customHeight="1" x14ac:dyDescent="0.25">
      <c r="A86" s="75" t="s">
        <v>77</v>
      </c>
      <c r="B86" s="65">
        <v>1946741</v>
      </c>
      <c r="C86" s="65">
        <v>2165647</v>
      </c>
      <c r="D86" s="65">
        <v>1662594</v>
      </c>
      <c r="E86" s="74">
        <f t="shared" si="7"/>
        <v>-503053</v>
      </c>
      <c r="F86" s="70">
        <f t="shared" si="6"/>
        <v>-0.23228762582267562</v>
      </c>
      <c r="G86" s="65">
        <v>1662594</v>
      </c>
      <c r="H86" s="227"/>
    </row>
    <row r="87" spans="1:8" ht="15" customHeight="1" x14ac:dyDescent="0.25">
      <c r="A87" s="75" t="s">
        <v>78</v>
      </c>
      <c r="B87" s="74">
        <v>25838644</v>
      </c>
      <c r="C87" s="74">
        <v>16452121</v>
      </c>
      <c r="D87" s="74">
        <v>25945466</v>
      </c>
      <c r="E87" s="74">
        <f t="shared" si="7"/>
        <v>9493345</v>
      </c>
      <c r="F87" s="70">
        <f t="shared" si="6"/>
        <v>0.57702863965077811</v>
      </c>
      <c r="G87" s="74">
        <v>25945466</v>
      </c>
      <c r="H87" s="227"/>
    </row>
    <row r="88" spans="1:8" ht="15" customHeight="1" x14ac:dyDescent="0.25">
      <c r="A88" s="75" t="s">
        <v>79</v>
      </c>
      <c r="B88" s="74">
        <v>262392</v>
      </c>
      <c r="C88" s="74">
        <v>260039</v>
      </c>
      <c r="D88" s="74">
        <v>262124</v>
      </c>
      <c r="E88" s="74">
        <f t="shared" si="7"/>
        <v>2085</v>
      </c>
      <c r="F88" s="70">
        <f t="shared" si="6"/>
        <v>8.0180280650210163E-3</v>
      </c>
      <c r="G88" s="74">
        <v>262124</v>
      </c>
      <c r="H88" s="227"/>
    </row>
    <row r="89" spans="1:8" ht="15" customHeight="1" x14ac:dyDescent="0.25">
      <c r="A89" s="75" t="s">
        <v>80</v>
      </c>
      <c r="B89" s="74">
        <v>10209592</v>
      </c>
      <c r="C89" s="74">
        <v>10824129</v>
      </c>
      <c r="D89" s="74">
        <v>10845255</v>
      </c>
      <c r="E89" s="74">
        <f t="shared" si="7"/>
        <v>21126</v>
      </c>
      <c r="F89" s="70">
        <f t="shared" si="6"/>
        <v>1.9517505750347209E-3</v>
      </c>
      <c r="G89" s="74">
        <v>10845255</v>
      </c>
      <c r="H89" s="227"/>
    </row>
    <row r="90" spans="1:8" s="124" customFormat="1" ht="15" customHeight="1" x14ac:dyDescent="0.25">
      <c r="A90" s="78" t="s">
        <v>81</v>
      </c>
      <c r="B90" s="80">
        <v>38257369</v>
      </c>
      <c r="C90" s="80">
        <v>29701936</v>
      </c>
      <c r="D90" s="80">
        <v>38715439</v>
      </c>
      <c r="E90" s="80">
        <f t="shared" si="7"/>
        <v>9013503</v>
      </c>
      <c r="F90" s="81">
        <f t="shared" si="6"/>
        <v>0.30346516806177215</v>
      </c>
      <c r="G90" s="80">
        <f>SUM(G86:G89)</f>
        <v>38715439</v>
      </c>
      <c r="H90" s="228"/>
    </row>
    <row r="91" spans="1:8" ht="15" customHeight="1" x14ac:dyDescent="0.25">
      <c r="A91" s="75" t="s">
        <v>82</v>
      </c>
      <c r="B91" s="74">
        <v>517178</v>
      </c>
      <c r="C91" s="74">
        <v>373987</v>
      </c>
      <c r="D91" s="74">
        <v>207478</v>
      </c>
      <c r="E91" s="74">
        <f t="shared" si="7"/>
        <v>-166509</v>
      </c>
      <c r="F91" s="70">
        <f t="shared" si="6"/>
        <v>-0.44522670574110867</v>
      </c>
      <c r="G91" s="74">
        <v>207478</v>
      </c>
      <c r="H91" s="227"/>
    </row>
    <row r="92" spans="1:8" ht="15" customHeight="1" x14ac:dyDescent="0.25">
      <c r="A92" s="75" t="s">
        <v>83</v>
      </c>
      <c r="B92" s="74">
        <v>2919</v>
      </c>
      <c r="C92" s="74">
        <v>13317</v>
      </c>
      <c r="D92" s="74">
        <v>0</v>
      </c>
      <c r="E92" s="74">
        <f t="shared" si="7"/>
        <v>-13317</v>
      </c>
      <c r="F92" s="70">
        <f t="shared" si="6"/>
        <v>-1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-410652</v>
      </c>
      <c r="C93" s="74">
        <v>0</v>
      </c>
      <c r="D93" s="74">
        <v>0</v>
      </c>
      <c r="E93" s="74">
        <f t="shared" si="7"/>
        <v>0</v>
      </c>
      <c r="F93" s="70">
        <f t="shared" si="6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v>109445</v>
      </c>
      <c r="C94" s="96">
        <v>387304</v>
      </c>
      <c r="D94" s="96">
        <v>207478</v>
      </c>
      <c r="E94" s="80">
        <f t="shared" si="7"/>
        <v>-179826</v>
      </c>
      <c r="F94" s="81">
        <f t="shared" si="6"/>
        <v>-0.4643019436928098</v>
      </c>
      <c r="G94" s="96">
        <f>SUM(G91:G93)</f>
        <v>207478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7"/>
        <v>0</v>
      </c>
      <c r="F95" s="70">
        <f t="shared" si="6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v>151699336</v>
      </c>
      <c r="C96" s="196">
        <v>153894925</v>
      </c>
      <c r="D96" s="196">
        <v>142575796</v>
      </c>
      <c r="E96" s="196">
        <f>D96-C96</f>
        <v>-11319129</v>
      </c>
      <c r="F96" s="198">
        <f t="shared" si="6"/>
        <v>-7.3551021906667818E-2</v>
      </c>
      <c r="G96" s="196">
        <f>SUM(G81,G85,G90,G94,G95)</f>
        <v>147925796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3.7109375" style="12" customWidth="1"/>
    <col min="5" max="5" width="23.7109375" style="2" customWidth="1"/>
    <col min="6" max="6" width="23.7109375" style="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9.140625" style="139"/>
    <col min="11" max="11" width="11.5703125" style="139" bestFit="1" customWidth="1"/>
    <col min="12" max="16384" width="9.140625" style="139"/>
  </cols>
  <sheetData>
    <row r="1" spans="1:9" ht="19.5" customHeight="1" thickBot="1" x14ac:dyDescent="0.35">
      <c r="A1" s="30" t="s">
        <v>0</v>
      </c>
      <c r="B1" s="35"/>
      <c r="D1" s="225" t="s">
        <v>1</v>
      </c>
      <c r="E1" s="29" t="s">
        <v>93</v>
      </c>
      <c r="F1" s="40"/>
    </row>
    <row r="2" spans="1:9" ht="19.5" customHeight="1" thickBot="1" x14ac:dyDescent="0.35">
      <c r="A2" s="30" t="s">
        <v>2</v>
      </c>
      <c r="B2" s="31"/>
      <c r="C2" s="36"/>
      <c r="D2" s="36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221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LSUE!B8+SUSLA!B8+'LCTCS Summary'!B8-LCTCBoard!B8-Online!B8-AE!B8-RR!B8</f>
        <v>122632103</v>
      </c>
      <c r="C8" s="69">
        <f>LSUE!C8+SUSLA!C8+'LCTCS Summary'!C8-LCTCBoard!C8-Online!C8-AE!C8-RR!C8</f>
        <v>122632103</v>
      </c>
      <c r="D8" s="69">
        <f>LSUE!D8+SUSLA!D8+'LCTCS Summary'!D8-LCTCBoard!D8-Online!D8-AE!D8-RR!D8</f>
        <v>100445172.81999999</v>
      </c>
      <c r="E8" s="69">
        <f>D8-C8</f>
        <v>-22186930.180000007</v>
      </c>
      <c r="F8" s="70">
        <f t="shared" ref="F8:F31" si="0">IF(ISBLANK(E8),"  ",IF(C8&gt;0,E8/C8,IF(E8&gt;0,1,0)))</f>
        <v>-0.18092269183380152</v>
      </c>
      <c r="G8" s="69">
        <f>LSUE!G8+SUSLA!G8+'LCTCS Summary'!G8-LCTCBoard!G8-Online!G8-AE!G8-RR!G8</f>
        <v>100445172.81999999</v>
      </c>
      <c r="H8" s="227"/>
    </row>
    <row r="9" spans="1:9" ht="15" customHeight="1" x14ac:dyDescent="0.25">
      <c r="A9" s="68" t="s">
        <v>13</v>
      </c>
      <c r="B9" s="69">
        <f>LSUE!B9+SUSLA!B9+'LCTCS Summary'!B9-LCTCBoard!B9-Online!B9-AE!B9-RR!B9</f>
        <v>0</v>
      </c>
      <c r="C9" s="69">
        <f>LSUE!C9+SUSLA!C9+'LCTCS Summary'!C9-LCTCBoard!C9-Online!C9-AE!C9-RR!C9</f>
        <v>0</v>
      </c>
      <c r="D9" s="69">
        <f>LSUE!D9+SUSLA!D9+'LCTCS Summary'!D9-LCTCBoard!D9-Online!D9-AE!D9-RR!D9</f>
        <v>0</v>
      </c>
      <c r="E9" s="69">
        <f>D9-C9</f>
        <v>0</v>
      </c>
      <c r="F9" s="70">
        <f t="shared" si="0"/>
        <v>0</v>
      </c>
      <c r="G9" s="69">
        <f>LSUE!G9+SUSLA!G9+'LCTCS Summary'!G9-LCTCBoard!G9-Online!G9-AE!G9-RR!G9</f>
        <v>0</v>
      </c>
      <c r="H9" s="227"/>
    </row>
    <row r="10" spans="1:9" ht="15" customHeight="1" x14ac:dyDescent="0.25">
      <c r="A10" s="71" t="s">
        <v>14</v>
      </c>
      <c r="B10" s="69">
        <f>LSUE!B10+SUSLA!B10+'LCTCS Summary'!B10-LCTCBoard!B10-Online!B10-AE!B10-RR!B10</f>
        <v>6677811.5600000061</v>
      </c>
      <c r="C10" s="69">
        <f>LSUE!C10+SUSLA!C10+'LCTCS Summary'!C10-LCTCBoard!C10-Online!C10-AE!C10-RR!C10</f>
        <v>7710377</v>
      </c>
      <c r="D10" s="69">
        <f>LSUE!D10+SUSLA!D10+'LCTCS Summary'!D10-LCTCBoard!D10-Online!D10-AE!D10-RR!D10</f>
        <v>5608555</v>
      </c>
      <c r="E10" s="69">
        <f t="shared" ref="E10:E31" si="1">D10-C10</f>
        <v>-2101822</v>
      </c>
      <c r="F10" s="70">
        <f t="shared" si="0"/>
        <v>-0.27259652802969297</v>
      </c>
      <c r="G10" s="69">
        <f>LSUE!G10+SUSLA!G10+'LCTCS Summary'!G10-LCTCBoard!G10-Online!G10-AE!G10-RR!G10</f>
        <v>5608555</v>
      </c>
      <c r="H10" s="227"/>
    </row>
    <row r="11" spans="1:9" ht="15" customHeight="1" x14ac:dyDescent="0.25">
      <c r="A11" s="73" t="s">
        <v>15</v>
      </c>
      <c r="B11" s="69">
        <f>LSUE!B11+SUSLA!B11+'LCTCS Summary'!B11-LCTCBoard!B11-Online!B11-AE!B11-RR!B11</f>
        <v>1094092</v>
      </c>
      <c r="C11" s="69">
        <f>LSUE!C11+SUSLA!C11+'LCTCS Summary'!C11-LCTCBoard!C11-Online!C11-AE!C11-RR!C11</f>
        <v>1094092</v>
      </c>
      <c r="D11" s="69">
        <f>LSUE!D11+SUSLA!D11+'LCTCS Summary'!D11-LCTCBoard!D11-Online!D11-AE!D11-RR!D11</f>
        <v>0</v>
      </c>
      <c r="E11" s="69">
        <f t="shared" si="1"/>
        <v>-1094092</v>
      </c>
      <c r="F11" s="70">
        <f t="shared" si="0"/>
        <v>-1</v>
      </c>
      <c r="G11" s="69">
        <f>LSUE!G11+SUSLA!G11+'LCTCS Summary'!G11-LCTCBoard!G11-Online!G11-AE!G11-RR!G11</f>
        <v>0</v>
      </c>
      <c r="H11" s="227"/>
    </row>
    <row r="12" spans="1:9" ht="15" customHeight="1" x14ac:dyDescent="0.25">
      <c r="A12" s="75" t="s">
        <v>16</v>
      </c>
      <c r="B12" s="69">
        <f>LSUE!B12+SUSLA!B12+'LCTCS Summary'!B12-LCTCBoard!B12-Online!B12-AE!B12-RR!B12</f>
        <v>4601813.6100000003</v>
      </c>
      <c r="C12" s="69">
        <f>LSUE!C12+SUSLA!C12+'LCTCS Summary'!C12-LCTCBoard!C12-Online!C12-AE!C12-RR!C12</f>
        <v>5572463</v>
      </c>
      <c r="D12" s="69">
        <f>LSUE!D12+SUSLA!D12+'LCTCS Summary'!D12-LCTCBoard!D12-Online!D12-AE!D12-RR!D12</f>
        <v>4773580</v>
      </c>
      <c r="E12" s="69">
        <f t="shared" si="1"/>
        <v>-798883</v>
      </c>
      <c r="F12" s="70">
        <f t="shared" si="0"/>
        <v>-0.14336263874699573</v>
      </c>
      <c r="G12" s="69">
        <f>LSUE!G12+SUSLA!G12+'LCTCS Summary'!G12-LCTCBoard!G12-Online!G12-AE!G12-RR!G12</f>
        <v>4773580</v>
      </c>
      <c r="H12" s="227"/>
    </row>
    <row r="13" spans="1:9" ht="15" customHeight="1" x14ac:dyDescent="0.25">
      <c r="A13" s="75" t="s">
        <v>17</v>
      </c>
      <c r="B13" s="69">
        <f>LSUE!B13+SUSLA!B13+'LCTCS Summary'!B13-LCTCBoard!B13-Online!B13-AE!B13-RR!B13</f>
        <v>0</v>
      </c>
      <c r="C13" s="69">
        <f>LSUE!C13+SUSLA!C13+'LCTCS Summary'!C13-LCTCBoard!C13-Online!C13-AE!C13-RR!C13</f>
        <v>0</v>
      </c>
      <c r="D13" s="69">
        <f>LSUE!D13+SUSLA!D13+'LCTCS Summary'!D13-LCTCBoard!D13-Online!D13-AE!D13-RR!D13</f>
        <v>0</v>
      </c>
      <c r="E13" s="69">
        <f t="shared" si="1"/>
        <v>0</v>
      </c>
      <c r="F13" s="70">
        <f t="shared" si="0"/>
        <v>0</v>
      </c>
      <c r="G13" s="69">
        <f>LSUE!G13+SUSLA!G13+'LCTCS Summary'!G13-LCTCBoard!G13-Online!G13-AE!G13-RR!G13</f>
        <v>0</v>
      </c>
      <c r="H13" s="227"/>
    </row>
    <row r="14" spans="1:9" ht="15" customHeight="1" x14ac:dyDescent="0.25">
      <c r="A14" s="75" t="s">
        <v>18</v>
      </c>
      <c r="B14" s="69">
        <f>LSUE!B14+SUSLA!B14+'LCTCS Summary'!B14-LCTCBoard!B14-Online!B14-AE!B14-RR!B14</f>
        <v>138564.95000000001</v>
      </c>
      <c r="C14" s="69">
        <f>LSUE!C14+SUSLA!C14+'LCTCS Summary'!C14-LCTCBoard!C14-Online!C14-AE!C14-RR!C14</f>
        <v>163957</v>
      </c>
      <c r="D14" s="69">
        <f>LSUE!D14+SUSLA!D14+'LCTCS Summary'!D14-LCTCBoard!D14-Online!D14-AE!D14-RR!D14</f>
        <v>78713</v>
      </c>
      <c r="E14" s="69">
        <f t="shared" si="1"/>
        <v>-85244</v>
      </c>
      <c r="F14" s="70">
        <f t="shared" si="0"/>
        <v>-0.51991680745561342</v>
      </c>
      <c r="G14" s="69">
        <f>LSUE!G14+SUSLA!G14+'LCTCS Summary'!G14-LCTCBoard!G14-Online!G14-AE!G14-RR!G14</f>
        <v>78713</v>
      </c>
      <c r="H14" s="227"/>
    </row>
    <row r="15" spans="1:9" ht="15" customHeight="1" x14ac:dyDescent="0.25">
      <c r="A15" s="75" t="s">
        <v>19</v>
      </c>
      <c r="B15" s="69">
        <f>LSUE!B15+SUSLA!B15+'LCTCS Summary'!B15-LCTCBoard!B15-Online!B15-AE!B15-RR!B15</f>
        <v>530624</v>
      </c>
      <c r="C15" s="69">
        <f>LSUE!C15+SUSLA!C15+'LCTCS Summary'!C15-LCTCBoard!C15-Online!C15-AE!C15-RR!C15</f>
        <v>530624</v>
      </c>
      <c r="D15" s="69">
        <f>LSUE!D15+SUSLA!D15+'LCTCS Summary'!D15-LCTCBoard!D15-Online!D15-AE!D15-RR!D15</f>
        <v>544710</v>
      </c>
      <c r="E15" s="69">
        <f t="shared" si="1"/>
        <v>14086</v>
      </c>
      <c r="F15" s="70">
        <f t="shared" si="0"/>
        <v>2.6546104209383668E-2</v>
      </c>
      <c r="G15" s="69">
        <f>LSUE!G15+SUSLA!G15+'LCTCS Summary'!G15-LCTCBoard!G15-Online!G15-AE!G15-RR!G15</f>
        <v>544710</v>
      </c>
      <c r="H15" s="227"/>
    </row>
    <row r="16" spans="1:9" ht="15" customHeight="1" x14ac:dyDescent="0.25">
      <c r="A16" s="75" t="s">
        <v>20</v>
      </c>
      <c r="B16" s="69">
        <f>LSUE!B16+SUSLA!B16+'LCTCS Summary'!B16-LCTCBoard!B16-Online!B16-AE!B16-RR!B16</f>
        <v>0</v>
      </c>
      <c r="C16" s="69">
        <f>LSUE!C16+SUSLA!C16+'LCTCS Summary'!C16-LCTCBoard!C16-Online!C16-AE!C16-RR!C16</f>
        <v>0</v>
      </c>
      <c r="D16" s="69">
        <f>LSUE!D16+SUSLA!D16+'LCTCS Summary'!D16-LCTCBoard!D16-Online!D16-AE!D16-RR!D16</f>
        <v>0</v>
      </c>
      <c r="E16" s="69">
        <f t="shared" si="1"/>
        <v>0</v>
      </c>
      <c r="F16" s="70">
        <f t="shared" si="0"/>
        <v>0</v>
      </c>
      <c r="G16" s="69">
        <f>LSUE!G16+SUSLA!G16+'LCTCS Summary'!G16-LCTCBoard!G16-Online!G16-AE!G16-RR!G16</f>
        <v>0</v>
      </c>
      <c r="H16" s="227"/>
    </row>
    <row r="17" spans="1:8" ht="15" customHeight="1" x14ac:dyDescent="0.25">
      <c r="A17" s="75" t="s">
        <v>21</v>
      </c>
      <c r="B17" s="69">
        <f>LSUE!B17+SUSLA!B17+'LCTCS Summary'!B17-LCTCBoard!B17-Online!B17-AE!B17-RR!B17</f>
        <v>0</v>
      </c>
      <c r="C17" s="69">
        <f>LSUE!C17+SUSLA!C17+'LCTCS Summary'!C17-LCTCBoard!C17-Online!C17-AE!C17-RR!C17</f>
        <v>0</v>
      </c>
      <c r="D17" s="69">
        <f>LSUE!D17+SUSLA!D17+'LCTCS Summary'!D17-LCTCBoard!D17-Online!D17-AE!D17-RR!D17</f>
        <v>0</v>
      </c>
      <c r="E17" s="69">
        <f t="shared" si="1"/>
        <v>0</v>
      </c>
      <c r="F17" s="70">
        <f t="shared" si="0"/>
        <v>0</v>
      </c>
      <c r="G17" s="69">
        <f>LSUE!G17+SUSLA!G17+'LCTCS Summary'!G17-LCTCBoard!G17-Online!G17-AE!G17-RR!G17</f>
        <v>0</v>
      </c>
      <c r="H17" s="227"/>
    </row>
    <row r="18" spans="1:8" ht="15" customHeight="1" x14ac:dyDescent="0.25">
      <c r="A18" s="75" t="s">
        <v>22</v>
      </c>
      <c r="B18" s="69">
        <f>LSUE!B18+SUSLA!B18+'LCTCS Summary'!B18-LCTCBoard!B18-Online!B18-AE!B18-RR!B18</f>
        <v>0</v>
      </c>
      <c r="C18" s="69">
        <f>LSUE!C18+SUSLA!C18+'LCTCS Summary'!C18-LCTCBoard!C18-Online!C18-AE!C18-RR!C18</f>
        <v>0</v>
      </c>
      <c r="D18" s="69">
        <f>LSUE!D18+SUSLA!D18+'LCTCS Summary'!D18-LCTCBoard!D18-Online!D18-AE!D18-RR!D18</f>
        <v>0</v>
      </c>
      <c r="E18" s="69">
        <f t="shared" si="1"/>
        <v>0</v>
      </c>
      <c r="F18" s="70">
        <f t="shared" si="0"/>
        <v>0</v>
      </c>
      <c r="G18" s="69">
        <f>LSUE!G18+SUSLA!G18+'LCTCS Summary'!G18-LCTCBoard!G18-Online!G18-AE!G18-RR!G18</f>
        <v>0</v>
      </c>
      <c r="H18" s="227"/>
    </row>
    <row r="19" spans="1:8" ht="15" customHeight="1" x14ac:dyDescent="0.25">
      <c r="A19" s="75" t="s">
        <v>23</v>
      </c>
      <c r="B19" s="69">
        <f>LSUE!B19+SUSLA!B19+'LCTCS Summary'!B19-LCTCBoard!B19-Online!B19-AE!B19-RR!B19</f>
        <v>0</v>
      </c>
      <c r="C19" s="69">
        <f>LSUE!C19+SUSLA!C19+'LCTCS Summary'!C19-LCTCBoard!C19-Online!C19-AE!C19-RR!C19</f>
        <v>0</v>
      </c>
      <c r="D19" s="69">
        <f>LSUE!D19+SUSLA!D19+'LCTCS Summary'!D19-LCTCBoard!D19-Online!D19-AE!D19-RR!D19</f>
        <v>0</v>
      </c>
      <c r="E19" s="69">
        <f t="shared" si="1"/>
        <v>0</v>
      </c>
      <c r="F19" s="70">
        <f t="shared" si="0"/>
        <v>0</v>
      </c>
      <c r="G19" s="69">
        <f>LSUE!G19+SUSLA!G19+'LCTCS Summary'!G19-LCTCBoard!G19-Online!G19-AE!G19-RR!G19</f>
        <v>0</v>
      </c>
      <c r="H19" s="227"/>
    </row>
    <row r="20" spans="1:8" ht="15" customHeight="1" x14ac:dyDescent="0.25">
      <c r="A20" s="75" t="s">
        <v>24</v>
      </c>
      <c r="B20" s="69">
        <f>LSUE!B20+SUSLA!B20+'LCTCS Summary'!B20-LCTCBoard!B20-Online!B20-AE!B20-RR!B20</f>
        <v>0</v>
      </c>
      <c r="C20" s="69">
        <f>LSUE!C20+SUSLA!C20+'LCTCS Summary'!C20-LCTCBoard!C20-Online!C20-AE!C20-RR!C20</f>
        <v>0</v>
      </c>
      <c r="D20" s="69">
        <f>LSUE!D20+SUSLA!D20+'LCTCS Summary'!D20-LCTCBoard!D20-Online!D20-AE!D20-RR!D20</f>
        <v>0</v>
      </c>
      <c r="E20" s="69">
        <f t="shared" si="1"/>
        <v>0</v>
      </c>
      <c r="F20" s="70">
        <f t="shared" si="0"/>
        <v>0</v>
      </c>
      <c r="G20" s="69">
        <f>LSUE!G20+SUSLA!G20+'LCTCS Summary'!G20-LCTCBoard!G20-Online!G20-AE!G20-RR!G20</f>
        <v>0</v>
      </c>
      <c r="H20" s="227"/>
    </row>
    <row r="21" spans="1:8" ht="15" customHeight="1" x14ac:dyDescent="0.25">
      <c r="A21" s="75" t="s">
        <v>25</v>
      </c>
      <c r="B21" s="69">
        <f>LSUE!B21+SUSLA!B21+'LCTCS Summary'!B21-LCTCBoard!B21-Online!B21-AE!B21-RR!B21</f>
        <v>0</v>
      </c>
      <c r="C21" s="69">
        <f>LSUE!C21+SUSLA!C21+'LCTCS Summary'!C21-LCTCBoard!C21-Online!C21-AE!C21-RR!C21</f>
        <v>0</v>
      </c>
      <c r="D21" s="69">
        <f>LSUE!D21+SUSLA!D21+'LCTCS Summary'!D21-LCTCBoard!D21-Online!D21-AE!D21-RR!D21</f>
        <v>0</v>
      </c>
      <c r="E21" s="69">
        <f t="shared" si="1"/>
        <v>0</v>
      </c>
      <c r="F21" s="70">
        <f t="shared" si="0"/>
        <v>0</v>
      </c>
      <c r="G21" s="69">
        <f>LSUE!G21+SUSLA!G21+'LCTCS Summary'!G21-LCTCBoard!G21-Online!G21-AE!G21-RR!G21</f>
        <v>0</v>
      </c>
      <c r="H21" s="227"/>
    </row>
    <row r="22" spans="1:8" ht="15" customHeight="1" x14ac:dyDescent="0.25">
      <c r="A22" s="75" t="s">
        <v>26</v>
      </c>
      <c r="B22" s="69">
        <f>LSUE!B22+SUSLA!B22+'LCTCS Summary'!B22-LCTCBoard!B22-Online!B22-AE!B22-RR!B22</f>
        <v>0</v>
      </c>
      <c r="C22" s="69">
        <f>LSUE!C22+SUSLA!C22+'LCTCS Summary'!C22-LCTCBoard!C22-Online!C22-AE!C22-RR!C22</f>
        <v>0</v>
      </c>
      <c r="D22" s="69">
        <f>LSUE!D22+SUSLA!D22+'LCTCS Summary'!D22-LCTCBoard!D22-Online!D22-AE!D22-RR!D22</f>
        <v>0</v>
      </c>
      <c r="E22" s="69">
        <f t="shared" si="1"/>
        <v>0</v>
      </c>
      <c r="F22" s="70">
        <f t="shared" si="0"/>
        <v>0</v>
      </c>
      <c r="G22" s="69">
        <f>LSUE!G22+SUSLA!G22+'LCTCS Summary'!G22-LCTCBoard!G22-Online!G22-AE!G22-RR!G22</f>
        <v>0</v>
      </c>
      <c r="H22" s="227"/>
    </row>
    <row r="23" spans="1:8" ht="15" customHeight="1" x14ac:dyDescent="0.25">
      <c r="A23" s="76" t="s">
        <v>27</v>
      </c>
      <c r="B23" s="69">
        <f>LSUE!B23+SUSLA!B23+'LCTCS Summary'!B23-LCTCBoard!B23-Online!B23-AE!B23-RR!B23</f>
        <v>0</v>
      </c>
      <c r="C23" s="69">
        <f>LSUE!C23+SUSLA!C23+'LCTCS Summary'!C23-LCTCBoard!C23-Online!C23-AE!C23-RR!C23</f>
        <v>0</v>
      </c>
      <c r="D23" s="69">
        <f>LSUE!D23+SUSLA!D23+'LCTCS Summary'!D23-LCTCBoard!D23-Online!D23-AE!D23-RR!D23</f>
        <v>0</v>
      </c>
      <c r="E23" s="69">
        <f t="shared" si="1"/>
        <v>0</v>
      </c>
      <c r="F23" s="70">
        <f t="shared" si="0"/>
        <v>0</v>
      </c>
      <c r="G23" s="69">
        <f>LSUE!G23+SUSLA!G23+'LCTCS Summary'!G23-LCTCBoard!G23-Online!G23-AE!G23-RR!G23</f>
        <v>0</v>
      </c>
      <c r="H23" s="227"/>
    </row>
    <row r="24" spans="1:8" ht="15" customHeight="1" x14ac:dyDescent="0.25">
      <c r="A24" s="76" t="s">
        <v>28</v>
      </c>
      <c r="B24" s="69">
        <f>LSUE!B24+SUSLA!B24+'LCTCS Summary'!B24-LCTCBoard!B24-Online!B24-AE!B24-RR!B24</f>
        <v>0</v>
      </c>
      <c r="C24" s="69">
        <f>LSUE!C24+SUSLA!C24+'LCTCS Summary'!C24-LCTCBoard!C24-Online!C24-AE!C24-RR!C24</f>
        <v>0</v>
      </c>
      <c r="D24" s="69">
        <f>LSUE!D24+SUSLA!D24+'LCTCS Summary'!D24-LCTCBoard!D24-Online!D24-AE!D24-RR!D24</f>
        <v>0</v>
      </c>
      <c r="E24" s="69">
        <f t="shared" si="1"/>
        <v>0</v>
      </c>
      <c r="F24" s="70">
        <f t="shared" si="0"/>
        <v>0</v>
      </c>
      <c r="G24" s="69">
        <f>LSUE!G24+SUSLA!G24+'LCTCS Summary'!G24-LCTCBoard!G24-Online!G24-AE!G24-RR!G24</f>
        <v>0</v>
      </c>
      <c r="H24" s="227"/>
    </row>
    <row r="25" spans="1:8" ht="15" customHeight="1" x14ac:dyDescent="0.25">
      <c r="A25" s="76" t="s">
        <v>29</v>
      </c>
      <c r="B25" s="69">
        <f>LSUE!B25+SUSLA!B25+'LCTCS Summary'!B25-LCTCBoard!B25-Online!B25-AE!B25-RR!B25</f>
        <v>0</v>
      </c>
      <c r="C25" s="69">
        <f>LSUE!C25+SUSLA!C25+'LCTCS Summary'!C25-LCTCBoard!C25-Online!C25-AE!C25-RR!C25</f>
        <v>0</v>
      </c>
      <c r="D25" s="69">
        <f>LSUE!D25+SUSLA!D25+'LCTCS Summary'!D25-LCTCBoard!D25-Online!D25-AE!D25-RR!D25</f>
        <v>0</v>
      </c>
      <c r="E25" s="69">
        <f t="shared" si="1"/>
        <v>0</v>
      </c>
      <c r="F25" s="70">
        <f t="shared" si="0"/>
        <v>0</v>
      </c>
      <c r="G25" s="69">
        <f>LSUE!G25+SUSLA!G25+'LCTCS Summary'!G25-LCTCBoard!G25-Online!G25-AE!G25-RR!G25</f>
        <v>0</v>
      </c>
      <c r="H25" s="227"/>
    </row>
    <row r="26" spans="1:8" ht="15" customHeight="1" x14ac:dyDescent="0.25">
      <c r="A26" s="76" t="s">
        <v>30</v>
      </c>
      <c r="B26" s="69">
        <f>LSUE!B26+SUSLA!B26+'LCTCS Summary'!B26-LCTCBoard!B26-Online!B26-AE!B26-RR!B26</f>
        <v>312717</v>
      </c>
      <c r="C26" s="69">
        <f>LSUE!C26+SUSLA!C26+'LCTCS Summary'!C26-LCTCBoard!C26-Online!C26-AE!C26-RR!C26</f>
        <v>349241</v>
      </c>
      <c r="D26" s="69">
        <f>LSUE!D26+SUSLA!D26+'LCTCS Summary'!D26-LCTCBoard!D26-Online!D26-AE!D26-RR!D26</f>
        <v>211552</v>
      </c>
      <c r="E26" s="69">
        <f t="shared" si="1"/>
        <v>-137689</v>
      </c>
      <c r="F26" s="70">
        <f t="shared" si="0"/>
        <v>-0.39425210671141131</v>
      </c>
      <c r="G26" s="69">
        <f>LSUE!G26+SUSLA!G26+'LCTCS Summary'!G26-LCTCBoard!G26-Online!G26-AE!G26-RR!G26</f>
        <v>211552</v>
      </c>
      <c r="H26" s="227"/>
    </row>
    <row r="27" spans="1:8" ht="15" customHeight="1" x14ac:dyDescent="0.25">
      <c r="A27" s="76" t="s">
        <v>31</v>
      </c>
      <c r="B27" s="69">
        <f>LSUE!B27+SUSLA!B27+'LCTCS Summary'!B27-LCTCBoard!B27-Online!B27-AE!B27-RR!B27</f>
        <v>0</v>
      </c>
      <c r="C27" s="69">
        <f>LSUE!C27+SUSLA!C27+'LCTCS Summary'!C27-LCTCBoard!C27-Online!C27-AE!C27-RR!C27</f>
        <v>0</v>
      </c>
      <c r="D27" s="69">
        <f>LSUE!D27+SUSLA!D27+'LCTCS Summary'!D27-LCTCBoard!D27-Online!D27-AE!D27-RR!D27</f>
        <v>0</v>
      </c>
      <c r="E27" s="69">
        <f t="shared" si="1"/>
        <v>0</v>
      </c>
      <c r="F27" s="70">
        <f t="shared" si="0"/>
        <v>0</v>
      </c>
      <c r="G27" s="69">
        <f>LSUE!G27+SUSLA!G27+'LCTCS Summary'!G27-LCTCBoard!G27-Online!G27-AE!G27-RR!G27</f>
        <v>0</v>
      </c>
      <c r="H27" s="227"/>
    </row>
    <row r="28" spans="1:8" ht="15" customHeight="1" x14ac:dyDescent="0.25">
      <c r="A28" s="76" t="s">
        <v>87</v>
      </c>
      <c r="B28" s="69">
        <f>LSUE!B28+SUSLA!B28+'LCTCS Summary'!B28-LCTCBoard!B28-Online!B28-AE!B28-RR!B28</f>
        <v>0</v>
      </c>
      <c r="C28" s="69">
        <f>LSUE!C28+SUSLA!C28+'LCTCS Summary'!C28-LCTCBoard!C28-Online!C28-AE!C28-RR!C28</f>
        <v>0</v>
      </c>
      <c r="D28" s="69">
        <f>LSUE!D28+SUSLA!D28+'LCTCS Summary'!D28-LCTCBoard!D28-Online!D28-AE!D28-RR!D28</f>
        <v>0</v>
      </c>
      <c r="E28" s="69">
        <f t="shared" si="1"/>
        <v>0</v>
      </c>
      <c r="F28" s="70">
        <f t="shared" si="0"/>
        <v>0</v>
      </c>
      <c r="G28" s="69">
        <f>LSUE!G28+SUSLA!G28+'LCTCS Summary'!G28-LCTCBoard!G28-Online!G28-AE!G28-RR!G28</f>
        <v>0</v>
      </c>
      <c r="H28" s="227"/>
    </row>
    <row r="29" spans="1:8" ht="15" customHeight="1" x14ac:dyDescent="0.25">
      <c r="A29" s="76" t="s">
        <v>32</v>
      </c>
      <c r="B29" s="69">
        <f>LSUE!B29+SUSLA!B29+'LCTCS Summary'!B29-LCTCBoard!B29-Online!B29-AE!B29-RR!B29</f>
        <v>0</v>
      </c>
      <c r="C29" s="69">
        <f>LSUE!C29+SUSLA!C29+'LCTCS Summary'!C29-LCTCBoard!C29-Online!C29-AE!C29-RR!C29</f>
        <v>0</v>
      </c>
      <c r="D29" s="69">
        <f>LSUE!D29+SUSLA!D29+'LCTCS Summary'!D29-LCTCBoard!D29-Online!D29-AE!D29-RR!D29</f>
        <v>0</v>
      </c>
      <c r="E29" s="69">
        <f t="shared" si="1"/>
        <v>0</v>
      </c>
      <c r="F29" s="70">
        <f t="shared" si="0"/>
        <v>0</v>
      </c>
      <c r="G29" s="69">
        <f>LSUE!G29+SUSLA!G29+'LCTCS Summary'!G29-LCTCBoard!G29-Online!G29-AE!G29-RR!G29</f>
        <v>0</v>
      </c>
      <c r="H29" s="227"/>
    </row>
    <row r="30" spans="1:8" ht="15" customHeight="1" x14ac:dyDescent="0.25">
      <c r="A30" s="217" t="s">
        <v>201</v>
      </c>
      <c r="B30" s="69">
        <f>LSUE!B30+SUSLA!B30+'LCTCS Summary'!B30-LCTCBoard!B30-Online!B30-AE!B30-RR!B30</f>
        <v>0</v>
      </c>
      <c r="C30" s="69">
        <f>LSUE!C30+SUSLA!C30+'LCTCS Summary'!C30-LCTCBoard!C30-Online!C30-AE!C30-RR!C30</f>
        <v>0</v>
      </c>
      <c r="D30" s="69">
        <f>LSUE!D30+SUSLA!D30+'LCTCS Summary'!D30-LCTCBoard!D30-Online!D30-AE!D30-RR!D30</f>
        <v>0</v>
      </c>
      <c r="E30" s="69">
        <f t="shared" si="1"/>
        <v>0</v>
      </c>
      <c r="F30" s="70">
        <f t="shared" si="0"/>
        <v>0</v>
      </c>
      <c r="G30" s="69">
        <f>LSUE!G30+SUSLA!G30+'LCTCS Summary'!G30-LCTCBoard!G30-Online!G30-AE!G30-RR!G30</f>
        <v>0</v>
      </c>
      <c r="H30" s="227"/>
    </row>
    <row r="31" spans="1:8" ht="15" customHeight="1" x14ac:dyDescent="0.25">
      <c r="A31" s="76" t="s">
        <v>202</v>
      </c>
      <c r="B31" s="69">
        <f>LSUE!B31+SUSLA!B31+'LCTCS Summary'!B31-LCTCBoard!B31-Online!B31-AE!B31-RR!B31</f>
        <v>0</v>
      </c>
      <c r="C31" s="69">
        <f>LSUE!C31+SUSLA!C31+'LCTCS Summary'!C31-LCTCBoard!C31-Online!C31-AE!C31-RR!C31</f>
        <v>0</v>
      </c>
      <c r="D31" s="69">
        <f>LSUE!D31+SUSLA!D31+'LCTCS Summary'!D31-LCTCBoard!D31-Online!D31-AE!D31-RR!D31</f>
        <v>0</v>
      </c>
      <c r="E31" s="69">
        <f t="shared" si="1"/>
        <v>0</v>
      </c>
      <c r="F31" s="70">
        <f t="shared" si="0"/>
        <v>0</v>
      </c>
      <c r="G31" s="69">
        <f>LSUE!G31+SUSLA!G31+'LCTCS Summary'!G31-LCTCBoard!G31-Online!G31-AE!G31-RR!G31</f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f>LSUE!B33+SUSLA!B33+'LCTCS Summary'!B33-LCTCBoard!B33-Online!B33-AE!B33-RR!B33</f>
        <v>0</v>
      </c>
      <c r="C33" s="69">
        <f>LSUE!C33+SUSLA!C33+'LCTCS Summary'!C33-LCTCBoard!C33-Online!C33-AE!C33-RR!C33</f>
        <v>0</v>
      </c>
      <c r="D33" s="69">
        <f>LSUE!D33+SUSLA!D33+'LCTCS Summary'!D33-LCTCBoard!D33-Online!D33-AE!D33-RR!D33</f>
        <v>0</v>
      </c>
      <c r="E33" s="69">
        <f>D33-C33</f>
        <v>0</v>
      </c>
      <c r="F33" s="70">
        <f>IF(ISBLANK(E33),"  ",IF(C33&gt;0,E33/C33,IF(E33&gt;0,1,0)))</f>
        <v>0</v>
      </c>
      <c r="G33" s="69">
        <f>LSUE!G33+SUSLA!G33+'LCTCS Summary'!G33-LCTCBoard!G33-Online!G33-AE!G33-RR!G33</f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9">
        <f>LSUE!B35+SUSLA!B35+'LCTCS Summary'!B35-LCTCBoard!B35-Online!B35-AE!B35-RR!B35</f>
        <v>0</v>
      </c>
      <c r="C35" s="69">
        <f>LSUE!C35+SUSLA!C35+'LCTCS Summary'!C35-LCTCBoard!C35-Online!C35-AE!C35-RR!C35</f>
        <v>0</v>
      </c>
      <c r="D35" s="69">
        <f>LSUE!D35+SUSLA!D35+'LCTCS Summary'!D35-LCTCBoard!D35-Online!D35-AE!D35-RR!D35</f>
        <v>0</v>
      </c>
      <c r="E35" s="69">
        <f>D35-C35</f>
        <v>0</v>
      </c>
      <c r="F35" s="70">
        <f>IF(ISBLANK(E35),"  ",IF(C35&gt;0,E35/C35,IF(E35&gt;0,1,0)))</f>
        <v>0</v>
      </c>
      <c r="G35" s="69">
        <f>LSUE!G35+SUSLA!G35+'LCTCS Summary'!G35-LCTCBoard!G35-Online!G35-AE!G35-RR!G35</f>
        <v>0</v>
      </c>
      <c r="H35" s="227"/>
    </row>
    <row r="36" spans="1:13" ht="15" customHeight="1" x14ac:dyDescent="0.25">
      <c r="A36" s="75" t="s">
        <v>36</v>
      </c>
      <c r="B36" s="122"/>
      <c r="C36" s="122"/>
      <c r="D36" s="122"/>
      <c r="E36" s="72"/>
      <c r="F36" s="70" t="s">
        <v>37</v>
      </c>
      <c r="G36" s="122"/>
      <c r="H36" s="227"/>
    </row>
    <row r="37" spans="1:13" s="124" customFormat="1" ht="15" customHeight="1" x14ac:dyDescent="0.25">
      <c r="A37" s="79" t="s">
        <v>38</v>
      </c>
      <c r="B37" s="123">
        <f>LSUE!B37+SUSLA!B37+'LCTCS Summary'!B37-LCTCBoard!B37-Online!B37-AE!B37-RR!B37</f>
        <v>129309914.56</v>
      </c>
      <c r="C37" s="123">
        <f>LSUE!C37+SUSLA!C37+'LCTCS Summary'!C37-LCTCBoard!C37-Online!C37-AE!C37-RR!C37</f>
        <v>130342480</v>
      </c>
      <c r="D37" s="123">
        <f>LSUE!D37+SUSLA!D37+'LCTCS Summary'!D37-LCTCBoard!D37-Online!D37-AE!D37-RR!D37</f>
        <v>106053728</v>
      </c>
      <c r="E37" s="87">
        <f>D37-C37</f>
        <v>-24288752</v>
      </c>
      <c r="F37" s="81">
        <f>IF(ISBLANK(E37),"  ",IF(C37&gt;0,E37/C37,IF(E37&gt;0,1,0)))</f>
        <v>-0.18634563344199068</v>
      </c>
      <c r="G37" s="123">
        <f>LSUE!G37+SUSLA!G37+'LCTCS Summary'!G37-LCTCBoard!G37-Online!G37-AE!G37-RR!G37</f>
        <v>106053728</v>
      </c>
      <c r="H37" s="228"/>
      <c r="I37" s="189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f>LSUE!B39+SUSLA!B39+'LCTCS Summary'!B39-LCTCBoard!B39-Online!B39-AE!B39-RR!B39</f>
        <v>0</v>
      </c>
      <c r="C39" s="69">
        <f>LSUE!C39+SUSLA!C39+'LCTCS Summary'!C39-LCTCBoard!C39-Online!C39-AE!C39-RR!C39</f>
        <v>0</v>
      </c>
      <c r="D39" s="69">
        <f>LSUE!D39+SUSLA!D39+'LCTCS Summary'!D39-LCTCBoard!D39-Online!D39-AE!D39-RR!D39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LSUE!G39+SUSLA!G39+'LCTCS Summary'!G39-LCTCBoard!G39-Online!G39-AE!G39-RR!G39</f>
        <v>0</v>
      </c>
      <c r="H39" s="227"/>
    </row>
    <row r="40" spans="1:13" ht="15" customHeight="1" x14ac:dyDescent="0.25">
      <c r="A40" s="83" t="s">
        <v>41</v>
      </c>
      <c r="B40" s="69">
        <f>LSUE!B40+SUSLA!B40+'LCTCS Summary'!B40-LCTCBoard!B40-Online!B40-AE!B40-RR!B40</f>
        <v>0</v>
      </c>
      <c r="C40" s="69">
        <f>LSUE!C40+SUSLA!C40+'LCTCS Summary'!C40-LCTCBoard!C40-Online!C40-AE!C40-RR!C40</f>
        <v>0</v>
      </c>
      <c r="D40" s="69">
        <f>LSUE!D40+SUSLA!D40+'LCTCS Summary'!D40-LCTCBoard!D40-Online!D40-AE!D40-RR!D40</f>
        <v>0</v>
      </c>
      <c r="E40" s="69">
        <f>D40-C40</f>
        <v>0</v>
      </c>
      <c r="F40" s="70">
        <f t="shared" si="2"/>
        <v>0</v>
      </c>
      <c r="G40" s="69">
        <f>LSUE!G40+SUSLA!G40+'LCTCS Summary'!G40-LCTCBoard!G40-Online!G40-AE!G40-RR!G40</f>
        <v>0</v>
      </c>
      <c r="H40" s="227"/>
    </row>
    <row r="41" spans="1:13" ht="15" customHeight="1" x14ac:dyDescent="0.25">
      <c r="A41" s="83" t="s">
        <v>42</v>
      </c>
      <c r="B41" s="69">
        <f>LSUE!B41+SUSLA!B41+'LCTCS Summary'!B41-LCTCBoard!B41-Online!B41-AE!B41-RR!B41</f>
        <v>25897750</v>
      </c>
      <c r="C41" s="69">
        <f>LSUE!C41+SUSLA!C41+'LCTCS Summary'!C41-LCTCBoard!C41-Online!C41-AE!C41-RR!C41</f>
        <v>15954000</v>
      </c>
      <c r="D41" s="69">
        <f>LSUE!D41+SUSLA!D41+'LCTCS Summary'!D41-LCTCBoard!D41-Online!D41-AE!D41-RR!D41</f>
        <v>0</v>
      </c>
      <c r="E41" s="69">
        <f t="shared" ref="E41:E44" si="3">D41-C41</f>
        <v>-15954000</v>
      </c>
      <c r="F41" s="70">
        <f t="shared" si="2"/>
        <v>-1</v>
      </c>
      <c r="G41" s="69">
        <f>LSUE!G41+SUSLA!G41+'LCTCS Summary'!G41-LCTCBoard!G41-Online!G41-AE!G41-RR!G41</f>
        <v>0</v>
      </c>
      <c r="H41" s="227"/>
    </row>
    <row r="42" spans="1:13" ht="15" customHeight="1" x14ac:dyDescent="0.25">
      <c r="A42" s="83" t="s">
        <v>43</v>
      </c>
      <c r="B42" s="69">
        <f>LSUE!B42+SUSLA!B42+'LCTCS Summary'!B42-LCTCBoard!B42-Online!B42-AE!B42-RR!B42</f>
        <v>0</v>
      </c>
      <c r="C42" s="69">
        <f>LSUE!C42+SUSLA!C42+'LCTCS Summary'!C42-LCTCBoard!C42-Online!C42-AE!C42-RR!C42</f>
        <v>0</v>
      </c>
      <c r="D42" s="69">
        <f>LSUE!D42+SUSLA!D42+'LCTCS Summary'!D42-LCTCBoard!D42-Online!D42-AE!D42-RR!D42</f>
        <v>0</v>
      </c>
      <c r="E42" s="69">
        <f t="shared" si="3"/>
        <v>0</v>
      </c>
      <c r="F42" s="70">
        <f t="shared" si="2"/>
        <v>0</v>
      </c>
      <c r="G42" s="69">
        <f>LSUE!G42+SUSLA!G42+'LCTCS Summary'!G42-LCTCBoard!G42-Online!G42-AE!G42-RR!G42</f>
        <v>0</v>
      </c>
      <c r="H42" s="227"/>
    </row>
    <row r="43" spans="1:13" ht="15" customHeight="1" x14ac:dyDescent="0.25">
      <c r="A43" s="84" t="s">
        <v>44</v>
      </c>
      <c r="B43" s="69">
        <f>LSUE!B43+SUSLA!B43+'LCTCS Summary'!B43-LCTCBoard!B43-Online!B43-AE!B43-RR!B43</f>
        <v>0</v>
      </c>
      <c r="C43" s="69">
        <f>LSUE!C43+SUSLA!C43+'LCTCS Summary'!C43-LCTCBoard!C43-Online!C43-AE!C43-RR!C43</f>
        <v>0</v>
      </c>
      <c r="D43" s="69">
        <f>LSUE!D43+SUSLA!D43+'LCTCS Summary'!D43-LCTCBoard!D43-Online!D43-AE!D43-RR!D43</f>
        <v>0</v>
      </c>
      <c r="E43" s="69">
        <f t="shared" si="3"/>
        <v>0</v>
      </c>
      <c r="F43" s="70">
        <f t="shared" si="2"/>
        <v>0</v>
      </c>
      <c r="G43" s="69">
        <f>LSUE!G43+SUSLA!G43+'LCTCS Summary'!G43-LCTCBoard!G43-Online!G43-AE!G43-RR!G43</f>
        <v>0</v>
      </c>
      <c r="H43" s="227"/>
    </row>
    <row r="44" spans="1:13" s="124" customFormat="1" ht="15" customHeight="1" x14ac:dyDescent="0.25">
      <c r="A44" s="77" t="s">
        <v>45</v>
      </c>
      <c r="B44" s="87">
        <f>LSUE!B44+SUSLA!B44+'LCTCS Summary'!B44-LCTCBoard!B44-Online!B44-AE!B44-RR!B44</f>
        <v>25897750</v>
      </c>
      <c r="C44" s="87">
        <f>LSUE!C44+SUSLA!C44+'LCTCS Summary'!C44-LCTCBoard!C44-Online!C44-AE!C44-RR!C44</f>
        <v>15954000</v>
      </c>
      <c r="D44" s="69">
        <f>LSUE!D44+SUSLA!D44+'LCTCS Summary'!D44-LCTCBoard!D44-Online!D44-AE!D44-RR!D44</f>
        <v>0</v>
      </c>
      <c r="E44" s="87">
        <f t="shared" si="3"/>
        <v>-15954000</v>
      </c>
      <c r="F44" s="81">
        <f t="shared" si="2"/>
        <v>-1</v>
      </c>
      <c r="G44" s="87">
        <f>LSUE!G44+SUSLA!G44+'LCTCS Summary'!G44-LCTCBoard!G44-Online!G44-AE!G44-RR!G44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f>LSUE!B46+SUSLA!B46+'LCTCS Summary'!B46-LCTCBoard!B46-Online!B46-AE!B46-RR!B46</f>
        <v>0</v>
      </c>
      <c r="C46" s="87">
        <f>LSUE!C46+SUSLA!C46+'LCTCS Summary'!C46-LCTCBoard!C46-Online!C46-AE!C46-RR!C46</f>
        <v>0</v>
      </c>
      <c r="D46" s="87">
        <f>LSUE!D46+SUSLA!D46+'LCTCS Summary'!D46-LCTCBoard!D46-Online!D46-AE!D46-RR!D46</f>
        <v>0</v>
      </c>
      <c r="E46" s="87">
        <f>D46-C46</f>
        <v>0</v>
      </c>
      <c r="F46" s="81">
        <f>IF(ISBLANK(E46),"  ",IF(C46&gt;0,E46/C46,IF(E46&gt;0,1,0)))</f>
        <v>0</v>
      </c>
      <c r="G46" s="87">
        <f>LSUE!G46+SUSLA!G46+'LCTCS Summary'!G46-LCTCBoard!G46-Online!G46-AE!G46-RR!G46</f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f>LSUE!B48+SUSLA!B48+'LCTCS Summary'!B48-LCTCBoard!B48-Online!B48-AE!B48-RR!B48</f>
        <v>18306467</v>
      </c>
      <c r="C48" s="87">
        <f>LSUE!C48+SUSLA!C48+'LCTCS Summary'!C48-LCTCBoard!C48-Online!C48-AE!C48-RR!C48</f>
        <v>19624902</v>
      </c>
      <c r="D48" s="87">
        <f>LSUE!D48+SUSLA!D48+'LCTCS Summary'!D48-LCTCBoard!D48-Online!D48-AE!D48-RR!D48</f>
        <v>0</v>
      </c>
      <c r="E48" s="87">
        <f>D48-C48</f>
        <v>-19624902</v>
      </c>
      <c r="F48" s="81">
        <f>IF(ISBLANK(E48)," ",IF(C48&gt;0,E48/C48,IF(E48&gt;0,1,0)))</f>
        <v>-1</v>
      </c>
      <c r="G48" s="87">
        <f>LSUE!G48+SUSLA!G48+'LCTCS Summary'!G48-LCTCBoard!G48-Online!G48-AE!G48-RR!G48</f>
        <v>18306467.149999999</v>
      </c>
      <c r="H48" s="228"/>
      <c r="I48" s="187"/>
      <c r="K48" s="187"/>
    </row>
    <row r="49" spans="1:9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9" s="124" customFormat="1" ht="15" customHeight="1" x14ac:dyDescent="0.25">
      <c r="A50" s="86" t="s">
        <v>48</v>
      </c>
      <c r="B50" s="87">
        <f>LSUE!B50+SUSLA!B50+'LCTCS Summary'!B50-LCTCBoard!B50-Online!B50-AE!B50-RR!B50</f>
        <v>691758</v>
      </c>
      <c r="C50" s="87">
        <f>LSUE!C50+SUSLA!C50+'LCTCS Summary'!C50-LCTCBoard!C50-Online!C50-AE!C50-RR!C50</f>
        <v>0</v>
      </c>
      <c r="D50" s="87">
        <f>LSUE!D50+SUSLA!D50+'LCTCS Summary'!D50-LCTCBoard!D50-Online!D50-AE!D50-RR!D50</f>
        <v>0</v>
      </c>
      <c r="E50" s="87">
        <f>D50-C50</f>
        <v>0</v>
      </c>
      <c r="F50" s="81">
        <f>IF(ISBLANK(E50),"  ",IF(C50&gt;0,E50/C50,IF(E50&gt;0,1,0)))</f>
        <v>0</v>
      </c>
      <c r="G50" s="87">
        <f>LSUE!G50+SUSLA!G50+'LCTCS Summary'!G50-LCTCBoard!G50-Online!G50-AE!G50-RR!G50</f>
        <v>0</v>
      </c>
      <c r="H50" s="228"/>
    </row>
    <row r="51" spans="1:9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9" s="124" customFormat="1" ht="15" customHeight="1" x14ac:dyDescent="0.25">
      <c r="A52" s="77" t="s">
        <v>49</v>
      </c>
      <c r="B52" s="87">
        <f>LSUE!B52+SUSLA!B52+'LCTCS Summary'!B52-LCTCBoard!B52-Online!B52-AE!B52-RR!B52</f>
        <v>185650821.43000004</v>
      </c>
      <c r="C52" s="87">
        <f>LSUE!C52+SUSLA!C52+'LCTCS Summary'!C52-LCTCBoard!C52-Online!C52-AE!C52-RR!C52</f>
        <v>193787221</v>
      </c>
      <c r="D52" s="87">
        <f>LSUE!D52+SUSLA!D52+'LCTCS Summary'!D52-LCTCBoard!D52-Online!D52-AE!D52-RR!D52</f>
        <v>195567221</v>
      </c>
      <c r="E52" s="87">
        <f>D52-C52</f>
        <v>1780000</v>
      </c>
      <c r="F52" s="81">
        <f>IF(ISBLANK(E52),"  ",IF(C52&gt;0,E52/C52,IF(E52&gt;0,1,0)))</f>
        <v>9.1853321948406497E-3</v>
      </c>
      <c r="G52" s="87">
        <f>LSUE!G52+SUSLA!G52+'LCTCS Summary'!G52-LCTCBoard!G52-Online!G52-AE!G52-RR!G52</f>
        <v>195567221</v>
      </c>
      <c r="H52" s="228"/>
      <c r="I52" s="189"/>
    </row>
    <row r="53" spans="1:9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9" s="124" customFormat="1" ht="15" customHeight="1" x14ac:dyDescent="0.25">
      <c r="A54" s="88" t="s">
        <v>50</v>
      </c>
      <c r="B54" s="87">
        <f>LSUE!B54+SUSLA!B54+'LCTCS Summary'!B54-LCTCBoard!B54-Online!B54-AE!B54-RR!B54</f>
        <v>0</v>
      </c>
      <c r="C54" s="87">
        <f>LSUE!C54+SUSLA!C54+'LCTCS Summary'!C54-LCTCBoard!C54-Online!C54-AE!C54-RR!C54</f>
        <v>0</v>
      </c>
      <c r="D54" s="87">
        <f>LSUE!D54+SUSLA!D54+'LCTCS Summary'!D54-LCTCBoard!D54-Online!D54-AE!D54-RR!D54</f>
        <v>0</v>
      </c>
      <c r="E54" s="87">
        <f>D54-C54</f>
        <v>0</v>
      </c>
      <c r="F54" s="81">
        <f>IF(ISBLANK(E54),"  ",IF(C54&gt;0,E54/C54,IF(E54&gt;0,1,0)))</f>
        <v>0</v>
      </c>
      <c r="G54" s="87">
        <f>LSUE!G54+SUSLA!G54+'LCTCS Summary'!G54-LCTCBoard!G54-Online!G54-AE!G54-RR!G54</f>
        <v>0</v>
      </c>
      <c r="H54" s="228"/>
    </row>
    <row r="55" spans="1:9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9" s="124" customFormat="1" ht="15" customHeight="1" x14ac:dyDescent="0.25">
      <c r="A56" s="77" t="s">
        <v>51</v>
      </c>
      <c r="B56" s="87">
        <f>LSUE!B56+SUSLA!B56+'LCTCS Summary'!B56-LCTCBoard!B56-Online!B56-AE!B56-RR!B56</f>
        <v>0</v>
      </c>
      <c r="C56" s="87">
        <f>LSUE!C56+SUSLA!C56+'LCTCS Summary'!C56-LCTCBoard!C56-Online!C56-AE!C56-RR!C56</f>
        <v>0</v>
      </c>
      <c r="D56" s="87">
        <f>LSUE!D56+SUSLA!D56+'LCTCS Summary'!D56-LCTCBoard!D56-Online!D56-AE!D56-RR!D56</f>
        <v>0</v>
      </c>
      <c r="E56" s="87">
        <f>D56-C56</f>
        <v>0</v>
      </c>
      <c r="F56" s="81">
        <f>IF(ISBLANK(E56),"  ",IF(C56&gt;0,E56/C56,IF(E56&gt;0,1,0)))</f>
        <v>0</v>
      </c>
      <c r="G56" s="87">
        <f>LSUE!G56+SUSLA!G56+'LCTCS Summary'!G56-LCTCBoard!G56-Online!G56-AE!G56-RR!G56</f>
        <v>0</v>
      </c>
      <c r="H56" s="228"/>
    </row>
    <row r="57" spans="1:9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9" s="124" customFormat="1" ht="15" customHeight="1" x14ac:dyDescent="0.25">
      <c r="A58" s="91" t="s">
        <v>52</v>
      </c>
      <c r="B58" s="87">
        <f>LSUE!B58+SUSLA!B58+'LCTCS Summary'!B58-LCTCBoard!B58-Online!B58-AE!B58-RR!B58</f>
        <v>308061211.99000007</v>
      </c>
      <c r="C58" s="87">
        <f>LSUE!C58+SUSLA!C58+'LCTCS Summary'!C58-LCTCBoard!C58-Online!C58-AE!C58-RR!C58</f>
        <v>327800603</v>
      </c>
      <c r="D58" s="87">
        <f>LSUE!D58+SUSLA!D58+'LCTCS Summary'!D58-LCTCBoard!D58-Online!D58-AE!D58-RR!D58</f>
        <v>301620949</v>
      </c>
      <c r="E58" s="87">
        <f>D58-C58</f>
        <v>-26179654</v>
      </c>
      <c r="F58" s="81">
        <f>IF(ISBLANK(E58),"  ",IF(C58&gt;0,E58/C58,IF(E58&gt;0,1,0)))</f>
        <v>-7.9864569376646322E-2</v>
      </c>
      <c r="G58" s="87">
        <f>LSUE!G58+SUSLA!G58+'LCTCS Summary'!G58-LCTCBoard!G58-Online!G58-AE!G58-RR!G58</f>
        <v>319927416.14999998</v>
      </c>
      <c r="H58" s="228"/>
    </row>
    <row r="59" spans="1:9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9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9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9" ht="15" customHeight="1" x14ac:dyDescent="0.25">
      <c r="A62" s="73" t="s">
        <v>54</v>
      </c>
      <c r="B62" s="69">
        <f>LSUE!B62+SUSLA!B62+'LCTCS Summary'!B62-LCTCBoard!B62-Online!B62-AE!B62-RR!B62</f>
        <v>140389718.09</v>
      </c>
      <c r="C62" s="69">
        <f>LSUE!C62+SUSLA!C62+'LCTCS Summary'!C62-LCTCBoard!C62-Online!C62-AE!C62-RR!C62</f>
        <v>150429428.00600863</v>
      </c>
      <c r="D62" s="69">
        <f>LSUE!D62+SUSLA!D62+'LCTCS Summary'!D62-LCTCBoard!D62-Online!D62-AE!D62-RR!D62</f>
        <v>133019122.502</v>
      </c>
      <c r="E62" s="69">
        <f>D62-C62</f>
        <v>-17410305.504008621</v>
      </c>
      <c r="F62" s="70">
        <f t="shared" ref="F62:F75" si="4">IF(ISBLANK(E62),"  ",IF(C62&gt;0,E62/C62,IF(E62&gt;0,1,0)))</f>
        <v>-0.11573736425636877</v>
      </c>
      <c r="G62" s="69">
        <f>LSUE!G62+SUSLA!G62+'LCTCS Summary'!G62-LCTCBoard!G62-Online!G62-AE!G62-RR!G62</f>
        <v>149347080.442</v>
      </c>
      <c r="H62" s="227"/>
    </row>
    <row r="63" spans="1:9" ht="15" customHeight="1" x14ac:dyDescent="0.25">
      <c r="A63" s="75" t="s">
        <v>55</v>
      </c>
      <c r="B63" s="69">
        <f>LSUE!B63+SUSLA!B63+'LCTCS Summary'!B63-LCTCBoard!B63-Online!B63-AE!B63-RR!B63</f>
        <v>0</v>
      </c>
      <c r="C63" s="69">
        <f>LSUE!C63+SUSLA!C63+'LCTCS Summary'!C63-LCTCBoard!C63-Online!C63-AE!C63-RR!C63</f>
        <v>0</v>
      </c>
      <c r="D63" s="69">
        <f>LSUE!D63+SUSLA!D63+'LCTCS Summary'!D63-LCTCBoard!D63-Online!D63-AE!D63-RR!D63</f>
        <v>0</v>
      </c>
      <c r="E63" s="69">
        <f>D63-C63</f>
        <v>0</v>
      </c>
      <c r="F63" s="70">
        <f t="shared" si="4"/>
        <v>0</v>
      </c>
      <c r="G63" s="69">
        <f>LSUE!G63+SUSLA!G63+'LCTCS Summary'!G63-LCTCBoard!G63-Online!G63-AE!G63-RR!G63</f>
        <v>0</v>
      </c>
      <c r="H63" s="227"/>
    </row>
    <row r="64" spans="1:9" ht="15" customHeight="1" x14ac:dyDescent="0.25">
      <c r="A64" s="75" t="s">
        <v>56</v>
      </c>
      <c r="B64" s="69">
        <f>LSUE!B64+SUSLA!B64+'LCTCS Summary'!B64-LCTCBoard!B64-Online!B64-AE!B64-RR!B64</f>
        <v>228406.92999999996</v>
      </c>
      <c r="C64" s="69">
        <f>LSUE!C64+SUSLA!C64+'LCTCS Summary'!C64-LCTCBoard!C64-Online!C64-AE!C64-RR!C64</f>
        <v>240532</v>
      </c>
      <c r="D64" s="69">
        <f>LSUE!D64+SUSLA!D64+'LCTCS Summary'!D64-LCTCBoard!D64-Online!D64-AE!D64-RR!D64</f>
        <v>244342.55</v>
      </c>
      <c r="E64" s="69">
        <f t="shared" ref="E64:E75" si="5">D64-C64</f>
        <v>3810.5499999999884</v>
      </c>
      <c r="F64" s="70">
        <f t="shared" si="4"/>
        <v>1.5842174845758519E-2</v>
      </c>
      <c r="G64" s="69">
        <f>LSUE!G64+SUSLA!G64+'LCTCS Summary'!G64-LCTCBoard!G64-Online!G64-AE!G64-RR!G64</f>
        <v>244342.55</v>
      </c>
      <c r="H64" s="227"/>
    </row>
    <row r="65" spans="1:8" ht="15" customHeight="1" x14ac:dyDescent="0.25">
      <c r="A65" s="75" t="s">
        <v>57</v>
      </c>
      <c r="B65" s="69">
        <f>LSUE!B65+SUSLA!B65+'LCTCS Summary'!B65-LCTCBoard!B65-Online!B65-AE!B65-RR!B65</f>
        <v>26918193.090000004</v>
      </c>
      <c r="C65" s="69">
        <f>LSUE!C65+SUSLA!C65+'LCTCS Summary'!C65-LCTCBoard!C65-Online!C65-AE!C65-RR!C65</f>
        <v>28812756.210000001</v>
      </c>
      <c r="D65" s="69">
        <f>LSUE!D65+SUSLA!D65+'LCTCS Summary'!D65-LCTCBoard!D65-Online!D65-AE!D65-RR!D65</f>
        <v>28552663.422999997</v>
      </c>
      <c r="E65" s="69">
        <f t="shared" si="5"/>
        <v>-260092.7870000042</v>
      </c>
      <c r="F65" s="70">
        <f t="shared" si="4"/>
        <v>-9.027001273475329E-3</v>
      </c>
      <c r="G65" s="69">
        <f>LSUE!G65+SUSLA!G65+'LCTCS Summary'!G65-LCTCBoard!G65-Online!G65-AE!G65-RR!G65</f>
        <v>29115414.712999996</v>
      </c>
      <c r="H65" s="227"/>
    </row>
    <row r="66" spans="1:8" ht="15" customHeight="1" x14ac:dyDescent="0.25">
      <c r="A66" s="75" t="s">
        <v>58</v>
      </c>
      <c r="B66" s="69">
        <f>LSUE!B66+SUSLA!B66+'LCTCS Summary'!B66-LCTCBoard!B66-Online!B66-AE!B66-RR!B66</f>
        <v>27062532.850000001</v>
      </c>
      <c r="C66" s="69">
        <f>LSUE!C66+SUSLA!C66+'LCTCS Summary'!C66-LCTCBoard!C66-Online!C66-AE!C66-RR!C66</f>
        <v>28607572.301245015</v>
      </c>
      <c r="D66" s="69">
        <f>LSUE!D66+SUSLA!D66+'LCTCS Summary'!D66-LCTCBoard!D66-Online!D66-AE!D66-RR!D66</f>
        <v>29990483.493999999</v>
      </c>
      <c r="E66" s="69">
        <f t="shared" si="5"/>
        <v>1382911.1927549839</v>
      </c>
      <c r="F66" s="70">
        <f t="shared" si="4"/>
        <v>4.8340739234793401E-2</v>
      </c>
      <c r="G66" s="69">
        <f>LSUE!G66+SUSLA!G66+'LCTCS Summary'!G66-LCTCBoard!G66-Online!G66-AE!G66-RR!G66</f>
        <v>30381091.504000001</v>
      </c>
      <c r="H66" s="227"/>
    </row>
    <row r="67" spans="1:8" ht="15" customHeight="1" x14ac:dyDescent="0.25">
      <c r="A67" s="75" t="s">
        <v>59</v>
      </c>
      <c r="B67" s="69">
        <f>LSUE!B67+SUSLA!B67+'LCTCS Summary'!B67-LCTCBoard!B67-Online!B67-AE!B67-RR!B67</f>
        <v>65586083.469999999</v>
      </c>
      <c r="C67" s="69">
        <f>LSUE!C67+SUSLA!C67+'LCTCS Summary'!C67-LCTCBoard!C67-Online!C67-AE!C67-RR!C67</f>
        <v>67073740.440536037</v>
      </c>
      <c r="D67" s="69">
        <f>LSUE!D67+SUSLA!D67+'LCTCS Summary'!D67-LCTCBoard!D67-Online!D67-AE!D67-RR!D67</f>
        <v>62667222.269000001</v>
      </c>
      <c r="E67" s="69">
        <f t="shared" si="5"/>
        <v>-4406518.1715360358</v>
      </c>
      <c r="F67" s="70">
        <f t="shared" si="4"/>
        <v>-6.56966219953488E-2</v>
      </c>
      <c r="G67" s="69">
        <f>LSUE!G67+SUSLA!G67+'LCTCS Summary'!G67-LCTCBoard!G67-Online!G67-AE!G67-RR!G67</f>
        <v>63496660.369000003</v>
      </c>
      <c r="H67" s="227"/>
    </row>
    <row r="68" spans="1:8" ht="15" customHeight="1" x14ac:dyDescent="0.25">
      <c r="A68" s="75" t="s">
        <v>60</v>
      </c>
      <c r="B68" s="69">
        <f>LSUE!B68+SUSLA!B68+'LCTCS Summary'!B68-LCTCBoard!B68-Online!B68-AE!B68-RR!B68</f>
        <v>1740204.73</v>
      </c>
      <c r="C68" s="69">
        <f>LSUE!C68+SUSLA!C68+'LCTCS Summary'!C68-LCTCBoard!C68-Online!C68-AE!C68-RR!C68</f>
        <v>1921292.6</v>
      </c>
      <c r="D68" s="69">
        <f>LSUE!D68+SUSLA!D68+'LCTCS Summary'!D68-LCTCBoard!D68-Online!D68-AE!D68-RR!D68</f>
        <v>1940233.96</v>
      </c>
      <c r="E68" s="69">
        <f t="shared" si="5"/>
        <v>18941.35999999987</v>
      </c>
      <c r="F68" s="70">
        <f t="shared" si="4"/>
        <v>9.8586545328909654E-3</v>
      </c>
      <c r="G68" s="69">
        <f>LSUE!G68+SUSLA!G68+'LCTCS Summary'!G68-LCTCBoard!G68-Online!G68-AE!G68-RR!G68</f>
        <v>1940233.96</v>
      </c>
      <c r="H68" s="227"/>
    </row>
    <row r="69" spans="1:8" ht="15" customHeight="1" x14ac:dyDescent="0.25">
      <c r="A69" s="75" t="s">
        <v>61</v>
      </c>
      <c r="B69" s="69">
        <f>LSUE!B69+SUSLA!B69+'LCTCS Summary'!B69-LCTCBoard!B69-Online!B69-AE!B69-RR!B69</f>
        <v>38906157.690000005</v>
      </c>
      <c r="C69" s="69">
        <f>LSUE!C69+SUSLA!C69+'LCTCS Summary'!C69-LCTCBoard!C69-Online!C69-AE!C69-RR!C69</f>
        <v>42330813</v>
      </c>
      <c r="D69" s="69">
        <f>LSUE!D69+SUSLA!D69+'LCTCS Summary'!D69-LCTCBoard!D69-Online!D69-AE!D69-RR!D69</f>
        <v>37968616.052000001</v>
      </c>
      <c r="E69" s="69">
        <f t="shared" si="5"/>
        <v>-4362196.9479999989</v>
      </c>
      <c r="F69" s="70">
        <f t="shared" si="4"/>
        <v>-0.1030501575294573</v>
      </c>
      <c r="G69" s="69">
        <f>LSUE!G69+SUSLA!G69+'LCTCS Summary'!G69-LCTCBoard!G69-Online!G69-AE!G69-RR!G69</f>
        <v>38466401.611999996</v>
      </c>
      <c r="H69" s="227"/>
    </row>
    <row r="70" spans="1:8" s="124" customFormat="1" ht="15" customHeight="1" x14ac:dyDescent="0.25">
      <c r="A70" s="94" t="s">
        <v>62</v>
      </c>
      <c r="B70" s="87">
        <f>LSUE!B70+SUSLA!B70+'LCTCS Summary'!B70-LCTCBoard!B70-Online!B70-AE!B70-RR!B70</f>
        <v>300831296.85000002</v>
      </c>
      <c r="C70" s="87">
        <f>LSUE!C70+SUSLA!C70+'LCTCS Summary'!C70-LCTCBoard!C70-Online!C70-AE!C70-RR!C70</f>
        <v>319416134.55778968</v>
      </c>
      <c r="D70" s="87">
        <f>LSUE!D70+SUSLA!D70+'LCTCS Summary'!D70-LCTCBoard!D70-Online!D70-AE!D70-RR!D70</f>
        <v>294382684.25</v>
      </c>
      <c r="E70" s="87">
        <f t="shared" si="5"/>
        <v>-25033450.307789683</v>
      </c>
      <c r="F70" s="81">
        <f t="shared" si="4"/>
        <v>-7.8372529122383947E-2</v>
      </c>
      <c r="G70" s="87">
        <f>LSUE!G70+SUSLA!G70+'LCTCS Summary'!G70-LCTCBoard!G70-Online!G70-AE!G70-RR!G70</f>
        <v>312991225.15000004</v>
      </c>
      <c r="H70" s="228"/>
    </row>
    <row r="71" spans="1:8" ht="15" customHeight="1" x14ac:dyDescent="0.25">
      <c r="A71" s="75" t="s">
        <v>63</v>
      </c>
      <c r="B71" s="69">
        <f>LSUE!B71+SUSLA!B71+'LCTCS Summary'!B71-LCTCBoard!B71-Online!B71-AE!B71-RR!B71</f>
        <v>0</v>
      </c>
      <c r="C71" s="69">
        <f>LSUE!C71+SUSLA!C71+'LCTCS Summary'!C71-LCTCBoard!C71-Online!C71-AE!C71-RR!C71</f>
        <v>0</v>
      </c>
      <c r="D71" s="69">
        <f>LSUE!D71+SUSLA!D71+'LCTCS Summary'!D71-LCTCBoard!D71-Online!D71-AE!D71-RR!D71</f>
        <v>0</v>
      </c>
      <c r="E71" s="69">
        <f t="shared" si="5"/>
        <v>0</v>
      </c>
      <c r="F71" s="70">
        <f t="shared" si="4"/>
        <v>0</v>
      </c>
      <c r="G71" s="69">
        <f>LSUE!G71+SUSLA!G71+'LCTCS Summary'!G71-LCTCBoard!G71-Online!G71-AE!G71-RR!G71</f>
        <v>0</v>
      </c>
      <c r="H71" s="227"/>
    </row>
    <row r="72" spans="1:8" ht="15" customHeight="1" x14ac:dyDescent="0.25">
      <c r="A72" s="75" t="s">
        <v>64</v>
      </c>
      <c r="B72" s="69">
        <f>LSUE!B72+SUSLA!B72+'LCTCS Summary'!B72-LCTCBoard!B72-Online!B72-AE!B72-RR!B72</f>
        <v>6166078.46</v>
      </c>
      <c r="C72" s="69">
        <f>LSUE!C72+SUSLA!C72+'LCTCS Summary'!C72-LCTCBoard!C72-Online!C72-AE!C72-RR!C72</f>
        <v>6905376</v>
      </c>
      <c r="D72" s="69">
        <f>LSUE!D72+SUSLA!D72+'LCTCS Summary'!D72-LCTCBoard!D72-Online!D72-AE!D72-RR!D72</f>
        <v>5096077</v>
      </c>
      <c r="E72" s="69">
        <f t="shared" si="5"/>
        <v>-1809299</v>
      </c>
      <c r="F72" s="70">
        <f t="shared" si="4"/>
        <v>-0.26201310399317868</v>
      </c>
      <c r="G72" s="69">
        <f>LSUE!G72+SUSLA!G72+'LCTCS Summary'!G72-LCTCBoard!G72-Online!G72-AE!G72-RR!G72</f>
        <v>4794003</v>
      </c>
      <c r="H72" s="227"/>
    </row>
    <row r="73" spans="1:8" ht="15" customHeight="1" x14ac:dyDescent="0.25">
      <c r="A73" s="75" t="s">
        <v>65</v>
      </c>
      <c r="B73" s="69">
        <f>LSUE!B73+SUSLA!B73+'LCTCS Summary'!B73-LCTCBoard!B73-Online!B73-AE!B73-RR!B73</f>
        <v>751118.98</v>
      </c>
      <c r="C73" s="69">
        <f>LSUE!C73+SUSLA!C73+'LCTCS Summary'!C73-LCTCBoard!C73-Online!C73-AE!C73-RR!C73</f>
        <v>825821</v>
      </c>
      <c r="D73" s="69">
        <f>LSUE!D73+SUSLA!D73+'LCTCS Summary'!D73-LCTCBoard!D73-Online!D73-AE!D73-RR!D73</f>
        <v>825954</v>
      </c>
      <c r="E73" s="69">
        <f t="shared" si="5"/>
        <v>133</v>
      </c>
      <c r="F73" s="70">
        <f t="shared" si="4"/>
        <v>1.6105185021935746E-4</v>
      </c>
      <c r="G73" s="69">
        <f>LSUE!G73+SUSLA!G73+'LCTCS Summary'!G73-LCTCBoard!G73-Online!G73-AE!G73-RR!G73</f>
        <v>825954</v>
      </c>
      <c r="H73" s="227"/>
    </row>
    <row r="74" spans="1:8" ht="15" customHeight="1" x14ac:dyDescent="0.25">
      <c r="A74" s="75" t="s">
        <v>66</v>
      </c>
      <c r="B74" s="69">
        <f>LSUE!B74+SUSLA!B74+'LCTCS Summary'!B74-LCTCBoard!B74-Online!B74-AE!B74-RR!B74</f>
        <v>312717</v>
      </c>
      <c r="C74" s="69">
        <f>LSUE!C74+SUSLA!C74+'LCTCS Summary'!C74-LCTCBoard!C74-Online!C74-AE!C74-RR!C74</f>
        <v>653271</v>
      </c>
      <c r="D74" s="69">
        <f>LSUE!D74+SUSLA!D74+'LCTCS Summary'!D74-LCTCBoard!D74-Online!D74-AE!D74-RR!D74</f>
        <v>1316234</v>
      </c>
      <c r="E74" s="69">
        <f t="shared" si="5"/>
        <v>662963</v>
      </c>
      <c r="F74" s="70">
        <f t="shared" si="4"/>
        <v>1.0148361093634954</v>
      </c>
      <c r="G74" s="69">
        <f>LSUE!G74+SUSLA!G74+'LCTCS Summary'!G74-LCTCBoard!G74-Online!G74-AE!G74-RR!G74</f>
        <v>1316234</v>
      </c>
      <c r="H74" s="227"/>
    </row>
    <row r="75" spans="1:8" s="124" customFormat="1" ht="15" customHeight="1" x14ac:dyDescent="0.25">
      <c r="A75" s="95" t="s">
        <v>67</v>
      </c>
      <c r="B75" s="87">
        <f>LSUE!B75+SUSLA!B75+'LCTCS Summary'!B75-LCTCBoard!B75-Online!B75-AE!B75-RR!B75</f>
        <v>308061212.29000002</v>
      </c>
      <c r="C75" s="87">
        <f>LSUE!C75+SUSLA!C75+'LCTCS Summary'!C75-LCTCBoard!C75-Online!C75-AE!C75-RR!C75</f>
        <v>327800602.55778968</v>
      </c>
      <c r="D75" s="87">
        <f>LSUE!D75+SUSLA!D75+'LCTCS Summary'!D75-LCTCBoard!D75-Online!D75-AE!D75-RR!D75</f>
        <v>301620949.25000006</v>
      </c>
      <c r="E75" s="87">
        <f t="shared" si="5"/>
        <v>-26179653.307789624</v>
      </c>
      <c r="F75" s="81">
        <f t="shared" si="4"/>
        <v>-7.9864567372704184E-2</v>
      </c>
      <c r="G75" s="87">
        <f>LSUE!G75+SUSLA!G75+'LCTCS Summary'!G75-LCTCBoard!G75-Online!G75-AE!G75-RR!G75</f>
        <v>319927416.15000004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f>LSUE!B78+SUSLA!B78+'LCTCS Summary'!B78-LCTCBoard!B78-Online!B78-AE!B78-RR!B78</f>
        <v>167699563.36000001</v>
      </c>
      <c r="C78" s="69">
        <f>LSUE!C78+SUSLA!C78+'LCTCS Summary'!C78-LCTCBoard!C78-Online!C78-AE!C78-RR!C78</f>
        <v>176626715.10000002</v>
      </c>
      <c r="D78" s="69">
        <f>LSUE!D78+SUSLA!D78+'LCTCS Summary'!D78-LCTCBoard!D78-Online!D78-AE!D78-RR!D78</f>
        <v>163389105.1587396</v>
      </c>
      <c r="E78" s="69">
        <f>D78-C78</f>
        <v>-13237609.941260427</v>
      </c>
      <c r="F78" s="70">
        <f t="shared" ref="F78:F96" si="6">IF(ISBLANK(E78),"  ",IF(C78&gt;0,E78/C78,IF(E78&gt;0,1,0)))</f>
        <v>-7.4946816135745623E-2</v>
      </c>
      <c r="G78" s="69">
        <f>LSUE!G78+SUSLA!G78+'LCTCS Summary'!G78-LCTCBoard!G78-Online!G78-AE!G78-RR!G78</f>
        <v>176731204.27999997</v>
      </c>
      <c r="H78" s="227"/>
    </row>
    <row r="79" spans="1:8" ht="15" customHeight="1" x14ac:dyDescent="0.25">
      <c r="A79" s="75" t="s">
        <v>70</v>
      </c>
      <c r="B79" s="69">
        <f>LSUE!B79+SUSLA!B79+'LCTCS Summary'!B79-LCTCBoard!B79-Online!B79-AE!B79-RR!B79</f>
        <v>1390404.4400000002</v>
      </c>
      <c r="C79" s="69">
        <f>LSUE!C79+SUSLA!C79+'LCTCS Summary'!C79-LCTCBoard!C79-Online!C79-AE!C79-RR!C79</f>
        <v>1624233</v>
      </c>
      <c r="D79" s="69">
        <f>LSUE!D79+SUSLA!D79+'LCTCS Summary'!D79-LCTCBoard!D79-Online!D79-AE!D79-RR!D79</f>
        <v>1424717.24</v>
      </c>
      <c r="E79" s="69">
        <f>D79-C79</f>
        <v>-199515.76</v>
      </c>
      <c r="F79" s="70">
        <f t="shared" si="6"/>
        <v>-0.12283690825146393</v>
      </c>
      <c r="G79" s="69">
        <f>LSUE!G79+SUSLA!G79+'LCTCS Summary'!G79-LCTCBoard!G79-Online!G79-AE!G79-RR!G79</f>
        <v>1424717.24</v>
      </c>
      <c r="H79" s="227"/>
    </row>
    <row r="80" spans="1:8" ht="15" customHeight="1" x14ac:dyDescent="0.25">
      <c r="A80" s="75" t="s">
        <v>71</v>
      </c>
      <c r="B80" s="69">
        <f>LSUE!B80+SUSLA!B80+'LCTCS Summary'!B80-LCTCBoard!B80-Online!B80-AE!B80-RR!B80</f>
        <v>73486581.000000015</v>
      </c>
      <c r="C80" s="69">
        <f>LSUE!C80+SUSLA!C80+'LCTCS Summary'!C80-LCTCBoard!C80-Online!C80-AE!C80-RR!C80</f>
        <v>75582519.85778968</v>
      </c>
      <c r="D80" s="69">
        <f>LSUE!D80+SUSLA!D80+'LCTCS Summary'!D80-LCTCBoard!D80-Online!D80-AE!D80-RR!D80</f>
        <v>73749761.511260375</v>
      </c>
      <c r="E80" s="69">
        <f t="shared" ref="E80:E95" si="7">D80-C80</f>
        <v>-1832758.346529305</v>
      </c>
      <c r="F80" s="70">
        <f t="shared" si="6"/>
        <v>-2.4248441967503646E-2</v>
      </c>
      <c r="G80" s="69">
        <f>LSUE!G80+SUSLA!G80+'LCTCS Summary'!G80-LCTCBoard!G80-Online!G80-AE!G80-RR!G80</f>
        <v>78637761.919999987</v>
      </c>
      <c r="H80" s="227"/>
    </row>
    <row r="81" spans="1:8" s="124" customFormat="1" ht="15" customHeight="1" x14ac:dyDescent="0.25">
      <c r="A81" s="94" t="s">
        <v>72</v>
      </c>
      <c r="B81" s="87">
        <f>LSUE!B81+SUSLA!B81+'LCTCS Summary'!B81-LCTCBoard!B81-Online!B81-AE!B81-RR!B81</f>
        <v>242576548.79999998</v>
      </c>
      <c r="C81" s="87">
        <f>LSUE!C81+SUSLA!C81+'LCTCS Summary'!C81-LCTCBoard!C81-Online!C81-AE!C81-RR!C81</f>
        <v>253833467.95778969</v>
      </c>
      <c r="D81" s="87">
        <f>LSUE!D81+SUSLA!D81+'LCTCS Summary'!D81-LCTCBoard!D81-Online!D81-AE!D81-RR!D81</f>
        <v>238563583.91</v>
      </c>
      <c r="E81" s="87">
        <f t="shared" si="7"/>
        <v>-15269884.047789693</v>
      </c>
      <c r="F81" s="81">
        <f t="shared" si="6"/>
        <v>-6.0157095006592838E-2</v>
      </c>
      <c r="G81" s="87">
        <f>LSUE!G81+SUSLA!G81+'LCTCS Summary'!G81-LCTCBoard!G81-Online!G81-AE!G81-RR!G81</f>
        <v>256793683.44</v>
      </c>
      <c r="H81" s="228"/>
    </row>
    <row r="82" spans="1:8" ht="15" customHeight="1" x14ac:dyDescent="0.25">
      <c r="A82" s="75" t="s">
        <v>73</v>
      </c>
      <c r="B82" s="69">
        <f>LSUE!B82+SUSLA!B82+'LCTCS Summary'!B82-LCTCBoard!B82-Online!B82-AE!B82-RR!B82</f>
        <v>1045453.2100000002</v>
      </c>
      <c r="C82" s="69">
        <f>LSUE!C82+SUSLA!C82+'LCTCS Summary'!C82-LCTCBoard!C82-Online!C82-AE!C82-RR!C82</f>
        <v>1577404</v>
      </c>
      <c r="D82" s="69">
        <f>LSUE!D82+SUSLA!D82+'LCTCS Summary'!D82-LCTCBoard!D82-Online!D82-AE!D82-RR!D82</f>
        <v>1034747.91</v>
      </c>
      <c r="E82" s="69">
        <f t="shared" si="7"/>
        <v>-542656.09</v>
      </c>
      <c r="F82" s="70">
        <f t="shared" si="6"/>
        <v>-0.34401845690767868</v>
      </c>
      <c r="G82" s="69">
        <f>LSUE!G82+SUSLA!G82+'LCTCS Summary'!G82-LCTCBoard!G82-Online!G82-AE!G82-RR!G82</f>
        <v>1034747.91</v>
      </c>
      <c r="H82" s="227"/>
    </row>
    <row r="83" spans="1:8" ht="15" customHeight="1" x14ac:dyDescent="0.25">
      <c r="A83" s="75" t="s">
        <v>74</v>
      </c>
      <c r="B83" s="69">
        <f>LSUE!B83+SUSLA!B83+'LCTCS Summary'!B83-LCTCBoard!B83-Online!B83-AE!B83-RR!B83</f>
        <v>34393890.420000002</v>
      </c>
      <c r="C83" s="69">
        <f>LSUE!C83+SUSLA!C83+'LCTCS Summary'!C83-LCTCBoard!C83-Online!C83-AE!C83-RR!C83</f>
        <v>36780707</v>
      </c>
      <c r="D83" s="69">
        <f>LSUE!D83+SUSLA!D83+'LCTCS Summary'!D83-LCTCBoard!D83-Online!D83-AE!D83-RR!D83</f>
        <v>35289949.530000001</v>
      </c>
      <c r="E83" s="69">
        <f t="shared" si="7"/>
        <v>-1490757.4699999988</v>
      </c>
      <c r="F83" s="70">
        <f t="shared" si="6"/>
        <v>-4.0530962876814708E-2</v>
      </c>
      <c r="G83" s="69">
        <f>LSUE!G83+SUSLA!G83+'LCTCS Summary'!G83-LCTCBoard!G83-Online!G83-AE!G83-RR!G83</f>
        <v>35321424.530000001</v>
      </c>
      <c r="H83" s="227"/>
    </row>
    <row r="84" spans="1:8" ht="15" customHeight="1" x14ac:dyDescent="0.25">
      <c r="A84" s="75" t="s">
        <v>75</v>
      </c>
      <c r="B84" s="69">
        <f>LSUE!B84+SUSLA!B84+'LCTCS Summary'!B84-LCTCBoard!B84-Online!B84-AE!B84-RR!B84</f>
        <v>5251910.93</v>
      </c>
      <c r="C84" s="69">
        <f>LSUE!C84+SUSLA!C84+'LCTCS Summary'!C84-LCTCBoard!C84-Online!C84-AE!C84-RR!C84</f>
        <v>6017737</v>
      </c>
      <c r="D84" s="69">
        <f>LSUE!D84+SUSLA!D84+'LCTCS Summary'!D84-LCTCBoard!D84-Online!D84-AE!D84-RR!D84</f>
        <v>6000548.9100000001</v>
      </c>
      <c r="E84" s="69">
        <f t="shared" si="7"/>
        <v>-17188.089999999851</v>
      </c>
      <c r="F84" s="70">
        <f t="shared" si="6"/>
        <v>-2.8562381506536181E-3</v>
      </c>
      <c r="G84" s="69">
        <f>LSUE!G84+SUSLA!G84+'LCTCS Summary'!G84-LCTCBoard!G84-Online!G84-AE!G84-RR!G84</f>
        <v>6008691.2800000003</v>
      </c>
      <c r="H84" s="227"/>
    </row>
    <row r="85" spans="1:8" s="124" customFormat="1" ht="15" customHeight="1" x14ac:dyDescent="0.25">
      <c r="A85" s="78" t="s">
        <v>76</v>
      </c>
      <c r="B85" s="87">
        <f>LSUE!B85+SUSLA!B85+'LCTCS Summary'!B85-LCTCBoard!B85-Online!B85-AE!B85-RR!B85</f>
        <v>40691254.560000002</v>
      </c>
      <c r="C85" s="87">
        <f>LSUE!C85+SUSLA!C85+'LCTCS Summary'!C85-LCTCBoard!C85-Online!C85-AE!C85-RR!C85</f>
        <v>44375848</v>
      </c>
      <c r="D85" s="87">
        <f>LSUE!D85+SUSLA!D85+'LCTCS Summary'!D85-LCTCBoard!D85-Online!D85-AE!D85-RR!D85</f>
        <v>42325246.350000001</v>
      </c>
      <c r="E85" s="87">
        <f t="shared" si="7"/>
        <v>-2050601.6499999985</v>
      </c>
      <c r="F85" s="81">
        <f t="shared" si="6"/>
        <v>-4.6209858344566139E-2</v>
      </c>
      <c r="G85" s="87">
        <f>LSUE!G85+SUSLA!G85+'LCTCS Summary'!G85-LCTCBoard!G85-Online!G85-AE!G85-RR!G85</f>
        <v>42364863.719999999</v>
      </c>
      <c r="H85" s="228"/>
    </row>
    <row r="86" spans="1:8" ht="15" customHeight="1" x14ac:dyDescent="0.25">
      <c r="A86" s="75" t="s">
        <v>77</v>
      </c>
      <c r="B86" s="69">
        <f>LSUE!B86+SUSLA!B86+'LCTCS Summary'!B86-LCTCBoard!B86-Online!B86-AE!B86-RR!B86</f>
        <v>4591327.8099999996</v>
      </c>
      <c r="C86" s="69">
        <f>LSUE!C86+SUSLA!C86+'LCTCS Summary'!C86-LCTCBoard!C86-Online!C86-AE!C86-RR!C86</f>
        <v>4755673.5999999996</v>
      </c>
      <c r="D86" s="69">
        <f>LSUE!D86+SUSLA!D86+'LCTCS Summary'!D86-LCTCBoard!D86-Online!D86-AE!D86-RR!D86</f>
        <v>5934005.9800000004</v>
      </c>
      <c r="E86" s="69">
        <f t="shared" si="7"/>
        <v>1178332.3800000008</v>
      </c>
      <c r="F86" s="70">
        <f t="shared" si="6"/>
        <v>0.24777402301116733</v>
      </c>
      <c r="G86" s="69">
        <f>LSUE!G86+SUSLA!G86+'LCTCS Summary'!G86-LCTCBoard!G86-Online!G86-AE!G86-RR!G86</f>
        <v>6236079.9800000004</v>
      </c>
      <c r="H86" s="227"/>
    </row>
    <row r="87" spans="1:8" ht="15" customHeight="1" x14ac:dyDescent="0.25">
      <c r="A87" s="75" t="s">
        <v>78</v>
      </c>
      <c r="B87" s="69">
        <f>LSUE!B87+SUSLA!B87+'LCTCS Summary'!B87-LCTCBoard!B87-Online!B87-AE!B87-RR!B87</f>
        <v>4832117.3699999973</v>
      </c>
      <c r="C87" s="69">
        <f>LSUE!C87+SUSLA!C87+'LCTCS Summary'!C87-LCTCBoard!C87-Online!C87-AE!C87-RR!C87</f>
        <v>11221156</v>
      </c>
      <c r="D87" s="69">
        <f>LSUE!D87+SUSLA!D87+'LCTCS Summary'!D87-LCTCBoard!D87-Online!D87-AE!D87-RR!D87</f>
        <v>1705779.9600000009</v>
      </c>
      <c r="E87" s="69">
        <f t="shared" si="7"/>
        <v>-9515376.0399999991</v>
      </c>
      <c r="F87" s="70">
        <f t="shared" si="6"/>
        <v>-0.84798536264891056</v>
      </c>
      <c r="G87" s="69">
        <f>LSUE!G87+SUSLA!G87+'LCTCS Summary'!G87-LCTCBoard!G87-Online!G87-AE!G87-RR!G87</f>
        <v>1705779.9600000009</v>
      </c>
      <c r="H87" s="227"/>
    </row>
    <row r="88" spans="1:8" ht="15" customHeight="1" x14ac:dyDescent="0.25">
      <c r="A88" s="75" t="s">
        <v>79</v>
      </c>
      <c r="B88" s="69">
        <f>LSUE!B88+SUSLA!B88+'LCTCS Summary'!B88-LCTCBoard!B88-Online!B88-AE!B88-RR!B88</f>
        <v>0</v>
      </c>
      <c r="C88" s="69">
        <f>LSUE!C88+SUSLA!C88+'LCTCS Summary'!C88-LCTCBoard!C88-Online!C88-AE!C88-RR!C88</f>
        <v>0</v>
      </c>
      <c r="D88" s="69">
        <f>LSUE!D88+SUSLA!D88+'LCTCS Summary'!D88-LCTCBoard!D88-Online!D88-AE!D88-RR!D88</f>
        <v>0</v>
      </c>
      <c r="E88" s="69">
        <f t="shared" si="7"/>
        <v>0</v>
      </c>
      <c r="F88" s="70">
        <f t="shared" si="6"/>
        <v>0</v>
      </c>
      <c r="G88" s="69">
        <f>LSUE!G88+SUSLA!G88+'LCTCS Summary'!G88-LCTCBoard!G88-Online!G88-AE!G88-RR!G88</f>
        <v>0</v>
      </c>
      <c r="H88" s="227"/>
    </row>
    <row r="89" spans="1:8" ht="15" customHeight="1" x14ac:dyDescent="0.25">
      <c r="A89" s="75" t="s">
        <v>80</v>
      </c>
      <c r="B89" s="69">
        <f>LSUE!B89+SUSLA!B89+'LCTCS Summary'!B89-LCTCBoard!B89-Online!B89-AE!B89-RR!B89</f>
        <v>8596526.879999999</v>
      </c>
      <c r="C89" s="69">
        <f>LSUE!C89+SUSLA!C89+'LCTCS Summary'!C89-LCTCBoard!C89-Online!C89-AE!C89-RR!C89</f>
        <v>8853200</v>
      </c>
      <c r="D89" s="69">
        <f>LSUE!D89+SUSLA!D89+'LCTCS Summary'!D89-LCTCBoard!D89-Online!D89-AE!D89-RR!D89</f>
        <v>9860906.5999999996</v>
      </c>
      <c r="E89" s="69">
        <f t="shared" si="7"/>
        <v>1007706.5999999996</v>
      </c>
      <c r="F89" s="70">
        <f t="shared" si="6"/>
        <v>0.11382399584331085</v>
      </c>
      <c r="G89" s="69">
        <f>LSUE!G89+SUSLA!G89+'LCTCS Summary'!G89-LCTCBoard!G89-Online!G89-AE!G89-RR!G89</f>
        <v>9558832.5999999996</v>
      </c>
      <c r="H89" s="227"/>
    </row>
    <row r="90" spans="1:8" s="124" customFormat="1" ht="15" customHeight="1" x14ac:dyDescent="0.25">
      <c r="A90" s="78" t="s">
        <v>81</v>
      </c>
      <c r="B90" s="87">
        <f>LSUE!B90+SUSLA!B90+'LCTCS Summary'!B90-LCTCBoard!B90-Online!B90-AE!B90-RR!B90</f>
        <v>18019972.060000002</v>
      </c>
      <c r="C90" s="87">
        <f>LSUE!C90+SUSLA!C90+'LCTCS Summary'!C90-LCTCBoard!C90-Online!C90-AE!C90-RR!C90</f>
        <v>24830029.600000001</v>
      </c>
      <c r="D90" s="87">
        <f>LSUE!D90+SUSLA!D90+'LCTCS Summary'!D90-LCTCBoard!D90-Online!D90-AE!D90-RR!D90</f>
        <v>17500692.539999999</v>
      </c>
      <c r="E90" s="87">
        <f t="shared" si="7"/>
        <v>-7329337.0600000024</v>
      </c>
      <c r="F90" s="81">
        <f t="shared" si="6"/>
        <v>-0.29518035935003484</v>
      </c>
      <c r="G90" s="87">
        <f>LSUE!G90+SUSLA!G90+'LCTCS Summary'!G90-LCTCBoard!G90-Online!G90-AE!G90-RR!G90</f>
        <v>17500692.539999999</v>
      </c>
      <c r="H90" s="228"/>
    </row>
    <row r="91" spans="1:8" ht="15" customHeight="1" x14ac:dyDescent="0.25">
      <c r="A91" s="75" t="s">
        <v>82</v>
      </c>
      <c r="B91" s="69">
        <f>LSUE!B91+SUSLA!B91+'LCTCS Summary'!B91-LCTCBoard!B91-Online!B91-AE!B91-RR!B91</f>
        <v>4392796.25</v>
      </c>
      <c r="C91" s="69">
        <f>LSUE!C91+SUSLA!C91+'LCTCS Summary'!C91-LCTCBoard!C91-Online!C91-AE!C91-RR!C91</f>
        <v>4406051</v>
      </c>
      <c r="D91" s="69">
        <f>LSUE!D91+SUSLA!D91+'LCTCS Summary'!D91-LCTCBoard!D91-Online!D91-AE!D91-RR!D91</f>
        <v>1820905.45</v>
      </c>
      <c r="E91" s="69">
        <f t="shared" si="7"/>
        <v>-2585145.5499999998</v>
      </c>
      <c r="F91" s="70">
        <f t="shared" si="6"/>
        <v>-0.5867261976767858</v>
      </c>
      <c r="G91" s="69">
        <f>LSUE!G91+SUSLA!G91+'LCTCS Summary'!G91-LCTCBoard!G91-Online!G91-AE!G91-RR!G91</f>
        <v>1857655.45</v>
      </c>
      <c r="H91" s="227"/>
    </row>
    <row r="92" spans="1:8" ht="15" customHeight="1" x14ac:dyDescent="0.25">
      <c r="A92" s="75" t="s">
        <v>83</v>
      </c>
      <c r="B92" s="69">
        <f>LSUE!B92+SUSLA!B92+'LCTCS Summary'!B92-LCTCBoard!B92-Online!B92-AE!B92-RR!B92</f>
        <v>214289.02</v>
      </c>
      <c r="C92" s="69">
        <f>LSUE!C92+SUSLA!C92+'LCTCS Summary'!C92-LCTCBoard!C92-Online!C92-AE!C92-RR!C92</f>
        <v>267206</v>
      </c>
      <c r="D92" s="69">
        <f>LSUE!D92+SUSLA!D92+'LCTCS Summary'!D92-LCTCBoard!D92-Online!D92-AE!D92-RR!D92</f>
        <v>217839</v>
      </c>
      <c r="E92" s="69">
        <f t="shared" si="7"/>
        <v>-49367</v>
      </c>
      <c r="F92" s="70">
        <f t="shared" si="6"/>
        <v>-0.18475258789099047</v>
      </c>
      <c r="G92" s="69">
        <f>LSUE!G92+SUSLA!G92+'LCTCS Summary'!G92-LCTCBoard!G92-Online!G92-AE!G92-RR!G92</f>
        <v>217839</v>
      </c>
      <c r="H92" s="227"/>
    </row>
    <row r="93" spans="1:8" ht="15" customHeight="1" x14ac:dyDescent="0.25">
      <c r="A93" s="83" t="s">
        <v>84</v>
      </c>
      <c r="B93" s="69">
        <f>LSUE!B93+SUSLA!B93+'LCTCS Summary'!B93-LCTCBoard!B93-Online!B93-AE!B93-RR!B93</f>
        <v>2166350</v>
      </c>
      <c r="C93" s="69">
        <f>LSUE!C93+SUSLA!C93+'LCTCS Summary'!C93-LCTCBoard!C93-Online!C93-AE!C93-RR!C93</f>
        <v>88000</v>
      </c>
      <c r="D93" s="69">
        <f>LSUE!D93+SUSLA!D93+'LCTCS Summary'!D93-LCTCBoard!D93-Online!D93-AE!D93-RR!D93</f>
        <v>88000</v>
      </c>
      <c r="E93" s="69">
        <f t="shared" si="7"/>
        <v>0</v>
      </c>
      <c r="F93" s="70">
        <f t="shared" si="6"/>
        <v>0</v>
      </c>
      <c r="G93" s="69">
        <f>LSUE!G93+SUSLA!G93+'LCTCS Summary'!G93-LCTCBoard!G93-Online!G93-AE!G93-RR!G93</f>
        <v>88000</v>
      </c>
      <c r="H93" s="227"/>
    </row>
    <row r="94" spans="1:8" s="124" customFormat="1" ht="15" customHeight="1" x14ac:dyDescent="0.25">
      <c r="A94" s="97" t="s">
        <v>85</v>
      </c>
      <c r="B94" s="87">
        <f>LSUE!B94+SUSLA!B94+'LCTCS Summary'!B94-LCTCBoard!B94-Online!B94-AE!B94-RR!B94</f>
        <v>6773435.2700000005</v>
      </c>
      <c r="C94" s="87">
        <f>LSUE!C94+SUSLA!C94+'LCTCS Summary'!C94-LCTCBoard!C94-Online!C94-AE!C94-RR!C94</f>
        <v>4761257</v>
      </c>
      <c r="D94" s="87">
        <f>LSUE!D94+SUSLA!D94+'LCTCS Summary'!D94-LCTCBoard!D94-Online!D94-AE!D94-RR!D94</f>
        <v>2126744.4500000002</v>
      </c>
      <c r="E94" s="87">
        <f t="shared" si="7"/>
        <v>-2634512.5499999998</v>
      </c>
      <c r="F94" s="81">
        <f t="shared" si="6"/>
        <v>-0.55332290401463302</v>
      </c>
      <c r="G94" s="87">
        <f>LSUE!G94+SUSLA!G94+'LCTCS Summary'!G94-LCTCBoard!G94-Online!G94-AE!G94-RR!G94</f>
        <v>2163494.4500000002</v>
      </c>
      <c r="H94" s="228"/>
    </row>
    <row r="95" spans="1:8" ht="15" customHeight="1" x14ac:dyDescent="0.25">
      <c r="A95" s="83" t="s">
        <v>86</v>
      </c>
      <c r="B95" s="69">
        <f>LSUE!B95+SUSLA!B95+'LCTCS Summary'!B95-LCTCBoard!B95-Online!B95-AE!B95-RR!B95</f>
        <v>0</v>
      </c>
      <c r="C95" s="69">
        <f>LSUE!C95+SUSLA!C95+'LCTCS Summary'!C95-LCTCBoard!C95-Online!C95-AE!C95-RR!C95</f>
        <v>0</v>
      </c>
      <c r="D95" s="69">
        <f>LSUE!D95+SUSLA!D95+'LCTCS Summary'!D95-LCTCBoard!D95-Online!D95-AE!D95-RR!D95</f>
        <v>1104682</v>
      </c>
      <c r="E95" s="69">
        <f t="shared" si="7"/>
        <v>1104682</v>
      </c>
      <c r="F95" s="70">
        <f t="shared" si="6"/>
        <v>1</v>
      </c>
      <c r="G95" s="69">
        <f>LSUE!G95+SUSLA!G95+'LCTCS Summary'!G95-LCTCBoard!G95-Online!G95-AE!G95-RR!G95</f>
        <v>1104682</v>
      </c>
      <c r="H95" s="227"/>
    </row>
    <row r="96" spans="1:8" s="124" customFormat="1" ht="15" customHeight="1" thickBot="1" x14ac:dyDescent="0.3">
      <c r="A96" s="195" t="s">
        <v>67</v>
      </c>
      <c r="B96" s="196">
        <f>LSUE!B96+SUSLA!B96+'LCTCS Summary'!B96-LCTCBoard!B96-Online!B96-AE!B96-RR!B96</f>
        <v>308061212.69</v>
      </c>
      <c r="C96" s="196">
        <f>LSUE!C96+SUSLA!C96+'LCTCS Summary'!C96-LCTCBoard!C96-Online!C96-AE!C96-RR!C96</f>
        <v>327800602.55778968</v>
      </c>
      <c r="D96" s="196">
        <f>LSUE!D96+SUSLA!D96+'LCTCS Summary'!D96-LCTCBoard!D96-Online!D96-AE!D96-RR!D96</f>
        <v>301620949.25</v>
      </c>
      <c r="E96" s="197">
        <f>D96-C96</f>
        <v>-26179653.307789683</v>
      </c>
      <c r="F96" s="198">
        <f t="shared" si="6"/>
        <v>-7.9864567372704379E-2</v>
      </c>
      <c r="G96" s="196">
        <f>LSUE!G96+SUSLA!G96+'LCTCS Summary'!G96-LCTCBoard!G96-Online!G96-AE!G96-RR!G96</f>
        <v>319927416.14999998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" t="s">
        <v>197</v>
      </c>
    </row>
    <row r="99" spans="1:9" x14ac:dyDescent="0.25">
      <c r="A99" s="1" t="s">
        <v>190</v>
      </c>
    </row>
  </sheetData>
  <mergeCells count="1">
    <mergeCell ref="G2:G3"/>
  </mergeCells>
  <hyperlinks>
    <hyperlink ref="I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9.140625" style="139"/>
    <col min="11" max="11" width="10.85546875" style="139" bestFit="1" customWidth="1"/>
    <col min="12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116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71962337</v>
      </c>
      <c r="C8" s="69">
        <v>71962337</v>
      </c>
      <c r="D8" s="69">
        <v>70589997</v>
      </c>
      <c r="E8" s="69">
        <f>D8-C8</f>
        <v>-1372340</v>
      </c>
      <c r="F8" s="70">
        <f t="shared" ref="F8:F31" si="0">IF(ISBLANK(E8),"  ",IF(C8&gt;0,E8/C8,IF(E8&gt;0,1,0)))</f>
        <v>-1.9070253374344971E-2</v>
      </c>
      <c r="G8" s="69">
        <v>70589997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3706890.99</v>
      </c>
      <c r="C10" s="72">
        <f>SUM(C11:C31)</f>
        <v>4259625</v>
      </c>
      <c r="D10" s="72">
        <f>SUM(D11:D31)</f>
        <v>3720427</v>
      </c>
      <c r="E10" s="69">
        <f t="shared" ref="E10:E31" si="1">D10-C10</f>
        <v>-539198</v>
      </c>
      <c r="F10" s="70">
        <f t="shared" si="0"/>
        <v>-0.12658344337823166</v>
      </c>
      <c r="G10" s="72">
        <f>SUM(G11:G31)</f>
        <v>3720427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2439306.13</v>
      </c>
      <c r="C12" s="74">
        <v>2898040</v>
      </c>
      <c r="D12" s="74">
        <v>2482567</v>
      </c>
      <c r="E12" s="69">
        <f t="shared" si="1"/>
        <v>-415473</v>
      </c>
      <c r="F12" s="70">
        <f t="shared" si="0"/>
        <v>-0.14336344563912162</v>
      </c>
      <c r="G12" s="74">
        <v>2482567</v>
      </c>
      <c r="H12" s="227"/>
    </row>
    <row r="13" spans="1:9" ht="15" customHeight="1" x14ac:dyDescent="0.25">
      <c r="A13" s="75" t="s">
        <v>17</v>
      </c>
      <c r="B13" s="74">
        <v>1267584.8600000001</v>
      </c>
      <c r="C13" s="74">
        <v>1361585</v>
      </c>
      <c r="D13" s="74">
        <v>1237860</v>
      </c>
      <c r="E13" s="69">
        <f t="shared" si="1"/>
        <v>-123725</v>
      </c>
      <c r="F13" s="70">
        <f t="shared" si="0"/>
        <v>-9.0868362974033945E-2</v>
      </c>
      <c r="G13" s="74">
        <v>1237860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SUM(B8,B9,B10,B33,B35)</f>
        <v>75669227.989999995</v>
      </c>
      <c r="C37" s="80">
        <f t="shared" ref="C37:D37" si="2">SUM(C8,C9,C10,C33,C35)</f>
        <v>76221962</v>
      </c>
      <c r="D37" s="80">
        <f t="shared" si="2"/>
        <v>74310424</v>
      </c>
      <c r="E37" s="80">
        <f>D37-C37</f>
        <v>-1911538</v>
      </c>
      <c r="F37" s="81">
        <f>IF(ISBLANK(E37),"  ",IF(C37&gt;0,E37/C37,IF(E37&gt;0,1,0)))</f>
        <v>-2.5078572498566751E-2</v>
      </c>
      <c r="G37" s="80">
        <f>SUM(G8,G9,G10,G33,G35)</f>
        <v>74310424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4036145.53</v>
      </c>
      <c r="C48" s="87">
        <v>3434950</v>
      </c>
      <c r="D48" s="87">
        <v>0</v>
      </c>
      <c r="E48" s="87">
        <f>D48-C48</f>
        <v>-3434950</v>
      </c>
      <c r="F48" s="81">
        <f>IF(ISBLANK(E48)," ",IF(C48&gt;0,E48/C48,IF(E48&gt;0,1,0)))</f>
        <v>-1</v>
      </c>
      <c r="G48" s="87">
        <v>4036145.53</v>
      </c>
      <c r="H48" s="228"/>
      <c r="K48" s="187"/>
    </row>
    <row r="49" spans="1:11" ht="15" customHeight="1" x14ac:dyDescent="0.25">
      <c r="A49" s="73"/>
      <c r="B49" s="65"/>
      <c r="C49" s="65"/>
      <c r="D49" s="65"/>
      <c r="E49" s="65"/>
      <c r="F49" s="67"/>
      <c r="G49" s="65"/>
      <c r="H49" s="227"/>
      <c r="K49" s="187"/>
    </row>
    <row r="50" spans="1:11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11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11" s="124" customFormat="1" ht="15" customHeight="1" x14ac:dyDescent="0.25">
      <c r="A52" s="77" t="s">
        <v>49</v>
      </c>
      <c r="B52" s="85">
        <v>433748</v>
      </c>
      <c r="C52" s="85">
        <v>6807967</v>
      </c>
      <c r="D52" s="85">
        <v>6807967</v>
      </c>
      <c r="E52" s="85">
        <f>D52-C52</f>
        <v>0</v>
      </c>
      <c r="F52" s="81">
        <f>IF(ISBLANK(E52),"  ",IF(C52&gt;0,E52/C52,IF(E52&gt;0,1,0)))</f>
        <v>0</v>
      </c>
      <c r="G52" s="85">
        <v>6807967</v>
      </c>
      <c r="H52" s="228"/>
    </row>
    <row r="53" spans="1:11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11" s="124" customFormat="1" ht="15" customHeight="1" x14ac:dyDescent="0.25">
      <c r="A54" s="88" t="s">
        <v>50</v>
      </c>
      <c r="B54" s="89">
        <v>12147289.34</v>
      </c>
      <c r="C54" s="89">
        <v>13018275</v>
      </c>
      <c r="D54" s="89">
        <v>13018275</v>
      </c>
      <c r="E54" s="89">
        <f>D54-C54</f>
        <v>0</v>
      </c>
      <c r="F54" s="81">
        <f>IF(ISBLANK(E54),"  ",IF(C54&gt;0,E54/C54,IF(E54&gt;0,1,0)))</f>
        <v>0</v>
      </c>
      <c r="G54" s="89">
        <v>13018275</v>
      </c>
      <c r="H54" s="228"/>
    </row>
    <row r="55" spans="1:11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11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11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11" s="124" customFormat="1" ht="15" customHeight="1" x14ac:dyDescent="0.25">
      <c r="A58" s="91" t="s">
        <v>52</v>
      </c>
      <c r="B58" s="85">
        <f>SUM(B37,B46,B48,B50,B52,B54,B56)-B44</f>
        <v>92286410.859999999</v>
      </c>
      <c r="C58" s="85">
        <f t="shared" ref="C58:D58" si="5">SUM(C37,C46,C48,C50,C52,C54,C56)-C44</f>
        <v>99483154</v>
      </c>
      <c r="D58" s="85">
        <f t="shared" si="5"/>
        <v>94136666</v>
      </c>
      <c r="E58" s="85">
        <f>D58-C58</f>
        <v>-5346488</v>
      </c>
      <c r="F58" s="81">
        <f>IF(ISBLANK(E58),"  ",IF(C58&gt;0,E58/C58,IF(E58&gt;0,1,0)))</f>
        <v>-5.3742646719865755E-2</v>
      </c>
      <c r="G58" s="85">
        <f>SUM(G37,G46,G48,G50,G52,G54,G56)-G44</f>
        <v>98172811.530000001</v>
      </c>
      <c r="H58" s="228"/>
    </row>
    <row r="59" spans="1:11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11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11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11" ht="15" customHeight="1" x14ac:dyDescent="0.25">
      <c r="A62" s="73" t="s">
        <v>54</v>
      </c>
      <c r="B62" s="65">
        <v>0</v>
      </c>
      <c r="C62" s="65">
        <v>0</v>
      </c>
      <c r="D62" s="65">
        <v>0</v>
      </c>
      <c r="E62" s="65">
        <f>D62-C62</f>
        <v>0</v>
      </c>
      <c r="F62" s="70">
        <f t="shared" ref="F62:F75" si="6">IF(ISBLANK(E62),"  ",IF(C62&gt;0,E62/C62,IF(E62&gt;0,1,0)))</f>
        <v>0</v>
      </c>
      <c r="G62" s="65">
        <v>0</v>
      </c>
      <c r="H62" s="227"/>
    </row>
    <row r="63" spans="1:11" ht="15" customHeight="1" x14ac:dyDescent="0.25">
      <c r="A63" s="75" t="s">
        <v>55</v>
      </c>
      <c r="B63" s="74">
        <v>27605154.560000002</v>
      </c>
      <c r="C63" s="74">
        <v>30641472</v>
      </c>
      <c r="D63" s="74">
        <v>29430514</v>
      </c>
      <c r="E63" s="74">
        <f>D63-C63</f>
        <v>-1210958</v>
      </c>
      <c r="F63" s="70">
        <f t="shared" si="6"/>
        <v>-3.9520229315354038E-2</v>
      </c>
      <c r="G63" s="74">
        <f>29430514+892212.36</f>
        <v>30322726.359999999</v>
      </c>
      <c r="H63" s="227"/>
    </row>
    <row r="64" spans="1:11" ht="15" customHeight="1" x14ac:dyDescent="0.25">
      <c r="A64" s="75" t="s">
        <v>56</v>
      </c>
      <c r="B64" s="74">
        <v>21523908.5</v>
      </c>
      <c r="C64" s="74">
        <v>25223928.190000001</v>
      </c>
      <c r="D64" s="74">
        <v>24301135</v>
      </c>
      <c r="E64" s="74">
        <f t="shared" ref="E64:E75" si="7">D64-C64</f>
        <v>-922793.19000000134</v>
      </c>
      <c r="F64" s="70">
        <f t="shared" si="6"/>
        <v>-3.65840396883877E-2</v>
      </c>
      <c r="G64" s="74">
        <f>24301135+1404136.83</f>
        <v>25705271.829999998</v>
      </c>
      <c r="H64" s="227"/>
    </row>
    <row r="65" spans="1:8" ht="15" customHeight="1" x14ac:dyDescent="0.25">
      <c r="A65" s="75" t="s">
        <v>57</v>
      </c>
      <c r="B65" s="74">
        <v>2587463.9699999997</v>
      </c>
      <c r="C65" s="74">
        <v>2071534</v>
      </c>
      <c r="D65" s="74">
        <v>2613866</v>
      </c>
      <c r="E65" s="74">
        <f t="shared" si="7"/>
        <v>542332</v>
      </c>
      <c r="F65" s="70">
        <f t="shared" si="6"/>
        <v>0.26180212345054438</v>
      </c>
      <c r="G65" s="74">
        <f>2613866+691867.62</f>
        <v>3305733.62</v>
      </c>
      <c r="H65" s="227"/>
    </row>
    <row r="66" spans="1:8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74">
        <f t="shared" si="7"/>
        <v>0</v>
      </c>
      <c r="F66" s="70">
        <f t="shared" si="6"/>
        <v>0</v>
      </c>
      <c r="G66" s="74">
        <v>0</v>
      </c>
      <c r="H66" s="227"/>
    </row>
    <row r="67" spans="1:8" ht="15" customHeight="1" x14ac:dyDescent="0.25">
      <c r="A67" s="75" t="s">
        <v>59</v>
      </c>
      <c r="B67" s="74">
        <v>36356323.939999998</v>
      </c>
      <c r="C67" s="74">
        <v>37486143</v>
      </c>
      <c r="D67" s="74">
        <v>36933428</v>
      </c>
      <c r="E67" s="74">
        <f t="shared" si="7"/>
        <v>-552715</v>
      </c>
      <c r="F67" s="70">
        <f t="shared" si="6"/>
        <v>-1.474451505987159E-2</v>
      </c>
      <c r="G67" s="74">
        <f>36933428+959702.01</f>
        <v>37893130.009999998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74">
        <f t="shared" si="7"/>
        <v>0</v>
      </c>
      <c r="F68" s="70">
        <f t="shared" si="6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4213560.4400000004</v>
      </c>
      <c r="C69" s="74">
        <v>4060077</v>
      </c>
      <c r="D69" s="74">
        <v>4292673</v>
      </c>
      <c r="E69" s="74">
        <f t="shared" si="7"/>
        <v>232596</v>
      </c>
      <c r="F69" s="70">
        <f t="shared" si="6"/>
        <v>5.728856866507704E-2</v>
      </c>
      <c r="G69" s="74">
        <f>4292673+88226.71</f>
        <v>4380899.71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92286411.409999996</v>
      </c>
      <c r="C70" s="80">
        <f>SUM(C62:C69)</f>
        <v>99483154.189999998</v>
      </c>
      <c r="D70" s="80">
        <f>SUM(D62:D69)</f>
        <v>97571616</v>
      </c>
      <c r="E70" s="80">
        <f t="shared" si="7"/>
        <v>-1911538.1899999976</v>
      </c>
      <c r="F70" s="81">
        <f t="shared" si="6"/>
        <v>-1.9214692231703932E-2</v>
      </c>
      <c r="G70" s="80">
        <f>SUM(G62:G69)</f>
        <v>101607761.52999999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7"/>
        <v>0</v>
      </c>
      <c r="F71" s="70">
        <f t="shared" si="6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-3434950</v>
      </c>
      <c r="E72" s="74">
        <f t="shared" si="7"/>
        <v>-3434950</v>
      </c>
      <c r="F72" s="70">
        <f t="shared" si="6"/>
        <v>0</v>
      </c>
      <c r="G72" s="74">
        <v>-3434950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7"/>
        <v>0</v>
      </c>
      <c r="F73" s="70">
        <f t="shared" si="6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7"/>
        <v>0</v>
      </c>
      <c r="F74" s="70">
        <f t="shared" si="6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92286411.409999996</v>
      </c>
      <c r="C75" s="96">
        <f>SUM(C70,C71:C74)</f>
        <v>99483154.189999998</v>
      </c>
      <c r="D75" s="96">
        <f>SUM(D70,D71:D74)</f>
        <v>94136666</v>
      </c>
      <c r="E75" s="231">
        <f t="shared" si="7"/>
        <v>-5346488.1899999976</v>
      </c>
      <c r="F75" s="81">
        <f t="shared" si="6"/>
        <v>-5.3742648527095295E-2</v>
      </c>
      <c r="G75" s="96">
        <f>SUM(G70,G71:G74)</f>
        <v>98172811.529999986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46678412.43</v>
      </c>
      <c r="C78" s="69">
        <v>50087172</v>
      </c>
      <c r="D78" s="69">
        <v>48829465</v>
      </c>
      <c r="E78" s="65">
        <f>D78-C78</f>
        <v>-1257707</v>
      </c>
      <c r="F78" s="70">
        <f t="shared" ref="F78:F96" si="8">IF(ISBLANK(E78),"  ",IF(C78&gt;0,E78/C78,IF(E78&gt;0,1,0)))</f>
        <v>-2.5110361591187461E-2</v>
      </c>
      <c r="G78" s="69">
        <f>48829465+2847500.67</f>
        <v>51676965.670000002</v>
      </c>
      <c r="H78" s="227"/>
    </row>
    <row r="79" spans="1:8" ht="15" customHeight="1" x14ac:dyDescent="0.25">
      <c r="A79" s="75" t="s">
        <v>70</v>
      </c>
      <c r="B79" s="72">
        <v>2810951.0599999996</v>
      </c>
      <c r="C79" s="69">
        <v>2721187.19</v>
      </c>
      <c r="D79" s="69">
        <v>2560085</v>
      </c>
      <c r="E79" s="74">
        <f>D79-C79</f>
        <v>-161102.18999999994</v>
      </c>
      <c r="F79" s="70">
        <f t="shared" si="8"/>
        <v>-5.920290621388672E-2</v>
      </c>
      <c r="G79" s="69">
        <v>2560085</v>
      </c>
      <c r="H79" s="227"/>
    </row>
    <row r="80" spans="1:8" ht="15" customHeight="1" x14ac:dyDescent="0.25">
      <c r="A80" s="75" t="s">
        <v>71</v>
      </c>
      <c r="B80" s="65">
        <v>28135363.640000001</v>
      </c>
      <c r="C80" s="69">
        <v>28216059</v>
      </c>
      <c r="D80" s="69">
        <v>28722820</v>
      </c>
      <c r="E80" s="74">
        <f t="shared" ref="E80:E95" si="9">D80-C80</f>
        <v>506761</v>
      </c>
      <c r="F80" s="70">
        <f t="shared" si="8"/>
        <v>1.796002056842878E-2</v>
      </c>
      <c r="G80" s="69">
        <f>28722820+1188644.86</f>
        <v>29911464.859999999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77624727.129999995</v>
      </c>
      <c r="C81" s="96">
        <f t="shared" ref="C81:D81" si="10">SUM(C78:C80)</f>
        <v>81024418.189999998</v>
      </c>
      <c r="D81" s="96">
        <f t="shared" si="10"/>
        <v>80112370</v>
      </c>
      <c r="E81" s="80">
        <f t="shared" si="9"/>
        <v>-912048.18999999762</v>
      </c>
      <c r="F81" s="81">
        <f t="shared" si="8"/>
        <v>-1.125646083457545E-2</v>
      </c>
      <c r="G81" s="96">
        <f>SUM(G78:G80)</f>
        <v>84148515.530000001</v>
      </c>
      <c r="H81" s="228"/>
    </row>
    <row r="82" spans="1:8" ht="15" customHeight="1" x14ac:dyDescent="0.25">
      <c r="A82" s="75" t="s">
        <v>73</v>
      </c>
      <c r="B82" s="72">
        <v>996558.9</v>
      </c>
      <c r="C82" s="72">
        <v>1757038</v>
      </c>
      <c r="D82" s="72">
        <v>1476916</v>
      </c>
      <c r="E82" s="74">
        <f t="shared" si="9"/>
        <v>-280122</v>
      </c>
      <c r="F82" s="70">
        <f t="shared" si="8"/>
        <v>-0.15942853825586015</v>
      </c>
      <c r="G82" s="72">
        <v>1476916</v>
      </c>
      <c r="H82" s="227"/>
    </row>
    <row r="83" spans="1:8" ht="15" customHeight="1" x14ac:dyDescent="0.25">
      <c r="A83" s="75" t="s">
        <v>74</v>
      </c>
      <c r="B83" s="69">
        <v>6865287.6500000004</v>
      </c>
      <c r="C83" s="69">
        <v>7146513</v>
      </c>
      <c r="D83" s="69">
        <v>8176875</v>
      </c>
      <c r="E83" s="74">
        <f t="shared" si="9"/>
        <v>1030362</v>
      </c>
      <c r="F83" s="70">
        <f t="shared" si="8"/>
        <v>0.14417688738549836</v>
      </c>
      <c r="G83" s="69">
        <v>8176875</v>
      </c>
      <c r="H83" s="227"/>
    </row>
    <row r="84" spans="1:8" ht="15" customHeight="1" x14ac:dyDescent="0.25">
      <c r="A84" s="75" t="s">
        <v>75</v>
      </c>
      <c r="B84" s="65">
        <v>3136642.73</v>
      </c>
      <c r="C84" s="65">
        <v>7054112</v>
      </c>
      <c r="D84" s="65">
        <v>5153573</v>
      </c>
      <c r="E84" s="74">
        <f t="shared" si="9"/>
        <v>-1900539</v>
      </c>
      <c r="F84" s="70">
        <f t="shared" si="8"/>
        <v>-0.26942285577546826</v>
      </c>
      <c r="G84" s="65">
        <v>5153573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10998489.280000001</v>
      </c>
      <c r="C85" s="96">
        <f t="shared" ref="C85:D85" si="11">SUM(C82:C84)</f>
        <v>15957663</v>
      </c>
      <c r="D85" s="96">
        <f t="shared" si="11"/>
        <v>14807364</v>
      </c>
      <c r="E85" s="80">
        <f t="shared" si="9"/>
        <v>-1150299</v>
      </c>
      <c r="F85" s="81">
        <f t="shared" si="8"/>
        <v>-7.2084427400177578E-2</v>
      </c>
      <c r="G85" s="96">
        <f>SUM(G82:G84)</f>
        <v>14807364</v>
      </c>
      <c r="H85" s="228"/>
    </row>
    <row r="86" spans="1:8" ht="15" customHeight="1" x14ac:dyDescent="0.25">
      <c r="A86" s="75" t="s">
        <v>77</v>
      </c>
      <c r="B86" s="65">
        <v>391874.59000000008</v>
      </c>
      <c r="C86" s="65">
        <v>219451</v>
      </c>
      <c r="D86" s="65">
        <v>249451</v>
      </c>
      <c r="E86" s="74">
        <f t="shared" si="9"/>
        <v>30000</v>
      </c>
      <c r="F86" s="70">
        <f t="shared" si="8"/>
        <v>0.13670477692058819</v>
      </c>
      <c r="G86" s="65">
        <v>249451</v>
      </c>
      <c r="H86" s="227"/>
    </row>
    <row r="87" spans="1:8" ht="15" customHeight="1" x14ac:dyDescent="0.25">
      <c r="A87" s="75" t="s">
        <v>78</v>
      </c>
      <c r="B87" s="74">
        <v>228918.62</v>
      </c>
      <c r="C87" s="74">
        <v>218077</v>
      </c>
      <c r="D87" s="74">
        <v>-3240131</v>
      </c>
      <c r="E87" s="74">
        <f t="shared" si="9"/>
        <v>-3458208</v>
      </c>
      <c r="F87" s="70">
        <f t="shared" si="8"/>
        <v>-15.857738321785424</v>
      </c>
      <c r="G87" s="74">
        <v>-3240131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9"/>
        <v>0</v>
      </c>
      <c r="F88" s="70">
        <f t="shared" si="8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2048695</v>
      </c>
      <c r="C89" s="74">
        <v>2048695</v>
      </c>
      <c r="D89" s="74">
        <v>2192762</v>
      </c>
      <c r="E89" s="74">
        <f t="shared" si="9"/>
        <v>144067</v>
      </c>
      <c r="F89" s="70">
        <f t="shared" si="8"/>
        <v>7.0321350908749233E-2</v>
      </c>
      <c r="G89" s="74">
        <v>2192762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2669488.21</v>
      </c>
      <c r="C90" s="80">
        <f t="shared" ref="C90:D90" si="12">SUM(C86:C89)</f>
        <v>2486223</v>
      </c>
      <c r="D90" s="80">
        <f t="shared" si="12"/>
        <v>-797918</v>
      </c>
      <c r="E90" s="80">
        <f t="shared" si="9"/>
        <v>-3284141</v>
      </c>
      <c r="F90" s="81">
        <f t="shared" si="8"/>
        <v>-1.3209358130787141</v>
      </c>
      <c r="G90" s="80">
        <f>SUM(G86:G89)</f>
        <v>-797918</v>
      </c>
      <c r="H90" s="228"/>
    </row>
    <row r="91" spans="1:8" ht="15" customHeight="1" x14ac:dyDescent="0.25">
      <c r="A91" s="75" t="s">
        <v>82</v>
      </c>
      <c r="B91" s="74">
        <v>993706.79</v>
      </c>
      <c r="C91" s="74">
        <v>14850</v>
      </c>
      <c r="D91" s="74">
        <v>14850</v>
      </c>
      <c r="E91" s="74">
        <f t="shared" si="9"/>
        <v>0</v>
      </c>
      <c r="F91" s="70">
        <f t="shared" si="8"/>
        <v>0</v>
      </c>
      <c r="G91" s="74">
        <v>14850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9"/>
        <v>0</v>
      </c>
      <c r="F92" s="70">
        <f t="shared" si="8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9"/>
        <v>0</v>
      </c>
      <c r="F93" s="70">
        <f t="shared" si="8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993706.79</v>
      </c>
      <c r="C94" s="96">
        <f t="shared" ref="C94:D94" si="13">SUM(C91:C93)</f>
        <v>14850</v>
      </c>
      <c r="D94" s="96">
        <f t="shared" si="13"/>
        <v>14850</v>
      </c>
      <c r="E94" s="80">
        <f t="shared" si="9"/>
        <v>0</v>
      </c>
      <c r="F94" s="81">
        <f t="shared" si="8"/>
        <v>0</v>
      </c>
      <c r="G94" s="96">
        <f>SUM(G91:G93)</f>
        <v>14850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9"/>
        <v>0</v>
      </c>
      <c r="F95" s="70">
        <f t="shared" si="8"/>
        <v>0</v>
      </c>
      <c r="G95" s="72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92286411.409999996</v>
      </c>
      <c r="C96" s="196">
        <f>SUM(C81,C85,C90,C94,C95)</f>
        <v>99483154.189999998</v>
      </c>
      <c r="D96" s="196">
        <f>SUM(D81,D85,D90,D94,D95)</f>
        <v>94136666</v>
      </c>
      <c r="E96" s="196">
        <f>D96-C96</f>
        <v>-5346488.1899999976</v>
      </c>
      <c r="F96" s="198">
        <f t="shared" si="8"/>
        <v>-5.3742648527095295E-2</v>
      </c>
      <c r="G96" s="197">
        <f>SUM(G81,G85,G90,G94,G95)</f>
        <v>98172811.530000001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122</v>
      </c>
      <c r="F1" s="40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17315631</v>
      </c>
      <c r="C8" s="69">
        <v>17315631</v>
      </c>
      <c r="D8" s="69">
        <v>17810797</v>
      </c>
      <c r="E8" s="69">
        <f>D8-C8</f>
        <v>495166</v>
      </c>
      <c r="F8" s="70">
        <f t="shared" ref="F8:F31" si="0">IF(ISBLANK(E8),"  ",IF(C8&gt;0,E8/C8,IF(E8&gt;0,1,0)))</f>
        <v>2.8596474480196536E-2</v>
      </c>
      <c r="G8" s="69">
        <v>17810797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79006</v>
      </c>
      <c r="C10" s="72">
        <f>SUM(C11:C31)</f>
        <v>93864</v>
      </c>
      <c r="D10" s="72">
        <f>SUM(D11:D31)</f>
        <v>80408</v>
      </c>
      <c r="E10" s="69">
        <f t="shared" ref="E10:E31" si="1">D10-C10</f>
        <v>-13456</v>
      </c>
      <c r="F10" s="70">
        <f t="shared" si="0"/>
        <v>-0.1433563453507202</v>
      </c>
      <c r="G10" s="72">
        <f>SUM(G11:G31)</f>
        <v>80408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79006</v>
      </c>
      <c r="C12" s="74">
        <v>93864</v>
      </c>
      <c r="D12" s="74">
        <v>80408</v>
      </c>
      <c r="E12" s="69">
        <f t="shared" si="1"/>
        <v>-13456</v>
      </c>
      <c r="F12" s="70">
        <f t="shared" si="0"/>
        <v>-0.1433563453507202</v>
      </c>
      <c r="G12" s="74">
        <v>80408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SUM(B8,B9,B10,B33,B35)</f>
        <v>17394637</v>
      </c>
      <c r="C37" s="80">
        <f t="shared" ref="C37:D37" si="2">SUM(C8,C9,C10,C33,C35)</f>
        <v>17409495</v>
      </c>
      <c r="D37" s="80">
        <f t="shared" si="2"/>
        <v>17891205</v>
      </c>
      <c r="E37" s="80">
        <f>D37-C37</f>
        <v>481710</v>
      </c>
      <c r="F37" s="81">
        <f>IF(ISBLANK(E37),"  ",IF(C37&gt;0,E37/C37,IF(E37&gt;0,1,0)))</f>
        <v>2.7669383862082158E-2</v>
      </c>
      <c r="G37" s="80">
        <f>SUM(G8,G9,G10,G33,G35)</f>
        <v>17891205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2917240</v>
      </c>
      <c r="C48" s="87">
        <v>2200000</v>
      </c>
      <c r="D48" s="87">
        <v>0</v>
      </c>
      <c r="E48" s="87">
        <f>D48-C48</f>
        <v>-2200000</v>
      </c>
      <c r="F48" s="81">
        <f>IF(ISBLANK(E48)," ",IF(C48&gt;0,E48/C48,IF(E48&gt;0,1,0)))</f>
        <v>-1</v>
      </c>
      <c r="G48" s="87">
        <v>2917239.73</v>
      </c>
      <c r="H48" s="228"/>
      <c r="J48" s="187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845558</v>
      </c>
      <c r="C52" s="85">
        <v>845561</v>
      </c>
      <c r="D52" s="85">
        <v>845561</v>
      </c>
      <c r="E52" s="85">
        <f>D52-C52</f>
        <v>0</v>
      </c>
      <c r="F52" s="81">
        <f>IF(ISBLANK(E52),"  ",IF(C52&gt;0,E52/C52,IF(E52&gt;0,1,0)))</f>
        <v>0</v>
      </c>
      <c r="G52" s="85">
        <v>845561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21157435</v>
      </c>
      <c r="C58" s="85">
        <f t="shared" ref="C58:D58" si="5">SUM(C37,C46,C48,C50,C52,C54,C56)-C44</f>
        <v>20455056</v>
      </c>
      <c r="D58" s="85">
        <f t="shared" si="5"/>
        <v>18736766</v>
      </c>
      <c r="E58" s="85">
        <f>D58-C58</f>
        <v>-1718290</v>
      </c>
      <c r="F58" s="81">
        <f>IF(ISBLANK(E58),"  ",IF(C58&gt;0,E58/C58,IF(E58&gt;0,1,0)))</f>
        <v>-8.4003192169212343E-2</v>
      </c>
      <c r="G58" s="85">
        <f>SUM(G37,G46,G48,G50,G52,G54,G56)-G44</f>
        <v>21654005.73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0</v>
      </c>
      <c r="C62" s="65">
        <v>0</v>
      </c>
      <c r="D62" s="65">
        <v>0</v>
      </c>
      <c r="E62" s="65">
        <f>D62-C62</f>
        <v>0</v>
      </c>
      <c r="F62" s="70">
        <f t="shared" ref="F62:F75" si="6">IF(ISBLANK(E62),"  ",IF(C62&gt;0,E62/C62,IF(E62&gt;0,1,0)))</f>
        <v>0</v>
      </c>
      <c r="G62" s="65">
        <v>0</v>
      </c>
      <c r="H62" s="227"/>
    </row>
    <row r="63" spans="1:8" ht="15" customHeight="1" x14ac:dyDescent="0.25">
      <c r="A63" s="75" t="s">
        <v>55</v>
      </c>
      <c r="B63" s="74">
        <v>5890951.2599999988</v>
      </c>
      <c r="C63" s="74">
        <v>4851240</v>
      </c>
      <c r="D63" s="74">
        <v>6229414</v>
      </c>
      <c r="E63" s="74">
        <f>D63-C63</f>
        <v>1378174</v>
      </c>
      <c r="F63" s="70">
        <f t="shared" si="6"/>
        <v>0.28408695508777138</v>
      </c>
      <c r="G63" s="74">
        <f>6229414+44409.89</f>
        <v>6273823.8899999997</v>
      </c>
      <c r="H63" s="227"/>
    </row>
    <row r="64" spans="1:8" ht="15" customHeight="1" x14ac:dyDescent="0.25">
      <c r="A64" s="75" t="s">
        <v>56</v>
      </c>
      <c r="B64" s="74">
        <v>224462.84999999998</v>
      </c>
      <c r="C64" s="74">
        <v>243840</v>
      </c>
      <c r="D64" s="74">
        <v>175333</v>
      </c>
      <c r="E64" s="74">
        <f t="shared" ref="E64:E75" si="7">D64-C64</f>
        <v>-68507</v>
      </c>
      <c r="F64" s="70">
        <f t="shared" si="6"/>
        <v>-0.28095062335958004</v>
      </c>
      <c r="G64" s="74">
        <v>175333</v>
      </c>
      <c r="H64" s="227"/>
    </row>
    <row r="65" spans="1:8" ht="15" customHeight="1" x14ac:dyDescent="0.25">
      <c r="A65" s="75" t="s">
        <v>57</v>
      </c>
      <c r="B65" s="74">
        <v>6207359.0599999996</v>
      </c>
      <c r="C65" s="74">
        <v>7787313</v>
      </c>
      <c r="D65" s="74">
        <v>5393267</v>
      </c>
      <c r="E65" s="74">
        <f t="shared" si="7"/>
        <v>-2394046</v>
      </c>
      <c r="F65" s="70">
        <f t="shared" si="6"/>
        <v>-0.3074290194833571</v>
      </c>
      <c r="G65" s="74">
        <f>5393267+2280893.75</f>
        <v>7674160.75</v>
      </c>
      <c r="H65" s="227"/>
    </row>
    <row r="66" spans="1:8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74">
        <f t="shared" si="7"/>
        <v>0</v>
      </c>
      <c r="F66" s="70">
        <f t="shared" si="6"/>
        <v>0</v>
      </c>
      <c r="G66" s="74">
        <v>0</v>
      </c>
      <c r="H66" s="227"/>
    </row>
    <row r="67" spans="1:8" ht="15" customHeight="1" x14ac:dyDescent="0.25">
      <c r="A67" s="75" t="s">
        <v>59</v>
      </c>
      <c r="B67" s="74">
        <v>4254265.3900000006</v>
      </c>
      <c r="C67" s="74">
        <v>3573135.49</v>
      </c>
      <c r="D67" s="74">
        <v>3043386</v>
      </c>
      <c r="E67" s="74">
        <f t="shared" si="7"/>
        <v>-529749.49000000022</v>
      </c>
      <c r="F67" s="70">
        <f t="shared" si="6"/>
        <v>-0.14825899870928214</v>
      </c>
      <c r="G67" s="74">
        <v>3043386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74">
        <f t="shared" si="7"/>
        <v>0</v>
      </c>
      <c r="F68" s="70">
        <f t="shared" si="6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4580396.84</v>
      </c>
      <c r="C69" s="74">
        <v>3999527.8899999997</v>
      </c>
      <c r="D69" s="74">
        <v>3895366</v>
      </c>
      <c r="E69" s="74">
        <f t="shared" si="7"/>
        <v>-104161.88999999966</v>
      </c>
      <c r="F69" s="70">
        <f t="shared" si="6"/>
        <v>-2.6043546354667293E-2</v>
      </c>
      <c r="G69" s="74">
        <f>3895366+591936.09</f>
        <v>4487302.09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21157435.399999999</v>
      </c>
      <c r="C70" s="80">
        <f>SUM(C62:C69)</f>
        <v>20455056.379999999</v>
      </c>
      <c r="D70" s="80">
        <f>SUM(D62:D69)</f>
        <v>18736766</v>
      </c>
      <c r="E70" s="80">
        <f t="shared" si="7"/>
        <v>-1718290.379999999</v>
      </c>
      <c r="F70" s="81">
        <f t="shared" si="6"/>
        <v>-8.4003209185972386E-2</v>
      </c>
      <c r="G70" s="80">
        <f>SUM(G62:G69)</f>
        <v>21654005.73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7"/>
        <v>0</v>
      </c>
      <c r="F71" s="70">
        <f t="shared" si="6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74">
        <f t="shared" si="7"/>
        <v>0</v>
      </c>
      <c r="F72" s="70">
        <f t="shared" si="6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7"/>
        <v>0</v>
      </c>
      <c r="F73" s="70">
        <f t="shared" si="6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7"/>
        <v>0</v>
      </c>
      <c r="F74" s="70">
        <f t="shared" si="6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21157435.399999999</v>
      </c>
      <c r="C75" s="96">
        <f>SUM(C70,C71:C74)</f>
        <v>20455056.379999999</v>
      </c>
      <c r="D75" s="96">
        <f>SUM(D70,D71:D74)</f>
        <v>18736766</v>
      </c>
      <c r="E75" s="231">
        <f t="shared" si="7"/>
        <v>-1718290.379999999</v>
      </c>
      <c r="F75" s="81">
        <f t="shared" si="6"/>
        <v>-8.4003209185972386E-2</v>
      </c>
      <c r="G75" s="96">
        <f>SUM(G70,G71:G74)</f>
        <v>21654005.73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10529227.18</v>
      </c>
      <c r="C78" s="69">
        <v>11880361.73</v>
      </c>
      <c r="D78" s="69">
        <v>9715890</v>
      </c>
      <c r="E78" s="65">
        <f>D78-C78</f>
        <v>-2164471.7300000004</v>
      </c>
      <c r="F78" s="70">
        <f t="shared" ref="F78:F96" si="8">IF(ISBLANK(E78),"  ",IF(C78&gt;0,E78/C78,IF(E78&gt;0,1,0)))</f>
        <v>-0.18218904265636365</v>
      </c>
      <c r="G78" s="69">
        <f>9715890+2042866.43</f>
        <v>11758756.43</v>
      </c>
      <c r="H78" s="227"/>
    </row>
    <row r="79" spans="1:8" ht="15" customHeight="1" x14ac:dyDescent="0.25">
      <c r="A79" s="75" t="s">
        <v>70</v>
      </c>
      <c r="B79" s="72">
        <v>1347925.97</v>
      </c>
      <c r="C79" s="72">
        <v>129244</v>
      </c>
      <c r="D79" s="72">
        <v>27701</v>
      </c>
      <c r="E79" s="74">
        <f>D79-C79</f>
        <v>-101543</v>
      </c>
      <c r="F79" s="70">
        <f t="shared" si="8"/>
        <v>-0.78566896722478408</v>
      </c>
      <c r="G79" s="72">
        <v>27701</v>
      </c>
      <c r="H79" s="227"/>
    </row>
    <row r="80" spans="1:8" ht="15" customHeight="1" x14ac:dyDescent="0.25">
      <c r="A80" s="75" t="s">
        <v>71</v>
      </c>
      <c r="B80" s="65">
        <v>4237494.9399999995</v>
      </c>
      <c r="C80" s="65">
        <v>4252446.16</v>
      </c>
      <c r="D80" s="65">
        <v>4504608</v>
      </c>
      <c r="E80" s="74">
        <f t="shared" ref="E80:E95" si="9">D80-C80</f>
        <v>252161.83999999985</v>
      </c>
      <c r="F80" s="70">
        <f t="shared" si="8"/>
        <v>5.9298067632677524E-2</v>
      </c>
      <c r="G80" s="65">
        <f>4504608+852762.81</f>
        <v>5357370.8100000005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16114648.09</v>
      </c>
      <c r="C81" s="96">
        <f t="shared" ref="C81:D81" si="10">SUM(C78:C80)</f>
        <v>16262051.890000001</v>
      </c>
      <c r="D81" s="96">
        <f t="shared" si="10"/>
        <v>14248199</v>
      </c>
      <c r="E81" s="80">
        <f t="shared" si="9"/>
        <v>-2013852.8900000006</v>
      </c>
      <c r="F81" s="81">
        <f t="shared" si="8"/>
        <v>-0.12383756389551162</v>
      </c>
      <c r="G81" s="96">
        <f>SUM(G78:G80)</f>
        <v>17143828.240000002</v>
      </c>
      <c r="H81" s="228"/>
    </row>
    <row r="82" spans="1:8" ht="15" customHeight="1" x14ac:dyDescent="0.25">
      <c r="A82" s="75" t="s">
        <v>73</v>
      </c>
      <c r="B82" s="72">
        <v>22650.000000000004</v>
      </c>
      <c r="C82" s="72">
        <v>19638</v>
      </c>
      <c r="D82" s="72">
        <v>15144</v>
      </c>
      <c r="E82" s="74">
        <f t="shared" si="9"/>
        <v>-4494</v>
      </c>
      <c r="F82" s="70">
        <f t="shared" si="8"/>
        <v>-0.22884204094103269</v>
      </c>
      <c r="G82" s="72">
        <v>15144</v>
      </c>
      <c r="H82" s="227"/>
    </row>
    <row r="83" spans="1:8" ht="15" customHeight="1" x14ac:dyDescent="0.25">
      <c r="A83" s="75" t="s">
        <v>74</v>
      </c>
      <c r="B83" s="69">
        <v>4478644.87</v>
      </c>
      <c r="C83" s="69">
        <v>3338740</v>
      </c>
      <c r="D83" s="69">
        <v>3691764</v>
      </c>
      <c r="E83" s="74">
        <f t="shared" si="9"/>
        <v>353024</v>
      </c>
      <c r="F83" s="70">
        <f t="shared" si="8"/>
        <v>0.10573569669995268</v>
      </c>
      <c r="G83" s="69">
        <v>3691764</v>
      </c>
      <c r="H83" s="227"/>
    </row>
    <row r="84" spans="1:8" ht="15" customHeight="1" x14ac:dyDescent="0.25">
      <c r="A84" s="75" t="s">
        <v>75</v>
      </c>
      <c r="B84" s="65">
        <v>844452.55999999994</v>
      </c>
      <c r="C84" s="65">
        <v>746770.49</v>
      </c>
      <c r="D84" s="65">
        <v>698152</v>
      </c>
      <c r="E84" s="74">
        <f t="shared" si="9"/>
        <v>-48618.489999999991</v>
      </c>
      <c r="F84" s="70">
        <f t="shared" si="8"/>
        <v>-6.5104996315534625E-2</v>
      </c>
      <c r="G84" s="65">
        <f>698152+18960.53</f>
        <v>717112.53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5345747.43</v>
      </c>
      <c r="C85" s="96">
        <f t="shared" ref="C85:D85" si="11">SUM(C82:C84)</f>
        <v>4105148.49</v>
      </c>
      <c r="D85" s="96">
        <f t="shared" si="11"/>
        <v>4405060</v>
      </c>
      <c r="E85" s="80">
        <f t="shared" si="9"/>
        <v>299911.50999999978</v>
      </c>
      <c r="F85" s="81">
        <f t="shared" si="8"/>
        <v>7.3057408454425904E-2</v>
      </c>
      <c r="G85" s="96">
        <f>SUM(G82:G84)</f>
        <v>4424020.53</v>
      </c>
      <c r="H85" s="228"/>
    </row>
    <row r="86" spans="1:8" ht="15" customHeight="1" x14ac:dyDescent="0.25">
      <c r="A86" s="75" t="s">
        <v>77</v>
      </c>
      <c r="B86" s="65">
        <v>48693.36</v>
      </c>
      <c r="C86" s="65">
        <v>22489</v>
      </c>
      <c r="D86" s="65">
        <v>21551</v>
      </c>
      <c r="E86" s="74">
        <f t="shared" si="9"/>
        <v>-938</v>
      </c>
      <c r="F86" s="70">
        <f t="shared" si="8"/>
        <v>-4.1709280092489663E-2</v>
      </c>
      <c r="G86" s="65">
        <v>21551</v>
      </c>
      <c r="H86" s="227"/>
    </row>
    <row r="87" spans="1:8" ht="15" customHeight="1" x14ac:dyDescent="0.25">
      <c r="A87" s="75" t="s">
        <v>78</v>
      </c>
      <c r="B87" s="74">
        <v>13295.619999999999</v>
      </c>
      <c r="C87" s="74">
        <v>52516</v>
      </c>
      <c r="D87" s="74">
        <v>50572</v>
      </c>
      <c r="E87" s="74">
        <f t="shared" si="9"/>
        <v>-1944</v>
      </c>
      <c r="F87" s="70">
        <f t="shared" si="8"/>
        <v>-3.7017289968771419E-2</v>
      </c>
      <c r="G87" s="74">
        <v>50572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9"/>
        <v>0</v>
      </c>
      <c r="F88" s="70">
        <f t="shared" si="8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-400000</v>
      </c>
      <c r="C89" s="74">
        <v>0</v>
      </c>
      <c r="D89" s="74">
        <v>0</v>
      </c>
      <c r="E89" s="74">
        <f t="shared" si="9"/>
        <v>0</v>
      </c>
      <c r="F89" s="70">
        <f t="shared" si="8"/>
        <v>0</v>
      </c>
      <c r="G89" s="74">
        <v>0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-338011.02</v>
      </c>
      <c r="C90" s="80">
        <f t="shared" ref="C90:D90" si="12">SUM(C86:C89)</f>
        <v>75005</v>
      </c>
      <c r="D90" s="80">
        <f t="shared" si="12"/>
        <v>72123</v>
      </c>
      <c r="E90" s="80">
        <f t="shared" si="9"/>
        <v>-2882</v>
      </c>
      <c r="F90" s="81">
        <f t="shared" si="8"/>
        <v>-3.8424105059662692E-2</v>
      </c>
      <c r="G90" s="80">
        <f>SUM(G86:G89)</f>
        <v>72123</v>
      </c>
      <c r="H90" s="228"/>
    </row>
    <row r="91" spans="1:8" ht="15" customHeight="1" x14ac:dyDescent="0.25">
      <c r="A91" s="75" t="s">
        <v>82</v>
      </c>
      <c r="B91" s="74">
        <v>0</v>
      </c>
      <c r="C91" s="74">
        <v>0</v>
      </c>
      <c r="D91" s="74">
        <v>0</v>
      </c>
      <c r="E91" s="74">
        <f t="shared" si="9"/>
        <v>0</v>
      </c>
      <c r="F91" s="70">
        <f t="shared" si="8"/>
        <v>0</v>
      </c>
      <c r="G91" s="74">
        <v>2649.96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9"/>
        <v>0</v>
      </c>
      <c r="F92" s="70">
        <f t="shared" si="8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35050.9</v>
      </c>
      <c r="C93" s="74">
        <v>12851</v>
      </c>
      <c r="D93" s="74">
        <v>11384</v>
      </c>
      <c r="E93" s="74">
        <f t="shared" si="9"/>
        <v>-1467</v>
      </c>
      <c r="F93" s="70">
        <f t="shared" si="8"/>
        <v>-0.11415454050268461</v>
      </c>
      <c r="G93" s="74">
        <v>11384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35050.9</v>
      </c>
      <c r="C94" s="96">
        <f t="shared" ref="C94:D94" si="13">SUM(C91:C93)</f>
        <v>12851</v>
      </c>
      <c r="D94" s="96">
        <f t="shared" si="13"/>
        <v>11384</v>
      </c>
      <c r="E94" s="80">
        <f t="shared" si="9"/>
        <v>-1467</v>
      </c>
      <c r="F94" s="81">
        <f t="shared" si="8"/>
        <v>-0.11415454050268461</v>
      </c>
      <c r="G94" s="96">
        <f>SUM(G91:G93)</f>
        <v>14033.96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9"/>
        <v>0</v>
      </c>
      <c r="F95" s="70">
        <f t="shared" si="8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21157435.399999999</v>
      </c>
      <c r="C96" s="196">
        <f>SUM(C81,C85,C90,C94,C95)</f>
        <v>20455056.380000003</v>
      </c>
      <c r="D96" s="196">
        <f>SUM(D81,D85,D90,D94,D95)</f>
        <v>18736766</v>
      </c>
      <c r="E96" s="196">
        <f>D96-C96</f>
        <v>-1718290.3800000027</v>
      </c>
      <c r="F96" s="198">
        <f t="shared" si="8"/>
        <v>-8.4003209185972552E-2</v>
      </c>
      <c r="G96" s="196">
        <f>SUM(G81,G85,G90,G94,G95)</f>
        <v>21654005.730000004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theme="8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3.7109375" style="12" customWidth="1"/>
    <col min="5" max="5" width="23.7109375" style="2" customWidth="1"/>
    <col min="6" max="6" width="23.7109375" style="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5"/>
      <c r="D1" s="32" t="s">
        <v>1</v>
      </c>
      <c r="E1" s="29" t="s">
        <v>88</v>
      </c>
      <c r="F1" s="40"/>
    </row>
    <row r="2" spans="1:9" ht="19.5" customHeight="1" thickBot="1" x14ac:dyDescent="0.35">
      <c r="A2" s="30" t="s">
        <v>2</v>
      </c>
      <c r="B2" s="31"/>
      <c r="C2" s="36"/>
      <c r="D2" s="31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303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SUBoard!B8+SUBR!B8+SUNO!B8+SUSLA!B8+SULaw!B8+SUAg!B8</f>
        <v>45838434</v>
      </c>
      <c r="C8" s="69">
        <f>SUBoard!C8+SUBR!C8+SUNO!C8+SUSLA!C8+SULaw!C8+SUAg!C8</f>
        <v>45838434</v>
      </c>
      <c r="D8" s="69">
        <f>SUBoard!D8+SUBR!D8+SUNO!D8+SUSLA!D8+SULaw!D8+SUAg!D8-0.13</f>
        <v>43442283.869999997</v>
      </c>
      <c r="E8" s="69">
        <f>D8-C8</f>
        <v>-2396150.1300000027</v>
      </c>
      <c r="F8" s="70">
        <f t="shared" ref="F8:F31" si="0">IF(ISBLANK(E8),"  ",IF(C8&gt;0,E8/C8,IF(E8&gt;0,1,0)))</f>
        <v>-5.2273821788938135E-2</v>
      </c>
      <c r="G8" s="69">
        <f>SUBoard!G8+SUBR!G8+SUNO!G8+SUSLA!G8+SULaw!G8+SUAg!G8-0.13</f>
        <v>43442283.869999997</v>
      </c>
      <c r="H8" s="227"/>
    </row>
    <row r="9" spans="1:9" ht="15" customHeight="1" x14ac:dyDescent="0.25">
      <c r="A9" s="68" t="s">
        <v>13</v>
      </c>
      <c r="B9" s="69">
        <f>SUBoard!B9+SUBR!B9+SUNO!B9+SUSLA!B9+SULaw!B9+SUAg!B9</f>
        <v>0</v>
      </c>
      <c r="C9" s="69">
        <f>SUBoard!C9+SUBR!C9+SUNO!C9+SUSLA!C9+SULaw!C9+SUAg!C9</f>
        <v>0</v>
      </c>
      <c r="D9" s="69">
        <f>SUBoard!D9+SUBR!D9+SUNO!D9+SUSLA!D9+SULaw!D9+SUAg!D9</f>
        <v>0</v>
      </c>
      <c r="E9" s="69">
        <f>D9-C9</f>
        <v>0</v>
      </c>
      <c r="F9" s="70">
        <f t="shared" si="0"/>
        <v>0</v>
      </c>
      <c r="G9" s="69">
        <f>SUBoard!G9+SUBR!G9+SUNO!G9+SUSLA!G9+SULaw!G9+SUAg!G9</f>
        <v>0</v>
      </c>
      <c r="H9" s="227"/>
    </row>
    <row r="10" spans="1:9" ht="15" customHeight="1" x14ac:dyDescent="0.25">
      <c r="A10" s="71" t="s">
        <v>14</v>
      </c>
      <c r="B10" s="69">
        <f>SUBoard!B10+SUBR!B10+SUNO!B10+SUSLA!B10+SULaw!B10+SUAg!B10</f>
        <v>4117505.67</v>
      </c>
      <c r="C10" s="69">
        <f>SUBoard!C10+SUBR!C10+SUNO!C10+SUSLA!C10+SULaw!C10+SUAg!C10</f>
        <v>4633597</v>
      </c>
      <c r="D10" s="69">
        <f>SUBoard!D10+SUBR!D10+SUNO!D10+SUSLA!D10+SULaw!D10+SUAg!D10</f>
        <v>4228516</v>
      </c>
      <c r="E10" s="69">
        <f t="shared" ref="E10:E31" si="1">D10-C10</f>
        <v>-405081</v>
      </c>
      <c r="F10" s="70">
        <f t="shared" si="0"/>
        <v>-8.7422579046041338E-2</v>
      </c>
      <c r="G10" s="69">
        <f>SUBoard!G10+SUBR!G10+SUNO!G10+SUSLA!G10+SULaw!G10+SUAg!G10</f>
        <v>4228516</v>
      </c>
      <c r="H10" s="227"/>
    </row>
    <row r="11" spans="1:9" ht="15" customHeight="1" x14ac:dyDescent="0.25">
      <c r="A11" s="73" t="s">
        <v>15</v>
      </c>
      <c r="B11" s="69">
        <f>SUBoard!B11+SUBR!B11+SUNO!B11+SUSLA!B11+SULaw!B11+SUAg!B11</f>
        <v>0</v>
      </c>
      <c r="C11" s="69">
        <f>SUBoard!C11+SUBR!C11+SUNO!C11+SUSLA!C11+SULaw!C11+SUAg!C11</f>
        <v>0</v>
      </c>
      <c r="D11" s="69">
        <f>SUBoard!D11+SUBR!D11+SUNO!D11+SUSLA!D11+SULaw!D11+SUAg!D11</f>
        <v>0</v>
      </c>
      <c r="E11" s="69">
        <f t="shared" si="1"/>
        <v>0</v>
      </c>
      <c r="F11" s="70">
        <f t="shared" si="0"/>
        <v>0</v>
      </c>
      <c r="G11" s="69">
        <f>SUBoard!G11+SUBR!G11+SUNO!G11+SUSLA!G11+SULaw!G11+SUAg!G11</f>
        <v>0</v>
      </c>
      <c r="H11" s="227"/>
    </row>
    <row r="12" spans="1:9" ht="15" customHeight="1" x14ac:dyDescent="0.25">
      <c r="A12" s="75" t="s">
        <v>16</v>
      </c>
      <c r="B12" s="69">
        <f>SUBoard!B12+SUBR!B12+SUNO!B12+SUSLA!B12+SULaw!B12+SUAg!B12</f>
        <v>2377218.0799999996</v>
      </c>
      <c r="C12" s="69">
        <f>SUBoard!C12+SUBR!C12+SUNO!C12+SUSLA!C12+SULaw!C12+SUAg!C12</f>
        <v>2824272</v>
      </c>
      <c r="D12" s="69">
        <f>SUBoard!D12+SUBR!D12+SUNO!D12+SUSLA!D12+SULaw!D12+SUAg!D12</f>
        <v>2428516</v>
      </c>
      <c r="E12" s="69">
        <f t="shared" si="1"/>
        <v>-395756</v>
      </c>
      <c r="F12" s="70">
        <f t="shared" si="0"/>
        <v>-0.14012673000334244</v>
      </c>
      <c r="G12" s="69">
        <f>SUBoard!G12+SUBR!G12+SUNO!G12+SUSLA!G12+SULaw!G12+SUAg!G12</f>
        <v>2428516</v>
      </c>
      <c r="H12" s="227"/>
    </row>
    <row r="13" spans="1:9" ht="15" customHeight="1" x14ac:dyDescent="0.25">
      <c r="A13" s="75" t="s">
        <v>17</v>
      </c>
      <c r="B13" s="69">
        <f>SUBoard!B13+SUBR!B13+SUNO!B13+SUSLA!B13+SULaw!B13+SUAg!B13</f>
        <v>930962.76</v>
      </c>
      <c r="C13" s="69">
        <f>SUBoard!C13+SUBR!C13+SUNO!C13+SUSLA!C13+SULaw!C13+SUAg!C13</f>
        <v>1000000</v>
      </c>
      <c r="D13" s="69">
        <f>SUBoard!D13+SUBR!D13+SUNO!D13+SUSLA!D13+SULaw!D13+SUAg!D13</f>
        <v>1000000</v>
      </c>
      <c r="E13" s="69">
        <f t="shared" si="1"/>
        <v>0</v>
      </c>
      <c r="F13" s="70">
        <f t="shared" si="0"/>
        <v>0</v>
      </c>
      <c r="G13" s="69">
        <f>SUBoard!G13+SUBR!G13+SUNO!G13+SUSLA!G13+SULaw!G13+SUAg!G13</f>
        <v>1000000</v>
      </c>
      <c r="H13" s="227"/>
    </row>
    <row r="14" spans="1:9" ht="15" customHeight="1" x14ac:dyDescent="0.25">
      <c r="A14" s="75" t="s">
        <v>18</v>
      </c>
      <c r="B14" s="69">
        <f>SUBoard!B14+SUBR!B14+SUNO!B14+SUSLA!B14+SULaw!B14+SUAg!B14</f>
        <v>0</v>
      </c>
      <c r="C14" s="69">
        <f>SUBoard!C14+SUBR!C14+SUNO!C14+SUSLA!C14+SULaw!C14+SUAg!C14</f>
        <v>0</v>
      </c>
      <c r="D14" s="69">
        <f>SUBoard!D14+SUBR!D14+SUNO!D14+SUSLA!D14+SULaw!D14+SUAg!D14</f>
        <v>0</v>
      </c>
      <c r="E14" s="69">
        <f t="shared" si="1"/>
        <v>0</v>
      </c>
      <c r="F14" s="70">
        <f t="shared" si="0"/>
        <v>0</v>
      </c>
      <c r="G14" s="69">
        <f>SUBoard!G14+SUBR!G14+SUNO!G14+SUSLA!G14+SULaw!G14+SUAg!G14</f>
        <v>0</v>
      </c>
      <c r="H14" s="227"/>
    </row>
    <row r="15" spans="1:9" ht="15" customHeight="1" x14ac:dyDescent="0.25">
      <c r="A15" s="75" t="s">
        <v>19</v>
      </c>
      <c r="B15" s="69">
        <f>SUBoard!B15+SUBR!B15+SUNO!B15+SUSLA!B15+SULaw!B15+SUAg!B15</f>
        <v>0</v>
      </c>
      <c r="C15" s="69">
        <f>SUBoard!C15+SUBR!C15+SUNO!C15+SUSLA!C15+SULaw!C15+SUAg!C15</f>
        <v>0</v>
      </c>
      <c r="D15" s="69">
        <f>SUBoard!D15+SUBR!D15+SUNO!D15+SUSLA!D15+SULaw!D15+SUAg!D15</f>
        <v>0</v>
      </c>
      <c r="E15" s="69">
        <f t="shared" si="1"/>
        <v>0</v>
      </c>
      <c r="F15" s="70">
        <f t="shared" si="0"/>
        <v>0</v>
      </c>
      <c r="G15" s="69">
        <f>SUBoard!G15+SUBR!G15+SUNO!G15+SUSLA!G15+SULaw!G15+SUAg!G15</f>
        <v>0</v>
      </c>
      <c r="H15" s="227"/>
    </row>
    <row r="16" spans="1:9" ht="15" customHeight="1" x14ac:dyDescent="0.25">
      <c r="A16" s="75" t="s">
        <v>20</v>
      </c>
      <c r="B16" s="69">
        <f>SUBoard!B16+SUBR!B16+SUNO!B16+SUSLA!B16+SULaw!B16+SUAg!B16</f>
        <v>50000</v>
      </c>
      <c r="C16" s="69">
        <f>SUBoard!C16+SUBR!C16+SUNO!C16+SUSLA!C16+SULaw!C16+SUAg!C16</f>
        <v>50000</v>
      </c>
      <c r="D16" s="69">
        <f>SUBoard!D16+SUBR!D16+SUNO!D16+SUSLA!D16+SULaw!D16+SUAg!D16</f>
        <v>50000</v>
      </c>
      <c r="E16" s="69">
        <f t="shared" si="1"/>
        <v>0</v>
      </c>
      <c r="F16" s="70">
        <f t="shared" si="0"/>
        <v>0</v>
      </c>
      <c r="G16" s="69">
        <f>SUBoard!G16+SUBR!G16+SUNO!G16+SUSLA!G16+SULaw!G16+SUAg!G16</f>
        <v>50000</v>
      </c>
      <c r="H16" s="227"/>
    </row>
    <row r="17" spans="1:8" ht="15" customHeight="1" x14ac:dyDescent="0.25">
      <c r="A17" s="75" t="s">
        <v>21</v>
      </c>
      <c r="B17" s="69">
        <f>SUBoard!B17+SUBR!B17+SUNO!B17+SUSLA!B17+SULaw!B17+SUAg!B17</f>
        <v>750000</v>
      </c>
      <c r="C17" s="69">
        <f>SUBoard!C17+SUBR!C17+SUNO!C17+SUSLA!C17+SULaw!C17+SUAg!C17</f>
        <v>750000</v>
      </c>
      <c r="D17" s="69">
        <f>SUBoard!D17+SUBR!D17+SUNO!D17+SUSLA!D17+SULaw!D17+SUAg!D17</f>
        <v>750000</v>
      </c>
      <c r="E17" s="69">
        <f t="shared" si="1"/>
        <v>0</v>
      </c>
      <c r="F17" s="70">
        <f t="shared" si="0"/>
        <v>0</v>
      </c>
      <c r="G17" s="69">
        <f>SUBoard!G17+SUBR!G17+SUNO!G17+SUSLA!G17+SULaw!G17+SUAg!G17</f>
        <v>750000</v>
      </c>
      <c r="H17" s="227"/>
    </row>
    <row r="18" spans="1:8" ht="15" customHeight="1" x14ac:dyDescent="0.25">
      <c r="A18" s="75" t="s">
        <v>22</v>
      </c>
      <c r="B18" s="69">
        <f>SUBoard!B18+SUBR!B18+SUNO!B18+SUSLA!B18+SULaw!B18+SUAg!B18</f>
        <v>0</v>
      </c>
      <c r="C18" s="69">
        <f>SUBoard!C18+SUBR!C18+SUNO!C18+SUSLA!C18+SULaw!C18+SUAg!C18</f>
        <v>0</v>
      </c>
      <c r="D18" s="69">
        <f>SUBoard!D18+SUBR!D18+SUNO!D18+SUSLA!D18+SULaw!D18+SUAg!D18</f>
        <v>0</v>
      </c>
      <c r="E18" s="69">
        <f t="shared" si="1"/>
        <v>0</v>
      </c>
      <c r="F18" s="70">
        <f t="shared" si="0"/>
        <v>0</v>
      </c>
      <c r="G18" s="69">
        <f>SUBoard!G18+SUBR!G18+SUNO!G18+SUSLA!G18+SULaw!G18+SUAg!G18</f>
        <v>0</v>
      </c>
      <c r="H18" s="227"/>
    </row>
    <row r="19" spans="1:8" ht="15" customHeight="1" x14ac:dyDescent="0.25">
      <c r="A19" s="75" t="s">
        <v>23</v>
      </c>
      <c r="B19" s="69">
        <f>SUBoard!B19+SUBR!B19+SUNO!B19+SUSLA!B19+SULaw!B19+SUAg!B19</f>
        <v>0</v>
      </c>
      <c r="C19" s="69">
        <f>SUBoard!C19+SUBR!C19+SUNO!C19+SUSLA!C19+SULaw!C19+SUAg!C19</f>
        <v>0</v>
      </c>
      <c r="D19" s="69">
        <f>SUBoard!D19+SUBR!D19+SUNO!D19+SUSLA!D19+SULaw!D19+SUAg!D19</f>
        <v>0</v>
      </c>
      <c r="E19" s="69">
        <f t="shared" si="1"/>
        <v>0</v>
      </c>
      <c r="F19" s="70">
        <f t="shared" si="0"/>
        <v>0</v>
      </c>
      <c r="G19" s="69">
        <f>SUBoard!G19+SUBR!G19+SUNO!G19+SUSLA!G19+SULaw!G19+SUAg!G19</f>
        <v>0</v>
      </c>
      <c r="H19" s="227"/>
    </row>
    <row r="20" spans="1:8" ht="15" customHeight="1" x14ac:dyDescent="0.25">
      <c r="A20" s="75" t="s">
        <v>24</v>
      </c>
      <c r="B20" s="69">
        <f>SUBoard!B20+SUBR!B20+SUNO!B20+SUSLA!B20+SULaw!B20+SUAg!B20</f>
        <v>0</v>
      </c>
      <c r="C20" s="69">
        <f>SUBoard!C20+SUBR!C20+SUNO!C20+SUSLA!C20+SULaw!C20+SUAg!C20</f>
        <v>0</v>
      </c>
      <c r="D20" s="69">
        <f>SUBoard!D20+SUBR!D20+SUNO!D20+SUSLA!D20+SULaw!D20+SUAg!D20</f>
        <v>0</v>
      </c>
      <c r="E20" s="69">
        <f t="shared" si="1"/>
        <v>0</v>
      </c>
      <c r="F20" s="70">
        <f t="shared" si="0"/>
        <v>0</v>
      </c>
      <c r="G20" s="69">
        <f>SUBoard!G20+SUBR!G20+SUNO!G20+SUSLA!G20+SULaw!G20+SUAg!G20</f>
        <v>0</v>
      </c>
      <c r="H20" s="227"/>
    </row>
    <row r="21" spans="1:8" ht="15" customHeight="1" x14ac:dyDescent="0.25">
      <c r="A21" s="75" t="s">
        <v>25</v>
      </c>
      <c r="B21" s="69">
        <f>SUBoard!B21+SUBR!B21+SUNO!B21+SUSLA!B21+SULaw!B21+SUAg!B21</f>
        <v>0</v>
      </c>
      <c r="C21" s="69">
        <f>SUBoard!C21+SUBR!C21+SUNO!C21+SUSLA!C21+SULaw!C21+SUAg!C21</f>
        <v>0</v>
      </c>
      <c r="D21" s="69">
        <f>SUBoard!D21+SUBR!D21+SUNO!D21+SUSLA!D21+SULaw!D21+SUAg!D21</f>
        <v>0</v>
      </c>
      <c r="E21" s="69">
        <f t="shared" si="1"/>
        <v>0</v>
      </c>
      <c r="F21" s="70">
        <f t="shared" si="0"/>
        <v>0</v>
      </c>
      <c r="G21" s="69">
        <f>SUBoard!G21+SUBR!G21+SUNO!G21+SUSLA!G21+SULaw!G21+SUAg!G21</f>
        <v>0</v>
      </c>
      <c r="H21" s="227"/>
    </row>
    <row r="22" spans="1:8" ht="15" customHeight="1" x14ac:dyDescent="0.25">
      <c r="A22" s="75" t="s">
        <v>26</v>
      </c>
      <c r="B22" s="69">
        <f>SUBoard!B22+SUBR!B22+SUNO!B22+SUSLA!B22+SULaw!B22+SUAg!B22</f>
        <v>0</v>
      </c>
      <c r="C22" s="69">
        <f>SUBoard!C22+SUBR!C22+SUNO!C22+SUSLA!C22+SULaw!C22+SUAg!C22</f>
        <v>0</v>
      </c>
      <c r="D22" s="69">
        <f>SUBoard!D22+SUBR!D22+SUNO!D22+SUSLA!D22+SULaw!D22+SUAg!D22</f>
        <v>0</v>
      </c>
      <c r="E22" s="69">
        <f t="shared" si="1"/>
        <v>0</v>
      </c>
      <c r="F22" s="70">
        <f t="shared" si="0"/>
        <v>0</v>
      </c>
      <c r="G22" s="69">
        <f>SUBoard!G22+SUBR!G22+SUNO!G22+SUSLA!G22+SULaw!G22+SUAg!G22</f>
        <v>0</v>
      </c>
      <c r="H22" s="227"/>
    </row>
    <row r="23" spans="1:8" ht="15" customHeight="1" x14ac:dyDescent="0.25">
      <c r="A23" s="76" t="s">
        <v>27</v>
      </c>
      <c r="B23" s="69">
        <f>SUBoard!B23+SUBR!B23+SUNO!B23+SUSLA!B23+SULaw!B23+SUAg!B23</f>
        <v>0</v>
      </c>
      <c r="C23" s="69">
        <f>SUBoard!C23+SUBR!C23+SUNO!C23+SUSLA!C23+SULaw!C23+SUAg!C23</f>
        <v>0</v>
      </c>
      <c r="D23" s="69">
        <f>SUBoard!D23+SUBR!D23+SUNO!D23+SUSLA!D23+SULaw!D23+SUAg!D23</f>
        <v>0</v>
      </c>
      <c r="E23" s="69">
        <f t="shared" si="1"/>
        <v>0</v>
      </c>
      <c r="F23" s="70">
        <f t="shared" si="0"/>
        <v>0</v>
      </c>
      <c r="G23" s="69">
        <f>SUBoard!G23+SUBR!G23+SUNO!G23+SUSLA!G23+SULaw!G23+SUAg!G23</f>
        <v>0</v>
      </c>
      <c r="H23" s="227"/>
    </row>
    <row r="24" spans="1:8" ht="15" customHeight="1" x14ac:dyDescent="0.25">
      <c r="A24" s="76" t="s">
        <v>28</v>
      </c>
      <c r="B24" s="69">
        <f>SUBoard!B24+SUBR!B24+SUNO!B24+SUSLA!B24+SULaw!B24+SUAg!B24</f>
        <v>0</v>
      </c>
      <c r="C24" s="69">
        <f>SUBoard!C24+SUBR!C24+SUNO!C24+SUSLA!C24+SULaw!C24+SUAg!C24</f>
        <v>0</v>
      </c>
      <c r="D24" s="69">
        <f>SUBoard!D24+SUBR!D24+SUNO!D24+SUSLA!D24+SULaw!D24+SUAg!D24</f>
        <v>0</v>
      </c>
      <c r="E24" s="69">
        <f t="shared" si="1"/>
        <v>0</v>
      </c>
      <c r="F24" s="70">
        <f t="shared" si="0"/>
        <v>0</v>
      </c>
      <c r="G24" s="69">
        <f>SUBoard!G24+SUBR!G24+SUNO!G24+SUSLA!G24+SULaw!G24+SUAg!G24</f>
        <v>0</v>
      </c>
      <c r="H24" s="227"/>
    </row>
    <row r="25" spans="1:8" ht="15" customHeight="1" x14ac:dyDescent="0.25">
      <c r="A25" s="76" t="s">
        <v>29</v>
      </c>
      <c r="B25" s="69">
        <f>SUBoard!B25+SUBR!B25+SUNO!B25+SUSLA!B25+SULaw!B25+SUAg!B25</f>
        <v>0</v>
      </c>
      <c r="C25" s="69">
        <f>SUBoard!C25+SUBR!C25+SUNO!C25+SUSLA!C25+SULaw!C25+SUAg!C25</f>
        <v>0</v>
      </c>
      <c r="D25" s="69">
        <f>SUBoard!D25+SUBR!D25+SUNO!D25+SUSLA!D25+SULaw!D25+SUAg!D25</f>
        <v>0</v>
      </c>
      <c r="E25" s="69">
        <f t="shared" si="1"/>
        <v>0</v>
      </c>
      <c r="F25" s="70">
        <f t="shared" si="0"/>
        <v>0</v>
      </c>
      <c r="G25" s="69">
        <f>SUBoard!G25+SUBR!G25+SUNO!G25+SUSLA!G25+SULaw!G25+SUAg!G25</f>
        <v>0</v>
      </c>
      <c r="H25" s="227"/>
    </row>
    <row r="26" spans="1:8" ht="15" customHeight="1" x14ac:dyDescent="0.25">
      <c r="A26" s="76" t="s">
        <v>30</v>
      </c>
      <c r="B26" s="69">
        <f>SUBoard!B26+SUBR!B26+SUNO!B26+SUSLA!B26+SULaw!B26+SUAg!B26</f>
        <v>0</v>
      </c>
      <c r="C26" s="69">
        <f>SUBoard!C26+SUBR!C26+SUNO!C26+SUSLA!C26+SULaw!C26+SUAg!C26</f>
        <v>0</v>
      </c>
      <c r="D26" s="69">
        <f>SUBoard!D26+SUBR!D26+SUNO!D26+SUSLA!D26+SULaw!D26+SUAg!D26</f>
        <v>0</v>
      </c>
      <c r="E26" s="69">
        <f t="shared" si="1"/>
        <v>0</v>
      </c>
      <c r="F26" s="70">
        <f t="shared" si="0"/>
        <v>0</v>
      </c>
      <c r="G26" s="69">
        <f>SUBoard!G26+SUBR!G26+SUNO!G26+SUSLA!G26+SULaw!G26+SUAg!G26</f>
        <v>0</v>
      </c>
      <c r="H26" s="227"/>
    </row>
    <row r="27" spans="1:8" ht="15" customHeight="1" x14ac:dyDescent="0.25">
      <c r="A27" s="76" t="s">
        <v>31</v>
      </c>
      <c r="B27" s="69">
        <f>SUBoard!B27+SUBR!B27+SUNO!B27+SUSLA!B27+SULaw!B27+SUAg!B27</f>
        <v>0</v>
      </c>
      <c r="C27" s="69">
        <f>SUBoard!C27+SUBR!C27+SUNO!C27+SUSLA!C27+SULaw!C27+SUAg!C27</f>
        <v>0</v>
      </c>
      <c r="D27" s="69">
        <f>SUBoard!D27+SUBR!D27+SUNO!D27+SUSLA!D27+SULaw!D27+SUAg!D27</f>
        <v>0</v>
      </c>
      <c r="E27" s="69">
        <f t="shared" si="1"/>
        <v>0</v>
      </c>
      <c r="F27" s="70">
        <f t="shared" si="0"/>
        <v>0</v>
      </c>
      <c r="G27" s="69">
        <f>SUBoard!G27+SUBR!G27+SUNO!G27+SUSLA!G27+SULaw!G27+SUAg!G27</f>
        <v>0</v>
      </c>
      <c r="H27" s="227"/>
    </row>
    <row r="28" spans="1:8" ht="15" customHeight="1" x14ac:dyDescent="0.25">
      <c r="A28" s="76" t="s">
        <v>87</v>
      </c>
      <c r="B28" s="69">
        <f>SUBoard!B28+SUBR!B28+SUNO!B28+SUSLA!B28+SULaw!B28+SUAg!B28</f>
        <v>0</v>
      </c>
      <c r="C28" s="69">
        <f>SUBoard!C28+SUBR!C28+SUNO!C28+SUSLA!C28+SULaw!C28+SUAg!C28</f>
        <v>0</v>
      </c>
      <c r="D28" s="69">
        <f>SUBoard!D28+SUBR!D28+SUNO!D28+SUSLA!D28+SULaw!D28+SUAg!D28</f>
        <v>0</v>
      </c>
      <c r="E28" s="69">
        <f t="shared" si="1"/>
        <v>0</v>
      </c>
      <c r="F28" s="70">
        <f t="shared" si="0"/>
        <v>0</v>
      </c>
      <c r="G28" s="69">
        <f>SUBoard!G28+SUBR!G28+SUNO!G28+SUSLA!G28+SULaw!G28+SUAg!G28</f>
        <v>0</v>
      </c>
      <c r="H28" s="227"/>
    </row>
    <row r="29" spans="1:8" ht="15" customHeight="1" x14ac:dyDescent="0.25">
      <c r="A29" s="76" t="s">
        <v>32</v>
      </c>
      <c r="B29" s="69">
        <f>SUBoard!B29+SUBR!B29+SUNO!B29+SUSLA!B29+SULaw!B29+SUAg!B29</f>
        <v>0</v>
      </c>
      <c r="C29" s="69">
        <f>SUBoard!C29+SUBR!C29+SUNO!C29+SUSLA!C29+SULaw!C29+SUAg!C29</f>
        <v>0</v>
      </c>
      <c r="D29" s="69">
        <f>SUBoard!D29+SUBR!D29+SUNO!D29+SUSLA!D29+SULaw!D29+SUAg!D29</f>
        <v>0</v>
      </c>
      <c r="E29" s="69">
        <f t="shared" si="1"/>
        <v>0</v>
      </c>
      <c r="F29" s="70">
        <f t="shared" si="0"/>
        <v>0</v>
      </c>
      <c r="G29" s="69">
        <f>SUBoard!G29+SUBR!G29+SUNO!G29+SUSLA!G29+SULaw!G29+SUAg!G29</f>
        <v>0</v>
      </c>
      <c r="H29" s="227"/>
    </row>
    <row r="30" spans="1:8" ht="15" customHeight="1" x14ac:dyDescent="0.25">
      <c r="A30" s="217" t="s">
        <v>201</v>
      </c>
      <c r="B30" s="69">
        <f>SUBoard!B30+SUBR!B30+SUNO!B30+SUSLA!B30+SULaw!B30+SUAg!B30</f>
        <v>9325</v>
      </c>
      <c r="C30" s="69">
        <f>SUBoard!C30+SUBR!C30+SUNO!C30+SUSLA!C30+SULaw!C30+SUAg!C30</f>
        <v>9325</v>
      </c>
      <c r="D30" s="69">
        <f>SUBoard!D30+SUBR!D30+SUNO!D30+SUSLA!D30+SULaw!D30+SUAg!D30</f>
        <v>0</v>
      </c>
      <c r="E30" s="69">
        <f t="shared" si="1"/>
        <v>-9325</v>
      </c>
      <c r="F30" s="70">
        <f t="shared" si="0"/>
        <v>-1</v>
      </c>
      <c r="G30" s="69">
        <f>SUBoard!G30+SUBR!G30+SUNO!G30+SUSLA!G30+SULaw!G30+SUAg!G30</f>
        <v>0</v>
      </c>
      <c r="H30" s="227"/>
    </row>
    <row r="31" spans="1:8" ht="15" customHeight="1" x14ac:dyDescent="0.25">
      <c r="A31" s="76" t="s">
        <v>202</v>
      </c>
      <c r="B31" s="69">
        <f>SUBoard!B31+SUBR!B31+SUNO!B31+SUSLA!B31+SULaw!B31+SUAg!B31</f>
        <v>0</v>
      </c>
      <c r="C31" s="69">
        <f>SUBoard!C31+SUBR!C31+SUNO!C31+SUSLA!C31+SULaw!C31+SUAg!C31</f>
        <v>0</v>
      </c>
      <c r="D31" s="69">
        <f>SUBoard!D31+SUBR!D31+SUNO!D31+SUSLA!D31+SULaw!D31+SUAg!D31</f>
        <v>0</v>
      </c>
      <c r="E31" s="69">
        <f t="shared" si="1"/>
        <v>0</v>
      </c>
      <c r="F31" s="70">
        <f t="shared" si="0"/>
        <v>0</v>
      </c>
      <c r="G31" s="69">
        <f>SUBoard!G31+SUBR!G31+SUNO!G31+SUSLA!G31+SULaw!G31+SUAg!G31</f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f>SUBoard!B33+SUBR!B33+SUNO!B33+SUSLA!B33+SULaw!B33+SUAg!B33</f>
        <v>0</v>
      </c>
      <c r="C33" s="69">
        <f>SUBoard!C33+SUBR!C33+SUNO!C33+SUSLA!C33+SULaw!C33+SUAg!C33</f>
        <v>0</v>
      </c>
      <c r="D33" s="69">
        <f>SUBoard!D33+SUBR!D33+SUNO!D33+SUSLA!D33+SULaw!D33+SUAg!D33</f>
        <v>0</v>
      </c>
      <c r="E33" s="69">
        <f>D33-C33</f>
        <v>0</v>
      </c>
      <c r="F33" s="70">
        <f>IF(ISBLANK(E33),"  ",IF(C33&gt;0,E33/C33,IF(E33&gt;0,1,0)))</f>
        <v>0</v>
      </c>
      <c r="G33" s="69">
        <f>SUBoard!G33+SUBR!G33+SUNO!G33+SUSLA!G33+SULaw!G33+SUAg!G33</f>
        <v>0</v>
      </c>
      <c r="H33" s="227"/>
      <c r="I33" s="139" t="s">
        <v>46</v>
      </c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9">
        <f>SUBoard!B35+SUBR!B35+SUNO!B35+SUSLA!B35+SULaw!B35+SUAg!B35</f>
        <v>0</v>
      </c>
      <c r="C35" s="69">
        <f>SUBoard!C35+SUBR!C35+SUNO!C35+SUSLA!C35+SULaw!C35+SUAg!C35</f>
        <v>0</v>
      </c>
      <c r="D35" s="69">
        <f>SUBoard!D35+SUBR!D35+SUNO!D35+SUSLA!D35+SULaw!D35+SUAg!D35</f>
        <v>0</v>
      </c>
      <c r="E35" s="69">
        <f>D35-C35</f>
        <v>0</v>
      </c>
      <c r="F35" s="70">
        <f>IF(ISBLANK(E35),"  ",IF(C35&gt;0,E35/C35,IF(E35&gt;0,1,0)))</f>
        <v>0</v>
      </c>
      <c r="G35" s="69">
        <f>SUBoard!G35+SUBR!G35+SUNO!G35+SUSLA!G35+SULaw!G35+SUAg!G35</f>
        <v>0</v>
      </c>
      <c r="H35" s="227"/>
    </row>
    <row r="36" spans="1:13" ht="15" customHeight="1" x14ac:dyDescent="0.25">
      <c r="A36" s="75" t="s">
        <v>36</v>
      </c>
      <c r="B36" s="112"/>
      <c r="C36" s="112"/>
      <c r="D36" s="112"/>
      <c r="E36" s="72"/>
      <c r="F36" s="70" t="s">
        <v>37</v>
      </c>
      <c r="G36" s="112"/>
      <c r="H36" s="227"/>
      <c r="I36" s="139" t="s">
        <v>46</v>
      </c>
    </row>
    <row r="37" spans="1:13" s="124" customFormat="1" ht="15" customHeight="1" x14ac:dyDescent="0.25">
      <c r="A37" s="79" t="s">
        <v>38</v>
      </c>
      <c r="B37" s="87">
        <f>SUBoard!B37+SUBR!B37+SUNO!B37+SUSLA!B37+SULaw!B37+SUAg!B37</f>
        <v>49955939.669999994</v>
      </c>
      <c r="C37" s="87">
        <f>SUBoard!C37+SUBR!C37+SUNO!C37+SUSLA!C37+SULaw!C37+SUAg!C37</f>
        <v>50472031</v>
      </c>
      <c r="D37" s="87">
        <f>SUBoard!D37+SUBR!D37+SUNO!D37+SUSLA!D37+SULaw!D37+SUAg!D37-0.13</f>
        <v>47670799.869999997</v>
      </c>
      <c r="E37" s="87">
        <f>D37-C37</f>
        <v>-2801231.1300000027</v>
      </c>
      <c r="F37" s="81">
        <f>IF(ISBLANK(E37),"  ",IF(C37&gt;0,E37/C37,IF(E37&gt;0,1,0)))</f>
        <v>-5.5500661940867856E-2</v>
      </c>
      <c r="G37" s="87">
        <f>SUBoard!G37+SUBR!G37+SUNO!G37+SUSLA!G37+SULaw!G37+SUAg!G37-0.13</f>
        <v>47670799.869999997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f>SUBoard!B39+SUBR!B39+SUNO!B39+SUSLA!B39+SULaw!B39+SUAg!B39</f>
        <v>0</v>
      </c>
      <c r="C39" s="69">
        <f>SUBoard!C39+SUBR!C39+SUNO!C39+SUSLA!C39+SULaw!C39+SUAg!C39</f>
        <v>0</v>
      </c>
      <c r="D39" s="69">
        <f>SUBoard!D39+SUBR!D39+SUNO!D39+SUSLA!D39+SULaw!D39+SUAg!D39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SUBoard!G39+SUBR!G39+SUNO!G39+SUSLA!G39+SULaw!G39+SUAg!G39</f>
        <v>0</v>
      </c>
      <c r="H39" s="227"/>
    </row>
    <row r="40" spans="1:13" ht="15" customHeight="1" x14ac:dyDescent="0.25">
      <c r="A40" s="83" t="s">
        <v>41</v>
      </c>
      <c r="B40" s="69">
        <f>SUBoard!B40+SUBR!B40+SUNO!B40+SUSLA!B40+SULaw!B40+SUAg!B40</f>
        <v>0</v>
      </c>
      <c r="C40" s="69">
        <f>SUBoard!C40+SUBR!C40+SUNO!C40+SUSLA!C40+SULaw!C40+SUAg!C40</f>
        <v>0</v>
      </c>
      <c r="D40" s="69">
        <f>SUBoard!D40+SUBR!D40+SUNO!D40+SUSLA!D40+SULaw!D40+SUAg!D40</f>
        <v>0</v>
      </c>
      <c r="E40" s="69">
        <f>D40-C40</f>
        <v>0</v>
      </c>
      <c r="F40" s="70">
        <f t="shared" si="2"/>
        <v>0</v>
      </c>
      <c r="G40" s="69">
        <f>SUBoard!G40+SUBR!G40+SUNO!G40+SUSLA!G40+SULaw!G40+SUAg!G40</f>
        <v>0</v>
      </c>
      <c r="H40" s="227"/>
    </row>
    <row r="41" spans="1:13" ht="15" customHeight="1" x14ac:dyDescent="0.25">
      <c r="A41" s="83" t="s">
        <v>42</v>
      </c>
      <c r="B41" s="69">
        <f>SUBoard!B41+SUBR!B41+SUNO!B41+SUSLA!B41+SULaw!B41+SUAg!B41</f>
        <v>0</v>
      </c>
      <c r="C41" s="69">
        <f>SUBoard!C41+SUBR!C41+SUNO!C41+SUSLA!C41+SULaw!C41+SUAg!C41</f>
        <v>0</v>
      </c>
      <c r="D41" s="69">
        <f>SUBoard!D41+SUBR!D41+SUNO!D41+SUSLA!D41+SULaw!D41+SUAg!D41</f>
        <v>0</v>
      </c>
      <c r="E41" s="69">
        <f t="shared" ref="E41:E44" si="3">D41-C41</f>
        <v>0</v>
      </c>
      <c r="F41" s="70">
        <f t="shared" si="2"/>
        <v>0</v>
      </c>
      <c r="G41" s="69">
        <f>SUBoard!G41+SUBR!G41+SUNO!G41+SUSLA!G41+SULaw!G41+SUAg!G41</f>
        <v>0</v>
      </c>
      <c r="H41" s="227"/>
    </row>
    <row r="42" spans="1:13" ht="15" customHeight="1" x14ac:dyDescent="0.25">
      <c r="A42" s="83" t="s">
        <v>43</v>
      </c>
      <c r="B42" s="69">
        <f>SUBoard!B42+SUBR!B42+SUNO!B42+SUSLA!B42+SULaw!B42+SUAg!B42</f>
        <v>0</v>
      </c>
      <c r="C42" s="69">
        <f>SUBoard!C42+SUBR!C42+SUNO!C42+SUSLA!C42+SULaw!C42+SUAg!C42</f>
        <v>0</v>
      </c>
      <c r="D42" s="69">
        <f>SUBoard!D42+SUBR!D42+SUNO!D42+SUSLA!D42+SULaw!D42+SUAg!D42</f>
        <v>0</v>
      </c>
      <c r="E42" s="69">
        <f t="shared" si="3"/>
        <v>0</v>
      </c>
      <c r="F42" s="70">
        <f t="shared" si="2"/>
        <v>0</v>
      </c>
      <c r="G42" s="69">
        <f>SUBoard!G42+SUBR!G42+SUNO!G42+SUSLA!G42+SULaw!G42+SUAg!G42</f>
        <v>0</v>
      </c>
      <c r="H42" s="227"/>
    </row>
    <row r="43" spans="1:13" ht="15" customHeight="1" x14ac:dyDescent="0.25">
      <c r="A43" s="84" t="s">
        <v>44</v>
      </c>
      <c r="B43" s="69">
        <f>SUBoard!B43+SUBR!B43+SUNO!B43+SUSLA!B43+SULaw!B43+SUAg!B43</f>
        <v>0</v>
      </c>
      <c r="C43" s="69">
        <f>SUBoard!C43+SUBR!C43+SUNO!C43+SUSLA!C43+SULaw!C43+SUAg!C43</f>
        <v>0</v>
      </c>
      <c r="D43" s="69">
        <f>SUBoard!D43+SUBR!D43+SUNO!D43+SUSLA!D43+SULaw!D43+SUAg!D43</f>
        <v>0</v>
      </c>
      <c r="E43" s="69">
        <f t="shared" si="3"/>
        <v>0</v>
      </c>
      <c r="F43" s="70">
        <f t="shared" si="2"/>
        <v>0</v>
      </c>
      <c r="G43" s="69">
        <f>SUBoard!G43+SUBR!G43+SUNO!G43+SUSLA!G43+SULaw!G43+SUAg!G43</f>
        <v>0</v>
      </c>
      <c r="H43" s="227"/>
    </row>
    <row r="44" spans="1:13" s="124" customFormat="1" ht="15" customHeight="1" x14ac:dyDescent="0.25">
      <c r="A44" s="77" t="s">
        <v>45</v>
      </c>
      <c r="B44" s="87">
        <f>SUBoard!B44+SUBR!B44+SUNO!B44+SUSLA!B44+SULaw!B44+SUAg!B44</f>
        <v>0</v>
      </c>
      <c r="C44" s="87">
        <f>SUBoard!C44+SUBR!C44+SUNO!C44+SUSLA!C44+SULaw!C44+SUAg!C44</f>
        <v>0</v>
      </c>
      <c r="D44" s="87">
        <f>SUBoard!D44+SUBR!D44+SUNO!D44+SUSLA!D44+SULaw!D44+SUAg!D44</f>
        <v>0</v>
      </c>
      <c r="E44" s="87">
        <f t="shared" si="3"/>
        <v>0</v>
      </c>
      <c r="F44" s="81">
        <f t="shared" si="2"/>
        <v>0</v>
      </c>
      <c r="G44" s="87">
        <f>SUBoard!G44+SUBR!G44+SUNO!G44+SUSLA!G44+SULaw!G44+SUAg!G44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f>SUBoard!B46+SUBR!B46+SUNO!B46+SUSLA!B46+SULaw!B46+SUAg!B46</f>
        <v>2919450</v>
      </c>
      <c r="C46" s="87">
        <f>SUBoard!C46+SUBR!C46+SUNO!C46+SUSLA!C46+SULaw!C46+SUAg!C46</f>
        <v>2931387</v>
      </c>
      <c r="D46" s="87">
        <f>SUBoard!D46+SUBR!D46+SUNO!D46+SUSLA!D46+SULaw!D46+SUAg!D46</f>
        <v>3028515</v>
      </c>
      <c r="E46" s="87">
        <f>D46-C46</f>
        <v>97128</v>
      </c>
      <c r="F46" s="81">
        <f>IF(ISBLANK(E46),"  ",IF(C46&gt;0,E46/C46,IF(E46&gt;0,1,0)))</f>
        <v>3.313380321329118E-2</v>
      </c>
      <c r="G46" s="87">
        <f>SUBoard!G46+SUBR!G46+SUNO!G46+SUSLA!G46+SULaw!G46+SUAg!G46</f>
        <v>3028515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f>SUBoard!B48+SUBR!B48+SUNO!B48+SUSLA!B48+SULaw!B48+SUAg!B48</f>
        <v>3334184</v>
      </c>
      <c r="C48" s="87">
        <f>SUBoard!C48+SUBR!C48+SUNO!C48+SUSLA!C48+SULaw!C48+SUAg!C48</f>
        <v>3431312</v>
      </c>
      <c r="D48" s="87">
        <f>SUBoard!D48+SUBR!D48+SUNO!D48+SUSLA!D48+SULaw!D48+SUAg!D48</f>
        <v>0</v>
      </c>
      <c r="E48" s="87">
        <f>D48-C48</f>
        <v>-3431312</v>
      </c>
      <c r="F48" s="81">
        <f>IF(ISBLANK(E48)," ",IF(C48&gt;0,E48/C48,IF(E48&gt;0,1,0)))</f>
        <v>-1</v>
      </c>
      <c r="G48" s="87">
        <f>SUBoard!G48+SUBR!G48+SUNO!G48+SUSLA!G48+SULaw!G48+SUAg!G48</f>
        <v>3431312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f>SUBoard!B50+SUBR!B50+SUNO!B50+SUSLA!B50+SULaw!B50+SUAg!B50</f>
        <v>0</v>
      </c>
      <c r="C50" s="87">
        <f>SUBoard!C50+SUBR!C50+SUNO!C50+SUSLA!C50+SULaw!C50+SUAg!C50</f>
        <v>0</v>
      </c>
      <c r="D50" s="87">
        <f>SUBoard!D50+SUBR!D50+SUNO!D50+SUSLA!D50+SULaw!D50+SUAg!D50</f>
        <v>0</v>
      </c>
      <c r="E50" s="87">
        <f>D50-C50</f>
        <v>0</v>
      </c>
      <c r="F50" s="81">
        <f>IF(ISBLANK(E50),"  ",IF(C50&gt;0,E50/C50,IF(E50&gt;0,1,0)))</f>
        <v>0</v>
      </c>
      <c r="G50" s="87">
        <f>SUBoard!G50+SUBR!G50+SUNO!G50+SUSLA!G50+SULaw!G50+SUAg!G50</f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7">
        <f>SUBoard!B52+SUBR!B52+SUNO!B52+SUSLA!B52+SULaw!B52+SUAg!B52</f>
        <v>97934057.129999995</v>
      </c>
      <c r="C52" s="87">
        <f>SUBoard!C52+SUBR!C52+SUNO!C52+SUSLA!C52+SULaw!C52+SUAg!C52</f>
        <v>104819361</v>
      </c>
      <c r="D52" s="87">
        <f>SUBoard!D52+SUBR!D52+SUNO!D52+SUSLA!D52+SULaw!D52+SUAg!D52</f>
        <v>101105493</v>
      </c>
      <c r="E52" s="87">
        <f>D52-C52</f>
        <v>-3713868</v>
      </c>
      <c r="F52" s="81">
        <f>IF(ISBLANK(E52),"  ",IF(C52&gt;0,E52/C52,IF(E52&gt;0,1,0)))</f>
        <v>-3.5431126125640089E-2</v>
      </c>
      <c r="G52" s="87">
        <f>SUBoard!G52+SUBR!G52+SUNO!G52+SUSLA!G52+SULaw!G52+SUAg!G52</f>
        <v>101105493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7">
        <f>SUBoard!B54+SUBR!B54+SUNO!B54+SUSLA!B54+SULaw!B54+SUAg!B54</f>
        <v>3420158</v>
      </c>
      <c r="C54" s="87">
        <f>SUBoard!C54+SUBR!C54+SUNO!C54+SUSLA!C54+SULaw!C54+SUAg!C54</f>
        <v>3654209</v>
      </c>
      <c r="D54" s="87">
        <f>SUBoard!D54+SUBR!D54+SUNO!D54+SUSLA!D54+SULaw!D54+SUAg!D54</f>
        <v>3654209</v>
      </c>
      <c r="E54" s="87">
        <f>D54-C54</f>
        <v>0</v>
      </c>
      <c r="F54" s="81">
        <f>IF(ISBLANK(E54),"  ",IF(C54&gt;0,E54/C54,IF(E54&gt;0,1,0)))</f>
        <v>0</v>
      </c>
      <c r="G54" s="87">
        <f>SUBoard!G54+SUBR!G54+SUNO!G54+SUSLA!G54+SULaw!G54+SUAg!G54</f>
        <v>3654209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7">
        <f>SUBoard!B56+SUBR!B56+SUNO!B56+SUSLA!B56+SULaw!B56+SUAg!B56</f>
        <v>0</v>
      </c>
      <c r="C56" s="87">
        <f>SUBoard!C56+SUBR!C56+SUNO!C56+SUSLA!C56+SULaw!C56+SUAg!C56</f>
        <v>0</v>
      </c>
      <c r="D56" s="87">
        <f>SUBoard!D56+SUBR!D56+SUNO!D56+SUSLA!D56+SULaw!D56+SUAg!D56</f>
        <v>0</v>
      </c>
      <c r="E56" s="87">
        <f>D56-C56</f>
        <v>0</v>
      </c>
      <c r="F56" s="81">
        <f>IF(ISBLANK(E56),"  ",IF(C56&gt;0,E56/C56,IF(E56&gt;0,1,0)))</f>
        <v>0</v>
      </c>
      <c r="G56" s="87">
        <f>SUBoard!G56+SUBR!G56+SUNO!G56+SUSLA!G56+SULaw!G56+SUAg!G56</f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7">
        <f>B56+B54+B52+B50+B48+B46+-B44+B37</f>
        <v>157563788.79999998</v>
      </c>
      <c r="C58" s="87">
        <f>C56+C54+C52+C50+C48+C46+-C44+C37</f>
        <v>165308300</v>
      </c>
      <c r="D58" s="87">
        <f>D56+D54+D52+D50+D48+D46+-D44+D37</f>
        <v>155459016.87</v>
      </c>
      <c r="E58" s="87">
        <f>D58-C58</f>
        <v>-9849283.1299999952</v>
      </c>
      <c r="F58" s="81">
        <f>IF(ISBLANK(E58),"  ",IF(C58&gt;0,E58/C58,IF(E58&gt;0,1,0)))</f>
        <v>-5.9581298277218961E-2</v>
      </c>
      <c r="G58" s="87">
        <f>G56+G54+G52+G50+G48+G46+-G44+G37</f>
        <v>158890328.87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9">
        <f>SUBoard!B62+SUBR!B62+SUNO!B62+SUSLA!B62+SULaw!B62+SUAg!B62</f>
        <v>50142316.890000001</v>
      </c>
      <c r="C62" s="69">
        <f>SUBoard!C62+SUBR!C62+SUNO!C62+SUSLA!C62+SULaw!C62+SUAg!C62</f>
        <v>58926863.68</v>
      </c>
      <c r="D62" s="69">
        <f>SUBoard!D62+SUBR!D62+SUNO!D62+SUSLA!D62+SULaw!D62+SUAg!D62</f>
        <v>52179440.747999996</v>
      </c>
      <c r="E62" s="69">
        <f>D62-C62</f>
        <v>-6747422.9320000038</v>
      </c>
      <c r="F62" s="70">
        <f t="shared" ref="F62:F75" si="4">IF(ISBLANK(E62),"  ",IF(C62&gt;0,E62/C62,IF(E62&gt;0,1,0)))</f>
        <v>-0.11450504083573185</v>
      </c>
      <c r="G62" s="69">
        <f>SUBoard!G62+SUBR!G62+SUNO!G62+SUSLA!G62+SULaw!G62+SUAg!G62</f>
        <v>54886771.747999996</v>
      </c>
      <c r="H62" s="227"/>
    </row>
    <row r="63" spans="1:8" ht="15" customHeight="1" x14ac:dyDescent="0.25">
      <c r="A63" s="75" t="s">
        <v>55</v>
      </c>
      <c r="B63" s="69">
        <f>SUBoard!B63+SUBR!B63+SUNO!B63+SUSLA!B63+SULaw!B63+SUAg!B63</f>
        <v>2767018.9800000004</v>
      </c>
      <c r="C63" s="69">
        <f>SUBoard!C63+SUBR!C63+SUNO!C63+SUSLA!C63+SULaw!C63+SUAg!C63</f>
        <v>3047080</v>
      </c>
      <c r="D63" s="69">
        <f>SUBoard!D63+SUBR!D63+SUNO!D63+SUSLA!D63+SULaw!D63+SUAg!D63</f>
        <v>3287695.4</v>
      </c>
      <c r="E63" s="69">
        <f>D63-C63</f>
        <v>240615.39999999991</v>
      </c>
      <c r="F63" s="70">
        <f t="shared" si="4"/>
        <v>7.8965895217716603E-2</v>
      </c>
      <c r="G63" s="69">
        <f>SUBoard!G63+SUBR!G63+SUNO!G63+SUSLA!G63+SULaw!G63+SUAg!G63</f>
        <v>3287695.4</v>
      </c>
      <c r="H63" s="227"/>
    </row>
    <row r="64" spans="1:8" ht="15" customHeight="1" x14ac:dyDescent="0.25">
      <c r="A64" s="75" t="s">
        <v>56</v>
      </c>
      <c r="B64" s="69">
        <f>SUBoard!B64+SUBR!B64+SUNO!B64+SUSLA!B64+SULaw!B64+SUAg!B64</f>
        <v>2904222.8299999996</v>
      </c>
      <c r="C64" s="69">
        <f>SUBoard!C64+SUBR!C64+SUNO!C64+SUSLA!C64+SULaw!C64+SUAg!C64</f>
        <v>4260703</v>
      </c>
      <c r="D64" s="69">
        <f>SUBoard!D64+SUBR!D64+SUNO!D64+SUSLA!D64+SULaw!D64+SUAg!D64</f>
        <v>3669629.14</v>
      </c>
      <c r="E64" s="69">
        <f t="shared" ref="E64:E75" si="5">D64-C64</f>
        <v>-591073.85999999987</v>
      </c>
      <c r="F64" s="70">
        <f t="shared" si="4"/>
        <v>-0.13872683920939805</v>
      </c>
      <c r="G64" s="69">
        <f>SUBoard!G64+SUBR!G64+SUNO!G64+SUSLA!G64+SULaw!G64+SUAg!G64</f>
        <v>3669629.14</v>
      </c>
      <c r="H64" s="227"/>
    </row>
    <row r="65" spans="1:8" ht="15" customHeight="1" x14ac:dyDescent="0.25">
      <c r="A65" s="75" t="s">
        <v>57</v>
      </c>
      <c r="B65" s="69">
        <f>SUBoard!B65+SUBR!B65+SUNO!B65+SUSLA!B65+SULaw!B65+SUAg!B65</f>
        <v>15253772.440000001</v>
      </c>
      <c r="C65" s="69">
        <f>SUBoard!C65+SUBR!C65+SUNO!C65+SUSLA!C65+SULaw!C65+SUAg!C65</f>
        <v>15947067.09</v>
      </c>
      <c r="D65" s="69">
        <f>SUBoard!D65+SUBR!D65+SUNO!D65+SUSLA!D65+SULaw!D65+SUAg!D65</f>
        <v>14748401.790000003</v>
      </c>
      <c r="E65" s="69">
        <f t="shared" si="5"/>
        <v>-1198665.299999997</v>
      </c>
      <c r="F65" s="70">
        <f t="shared" si="4"/>
        <v>-7.5165250966533495E-2</v>
      </c>
      <c r="G65" s="69">
        <f>SUBoard!G65+SUBR!G65+SUNO!G65+SUSLA!G65+SULaw!G65+SUAg!G65</f>
        <v>14748401.790000003</v>
      </c>
      <c r="H65" s="227"/>
    </row>
    <row r="66" spans="1:8" ht="15" customHeight="1" x14ac:dyDescent="0.25">
      <c r="A66" s="75" t="s">
        <v>58</v>
      </c>
      <c r="B66" s="69">
        <f>SUBoard!B66+SUBR!B66+SUNO!B66+SUSLA!B66+SULaw!B66+SUAg!B66</f>
        <v>8188464.3499999996</v>
      </c>
      <c r="C66" s="69">
        <f>SUBoard!C66+SUBR!C66+SUNO!C66+SUSLA!C66+SULaw!C66+SUAg!C66</f>
        <v>7546645.9900000002</v>
      </c>
      <c r="D66" s="69">
        <f>SUBoard!D66+SUBR!D66+SUNO!D66+SUSLA!D66+SULaw!D66+SUAg!D66</f>
        <v>8011277.0520000001</v>
      </c>
      <c r="E66" s="69">
        <f t="shared" si="5"/>
        <v>464631.06199999992</v>
      </c>
      <c r="F66" s="70">
        <f t="shared" si="4"/>
        <v>6.156788891590765E-2</v>
      </c>
      <c r="G66" s="69">
        <f>SUBoard!G66+SUBR!G66+SUNO!G66+SUSLA!G66+SULaw!G66+SUAg!G66</f>
        <v>8016461.0520000001</v>
      </c>
      <c r="H66" s="227"/>
    </row>
    <row r="67" spans="1:8" ht="15" customHeight="1" x14ac:dyDescent="0.25">
      <c r="A67" s="75" t="s">
        <v>59</v>
      </c>
      <c r="B67" s="69">
        <f>SUBoard!B67+SUBR!B67+SUNO!B67+SUSLA!B67+SULaw!B67+SUAg!B67</f>
        <v>41909999.93</v>
      </c>
      <c r="C67" s="69">
        <f>SUBoard!C67+SUBR!C67+SUNO!C67+SUSLA!C67+SULaw!C67+SUAg!C67</f>
        <v>36012705.420000002</v>
      </c>
      <c r="D67" s="69">
        <f>SUBoard!D67+SUBR!D67+SUNO!D67+SUSLA!D67+SULaw!D67+SUAg!D67</f>
        <v>39470004.012000002</v>
      </c>
      <c r="E67" s="69">
        <f t="shared" si="5"/>
        <v>3457298.5920000002</v>
      </c>
      <c r="F67" s="70">
        <f t="shared" si="4"/>
        <v>9.6002190107049176E-2</v>
      </c>
      <c r="G67" s="69">
        <f>SUBoard!G67+SUBR!G67+SUNO!G67+SUSLA!G67+SULaw!G67+SUAg!G67</f>
        <v>39704818.012000002</v>
      </c>
      <c r="H67" s="227"/>
    </row>
    <row r="68" spans="1:8" ht="15" customHeight="1" x14ac:dyDescent="0.25">
      <c r="A68" s="75" t="s">
        <v>60</v>
      </c>
      <c r="B68" s="69">
        <f>SUBoard!B68+SUBR!B68+SUNO!B68+SUSLA!B68+SULaw!B68+SUAg!B68</f>
        <v>10742742.960000001</v>
      </c>
      <c r="C68" s="69">
        <f>SUBoard!C68+SUBR!C68+SUNO!C68+SUSLA!C68+SULaw!C68+SUAg!C68</f>
        <v>8456288</v>
      </c>
      <c r="D68" s="69">
        <f>SUBoard!D68+SUBR!D68+SUNO!D68+SUSLA!D68+SULaw!D68+SUAg!D68</f>
        <v>8041288</v>
      </c>
      <c r="E68" s="69">
        <f t="shared" si="5"/>
        <v>-415000</v>
      </c>
      <c r="F68" s="70">
        <f t="shared" si="4"/>
        <v>-4.9075906591639261E-2</v>
      </c>
      <c r="G68" s="69">
        <f>SUBoard!G68+SUBR!G68+SUNO!G68+SUSLA!G68+SULaw!G68+SUAg!G68</f>
        <v>8458579</v>
      </c>
      <c r="H68" s="227"/>
    </row>
    <row r="69" spans="1:8" ht="15" customHeight="1" x14ac:dyDescent="0.25">
      <c r="A69" s="75" t="s">
        <v>61</v>
      </c>
      <c r="B69" s="69">
        <f>SUBoard!B69+SUBR!B69+SUNO!B69+SUSLA!B69+SULaw!B69+SUAg!B69</f>
        <v>18034730.32</v>
      </c>
      <c r="C69" s="69">
        <f>SUBoard!C69+SUBR!C69+SUNO!C69+SUSLA!C69+SULaw!C69+SUAg!C69</f>
        <v>22658855</v>
      </c>
      <c r="D69" s="69">
        <f>SUBoard!D69+SUBR!D69+SUNO!D69+SUSLA!D69+SULaw!D69+SUAg!D69</f>
        <v>18667402.624000002</v>
      </c>
      <c r="E69" s="69">
        <f t="shared" si="5"/>
        <v>-3991452.3759999983</v>
      </c>
      <c r="F69" s="70">
        <f t="shared" si="4"/>
        <v>-0.17615419561138451</v>
      </c>
      <c r="G69" s="69">
        <f>SUBoard!G69+SUBR!G69+SUNO!G69+SUSLA!G69+SULaw!G69+SUAg!G69</f>
        <v>18734094.624000002</v>
      </c>
      <c r="H69" s="227"/>
    </row>
    <row r="70" spans="1:8" s="124" customFormat="1" ht="15" customHeight="1" x14ac:dyDescent="0.25">
      <c r="A70" s="94" t="s">
        <v>62</v>
      </c>
      <c r="B70" s="87">
        <f>SUBoard!B70+SUBR!B70+SUNO!B70+SUSLA!B70+SULaw!B70+SUAg!B70</f>
        <v>149943268.69999999</v>
      </c>
      <c r="C70" s="87">
        <f>SUBoard!C70+SUBR!C70+SUNO!C70+SUSLA!C70+SULaw!C70+SUAg!C70</f>
        <v>156856208.18000001</v>
      </c>
      <c r="D70" s="87">
        <f>SUBoard!D70+SUBR!D70+SUNO!D70+SUSLA!D70+SULaw!D70+SUAg!D70</f>
        <v>148075138.766</v>
      </c>
      <c r="E70" s="87">
        <f t="shared" si="5"/>
        <v>-8781069.4140000045</v>
      </c>
      <c r="F70" s="81">
        <f t="shared" si="4"/>
        <v>-5.5981650429311074E-2</v>
      </c>
      <c r="G70" s="87">
        <f>SUBoard!G70+SUBR!G70+SUNO!G70+SUSLA!G70+SULaw!G70+SUAg!G70</f>
        <v>151506450.76600003</v>
      </c>
      <c r="H70" s="228"/>
    </row>
    <row r="71" spans="1:8" ht="15" customHeight="1" x14ac:dyDescent="0.25">
      <c r="A71" s="75" t="s">
        <v>63</v>
      </c>
      <c r="B71" s="69">
        <f>SUBoard!B71+SUBR!B71+SUNO!B71+SUSLA!B71+SULaw!B71+SUAg!B71</f>
        <v>0</v>
      </c>
      <c r="C71" s="69">
        <f>SUBoard!C71+SUBR!C71+SUNO!C71+SUSLA!C71+SULaw!C71+SUAg!C71</f>
        <v>0</v>
      </c>
      <c r="D71" s="69">
        <f>SUBoard!D71+SUBR!D71+SUNO!D71+SUSLA!D71+SULaw!D71+SUAg!D71</f>
        <v>0</v>
      </c>
      <c r="E71" s="69">
        <f t="shared" si="5"/>
        <v>0</v>
      </c>
      <c r="F71" s="70">
        <f t="shared" si="4"/>
        <v>0</v>
      </c>
      <c r="G71" s="69">
        <f>SUBoard!G71+SUBR!G71+SUNO!G71+SUSLA!G71+SULaw!G71+SUAg!G71</f>
        <v>0</v>
      </c>
      <c r="H71" s="227"/>
    </row>
    <row r="72" spans="1:8" ht="15" customHeight="1" x14ac:dyDescent="0.25">
      <c r="A72" s="75" t="s">
        <v>64</v>
      </c>
      <c r="B72" s="69">
        <f>SUBoard!B72+SUBR!B72+SUNO!B72+SUSLA!B72+SULaw!B72+SUAg!B72</f>
        <v>4620678.34</v>
      </c>
      <c r="C72" s="69">
        <f>SUBoard!C72+SUBR!C72+SUNO!C72+SUSLA!C72+SULaw!C72+SUAg!C72</f>
        <v>4885834</v>
      </c>
      <c r="D72" s="69">
        <f>SUBoard!D72+SUBR!D72+SUNO!D72+SUSLA!D72+SULaw!D72+SUAg!D72</f>
        <v>4384037</v>
      </c>
      <c r="E72" s="69">
        <f t="shared" si="5"/>
        <v>-501797</v>
      </c>
      <c r="F72" s="70">
        <f t="shared" si="4"/>
        <v>-0.10270447174423036</v>
      </c>
      <c r="G72" s="69">
        <f>SUBoard!G72+SUBR!G72+SUNO!G72+SUSLA!G72+SULaw!G72+SUAg!G72</f>
        <v>4384037</v>
      </c>
      <c r="H72" s="227"/>
    </row>
    <row r="73" spans="1:8" ht="15" customHeight="1" x14ac:dyDescent="0.25">
      <c r="A73" s="75" t="s">
        <v>65</v>
      </c>
      <c r="B73" s="69">
        <f>SUBoard!B73+SUBR!B73+SUNO!B73+SUSLA!B73+SULaw!B73+SUAg!B73</f>
        <v>2999841</v>
      </c>
      <c r="C73" s="69">
        <f>SUBoard!C73+SUBR!C73+SUNO!C73+SUSLA!C73+SULaw!C73+SUAg!C73</f>
        <v>3566258</v>
      </c>
      <c r="D73" s="69">
        <f>SUBoard!D73+SUBR!D73+SUNO!D73+SUSLA!D73+SULaw!D73+SUAg!D73</f>
        <v>2999841</v>
      </c>
      <c r="E73" s="69">
        <f t="shared" si="5"/>
        <v>-566417</v>
      </c>
      <c r="F73" s="70">
        <f t="shared" si="4"/>
        <v>-0.15882670294745921</v>
      </c>
      <c r="G73" s="69">
        <f>SUBoard!G73+SUBR!G73+SUNO!G73+SUSLA!G73+SULaw!G73+SUAg!G73</f>
        <v>2999841</v>
      </c>
      <c r="H73" s="227"/>
    </row>
    <row r="74" spans="1:8" ht="15" customHeight="1" x14ac:dyDescent="0.25">
      <c r="A74" s="75" t="s">
        <v>66</v>
      </c>
      <c r="B74" s="69">
        <f>SUBoard!B74+SUBR!B74+SUNO!B74+SUSLA!B74+SULaw!B74+SUAg!B74</f>
        <v>0</v>
      </c>
      <c r="C74" s="69">
        <f>SUBoard!C74+SUBR!C74+SUNO!C74+SUSLA!C74+SULaw!C74+SUAg!C74</f>
        <v>0</v>
      </c>
      <c r="D74" s="69">
        <f>SUBoard!D74+SUBR!D74+SUNO!D74+SUSLA!D74+SULaw!D74+SUAg!D74</f>
        <v>0</v>
      </c>
      <c r="E74" s="69">
        <f t="shared" si="5"/>
        <v>0</v>
      </c>
      <c r="F74" s="70">
        <f t="shared" si="4"/>
        <v>0</v>
      </c>
      <c r="G74" s="69">
        <f>SUBoard!G74+SUBR!G74+SUNO!G74+SUSLA!G74+SULaw!G74+SUAg!G74</f>
        <v>0</v>
      </c>
      <c r="H74" s="227"/>
    </row>
    <row r="75" spans="1:8" s="124" customFormat="1" ht="15" customHeight="1" x14ac:dyDescent="0.25">
      <c r="A75" s="95" t="s">
        <v>67</v>
      </c>
      <c r="B75" s="87">
        <f>SUBoard!B75+SUBR!B75+SUNO!B75+SUSLA!B75+SULaw!B75+SUAg!B75+1</f>
        <v>157563789.03999999</v>
      </c>
      <c r="C75" s="87">
        <f>SUBoard!C75+SUBR!C75+SUNO!C75+SUSLA!C75+SULaw!C75+SUAg!C75</f>
        <v>165308300.18000001</v>
      </c>
      <c r="D75" s="87">
        <f>SUBoard!D75+SUBR!D75+SUNO!D75+SUSLA!D75+SULaw!D75+SUAg!D75</f>
        <v>155459016.766</v>
      </c>
      <c r="E75" s="87">
        <f t="shared" si="5"/>
        <v>-9849283.4140000045</v>
      </c>
      <c r="F75" s="81">
        <f t="shared" si="4"/>
        <v>-5.9581299930344514E-2</v>
      </c>
      <c r="G75" s="87">
        <f>SUBoard!G75+SUBR!G75+SUNO!G75+SUSLA!G75+SULaw!G75+SUAg!G75</f>
        <v>158890328.76600003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f>SUBoard!B78+SUBR!B78+SUNO!B78+SUSLA!B78+SULaw!B78+SUAg!B78</f>
        <v>73643880.909999996</v>
      </c>
      <c r="C78" s="69">
        <f>SUBoard!C78+SUBR!C78+SUNO!C78+SUSLA!C78+SULaw!C78+SUAg!C78</f>
        <v>79401012.289999992</v>
      </c>
      <c r="D78" s="69">
        <f>SUBoard!D78+SUBR!D78+SUNO!D78+SUSLA!D78+SULaw!D78+SUAg!D78</f>
        <v>74515940.980000004</v>
      </c>
      <c r="E78" s="69">
        <f>D78-C78</f>
        <v>-4885071.3099999875</v>
      </c>
      <c r="F78" s="70">
        <f t="shared" ref="F78:F96" si="6">IF(ISBLANK(E78),"  ",IF(C78&gt;0,E78/C78,IF(E78&gt;0,1,0)))</f>
        <v>-6.1524043196804788E-2</v>
      </c>
      <c r="G78" s="69">
        <f>SUBoard!G78+SUBR!G78+SUNO!G78+SUSLA!G78+SULaw!G78+SUAg!G78</f>
        <v>76845017.980000004</v>
      </c>
      <c r="H78" s="227"/>
    </row>
    <row r="79" spans="1:8" ht="15" customHeight="1" x14ac:dyDescent="0.25">
      <c r="A79" s="75" t="s">
        <v>70</v>
      </c>
      <c r="B79" s="69">
        <f>SUBoard!B79+SUBR!B79+SUNO!B79+SUSLA!B79+SULaw!B79+SUAg!B79</f>
        <v>892741.61</v>
      </c>
      <c r="C79" s="69">
        <f>SUBoard!C79+SUBR!C79+SUNO!C79+SUSLA!C79+SULaw!C79+SUAg!C79</f>
        <v>686374</v>
      </c>
      <c r="D79" s="69">
        <f>SUBoard!D79+SUBR!D79+SUNO!D79+SUSLA!D79+SULaw!D79+SUAg!D79</f>
        <v>319377</v>
      </c>
      <c r="E79" s="69">
        <f>D79-C79</f>
        <v>-366997</v>
      </c>
      <c r="F79" s="70">
        <f t="shared" si="6"/>
        <v>-0.53468954243604794</v>
      </c>
      <c r="G79" s="69">
        <f>SUBoard!G79+SUBR!G79+SUNO!G79+SUSLA!G79+SULaw!G79+SUAg!G79</f>
        <v>319377</v>
      </c>
      <c r="H79" s="227"/>
    </row>
    <row r="80" spans="1:8" ht="15" customHeight="1" x14ac:dyDescent="0.25">
      <c r="A80" s="75" t="s">
        <v>71</v>
      </c>
      <c r="B80" s="69">
        <f>SUBoard!B80+SUBR!B80+SUNO!B80+SUSLA!B80+SULaw!B80+SUAg!B80</f>
        <v>32128721.280000001</v>
      </c>
      <c r="C80" s="69">
        <f>SUBoard!C80+SUBR!C80+SUNO!C80+SUSLA!C80+SULaw!C80+SUAg!C80</f>
        <v>35572343.890000001</v>
      </c>
      <c r="D80" s="69">
        <f>SUBoard!D80+SUBR!D80+SUNO!D80+SUSLA!D80+SULaw!D80+SUAg!D80</f>
        <v>34034649.486000001</v>
      </c>
      <c r="E80" s="69">
        <f t="shared" ref="E80:E95" si="7">D80-C80</f>
        <v>-1537694.4039999992</v>
      </c>
      <c r="F80" s="70">
        <f t="shared" si="6"/>
        <v>-4.3227244422099256E-2</v>
      </c>
      <c r="G80" s="69">
        <f>SUBoard!G80+SUBR!G80+SUNO!G80+SUSLA!G80+SULaw!G80+SUAg!G80</f>
        <v>34698503.486000001</v>
      </c>
      <c r="H80" s="227"/>
    </row>
    <row r="81" spans="1:8" s="124" customFormat="1" ht="15" customHeight="1" x14ac:dyDescent="0.25">
      <c r="A81" s="94" t="s">
        <v>72</v>
      </c>
      <c r="B81" s="87">
        <f>SUBoard!B81+SUBR!B81+SUNO!B81+SUSLA!B81+SULaw!B81+SUAg!B81</f>
        <v>106665343.8</v>
      </c>
      <c r="C81" s="87">
        <f>SUBoard!C81+SUBR!C81+SUNO!C81+SUSLA!C81+SULaw!C81+SUAg!C81</f>
        <v>115659730.18000001</v>
      </c>
      <c r="D81" s="87">
        <f>SUBoard!D81+SUBR!D81+SUNO!D81+SUSLA!D81+SULaw!D81+SUAg!D81</f>
        <v>108869967.46600001</v>
      </c>
      <c r="E81" s="87">
        <f t="shared" si="7"/>
        <v>-6789762.7140000015</v>
      </c>
      <c r="F81" s="81">
        <f t="shared" si="6"/>
        <v>-5.8704639060052848E-2</v>
      </c>
      <c r="G81" s="87">
        <f>SUBoard!G81+SUBR!G81+SUNO!G81+SUSLA!G81+SULaw!G81+SUAg!G81</f>
        <v>111862898.46600001</v>
      </c>
      <c r="H81" s="228"/>
    </row>
    <row r="82" spans="1:8" ht="15" customHeight="1" x14ac:dyDescent="0.25">
      <c r="A82" s="75" t="s">
        <v>73</v>
      </c>
      <c r="B82" s="69">
        <f>SUBoard!B82+SUBR!B82+SUNO!B82+SUSLA!B82+SULaw!B82+SUAg!B82</f>
        <v>836271.56</v>
      </c>
      <c r="C82" s="69">
        <f>SUBoard!C82+SUBR!C82+SUNO!C82+SUSLA!C82+SULaw!C82+SUAg!C82</f>
        <v>1081008</v>
      </c>
      <c r="D82" s="69">
        <f>SUBoard!D82+SUBR!D82+SUNO!D82+SUSLA!D82+SULaw!D82+SUAg!D82</f>
        <v>1034510</v>
      </c>
      <c r="E82" s="69">
        <f t="shared" si="7"/>
        <v>-46498</v>
      </c>
      <c r="F82" s="70">
        <f t="shared" si="6"/>
        <v>-4.3013557716501637E-2</v>
      </c>
      <c r="G82" s="69">
        <f>SUBoard!G82+SUBR!G82+SUNO!G82+SUSLA!G82+SULaw!G82+SUAg!G82</f>
        <v>1034510</v>
      </c>
      <c r="H82" s="227"/>
    </row>
    <row r="83" spans="1:8" ht="15" customHeight="1" x14ac:dyDescent="0.25">
      <c r="A83" s="75" t="s">
        <v>74</v>
      </c>
      <c r="B83" s="69">
        <f>SUBoard!B83+SUBR!B83+SUNO!B83+SUSLA!B83+SULaw!B83+SUAg!B83</f>
        <v>15535315.15</v>
      </c>
      <c r="C83" s="69">
        <f>SUBoard!C83+SUBR!C83+SUNO!C83+SUSLA!C83+SULaw!C83+SUAg!C83</f>
        <v>15284745</v>
      </c>
      <c r="D83" s="69">
        <f>SUBoard!D83+SUBR!D83+SUNO!D83+SUSLA!D83+SULaw!D83+SUAg!D83</f>
        <v>14319492</v>
      </c>
      <c r="E83" s="69">
        <f t="shared" si="7"/>
        <v>-965253</v>
      </c>
      <c r="F83" s="70">
        <f t="shared" si="6"/>
        <v>-6.3151397030176165E-2</v>
      </c>
      <c r="G83" s="69">
        <f>SUBoard!G83+SUBR!G83+SUNO!G83+SUSLA!G83+SULaw!G83+SUAg!G83</f>
        <v>14340582</v>
      </c>
      <c r="H83" s="227"/>
    </row>
    <row r="84" spans="1:8" ht="15" customHeight="1" x14ac:dyDescent="0.25">
      <c r="A84" s="75" t="s">
        <v>75</v>
      </c>
      <c r="B84" s="69">
        <f>SUBoard!B84+SUBR!B84+SUNO!B84+SUSLA!B84+SULaw!B84+SUAg!B84</f>
        <v>1688562.58</v>
      </c>
      <c r="C84" s="69">
        <f>SUBoard!C84+SUBR!C84+SUNO!C84+SUSLA!C84+SULaw!C84+SUAg!C84</f>
        <v>1880942</v>
      </c>
      <c r="D84" s="69">
        <f>SUBoard!D84+SUBR!D84+SUNO!D84+SUSLA!D84+SULaw!D84+SUAg!D84</f>
        <v>1845900</v>
      </c>
      <c r="E84" s="69">
        <f t="shared" si="7"/>
        <v>-35042</v>
      </c>
      <c r="F84" s="70">
        <f t="shared" si="6"/>
        <v>-1.8630026869515381E-2</v>
      </c>
      <c r="G84" s="69">
        <f>SUBoard!G84+SUBR!G84+SUNO!G84+SUSLA!G84+SULaw!G84+SUAg!G84</f>
        <v>1845900</v>
      </c>
      <c r="H84" s="227"/>
    </row>
    <row r="85" spans="1:8" s="124" customFormat="1" ht="15" customHeight="1" x14ac:dyDescent="0.25">
      <c r="A85" s="78" t="s">
        <v>76</v>
      </c>
      <c r="B85" s="87">
        <f>SUBoard!B85+SUBR!B85+SUNO!B85+SUSLA!B85+SULaw!B85+SUAg!B85</f>
        <v>18060149.289999999</v>
      </c>
      <c r="C85" s="87">
        <f>SUBoard!C85+SUBR!C85+SUNO!C85+SUSLA!C85+SULaw!C85+SUAg!C85</f>
        <v>18246695</v>
      </c>
      <c r="D85" s="87">
        <f>SUBoard!D85+SUBR!D85+SUNO!D85+SUSLA!D85+SULaw!D85+SUAg!D85</f>
        <v>17199902</v>
      </c>
      <c r="E85" s="87">
        <f t="shared" si="7"/>
        <v>-1046793</v>
      </c>
      <c r="F85" s="81">
        <f t="shared" si="6"/>
        <v>-5.7368909821751281E-2</v>
      </c>
      <c r="G85" s="87">
        <f>SUBoard!G85+SUBR!G85+SUNO!G85+SUSLA!G85+SULaw!G85+SUAg!G85</f>
        <v>17220992</v>
      </c>
      <c r="H85" s="228"/>
    </row>
    <row r="86" spans="1:8" ht="15" customHeight="1" x14ac:dyDescent="0.25">
      <c r="A86" s="75" t="s">
        <v>77</v>
      </c>
      <c r="B86" s="69">
        <f>SUBoard!B86+SUBR!B86+SUNO!B86+SUSLA!B86+SULaw!B86+SUAg!B86</f>
        <v>1943465.4300000002</v>
      </c>
      <c r="C86" s="69">
        <f>SUBoard!C86+SUBR!C86+SUNO!C86+SUSLA!C86+SULaw!C86+SUAg!C86</f>
        <v>2228599</v>
      </c>
      <c r="D86" s="69">
        <f>SUBoard!D86+SUBR!D86+SUNO!D86+SUSLA!D86+SULaw!D86+SUAg!D86</f>
        <v>2404772</v>
      </c>
      <c r="E86" s="69">
        <f t="shared" si="7"/>
        <v>176173</v>
      </c>
      <c r="F86" s="70">
        <f t="shared" si="6"/>
        <v>7.905100917661724E-2</v>
      </c>
      <c r="G86" s="69">
        <f>SUBoard!G86+SUBR!G86+SUNO!G86+SUSLA!G86+SULaw!G86+SUAg!G86</f>
        <v>2404772</v>
      </c>
      <c r="H86" s="227"/>
    </row>
    <row r="87" spans="1:8" ht="15" customHeight="1" x14ac:dyDescent="0.25">
      <c r="A87" s="75" t="s">
        <v>78</v>
      </c>
      <c r="B87" s="69">
        <f>SUBoard!B87+SUBR!B87+SUNO!B87+SUSLA!B87+SULaw!B87+SUAg!B87</f>
        <v>17609295.330000002</v>
      </c>
      <c r="C87" s="69">
        <f>SUBoard!C87+SUBR!C87+SUNO!C87+SUSLA!C87+SULaw!C87+SUAg!C87</f>
        <v>22179670</v>
      </c>
      <c r="D87" s="69">
        <f>SUBoard!D87+SUBR!D87+SUNO!D87+SUSLA!D87+SULaw!D87+SUAg!D87</f>
        <v>20538204.300000001</v>
      </c>
      <c r="E87" s="69">
        <f t="shared" si="7"/>
        <v>-1641465.6999999993</v>
      </c>
      <c r="F87" s="70">
        <f t="shared" si="6"/>
        <v>-7.4007670087066185E-2</v>
      </c>
      <c r="G87" s="69">
        <f>SUBoard!G87+SUBR!G87+SUNO!G87+SUSLA!G87+SULaw!G87+SUAg!G87</f>
        <v>20955495.300000001</v>
      </c>
      <c r="H87" s="227"/>
    </row>
    <row r="88" spans="1:8" ht="15" customHeight="1" x14ac:dyDescent="0.25">
      <c r="A88" s="75" t="s">
        <v>79</v>
      </c>
      <c r="B88" s="69">
        <f>SUBoard!B88+SUBR!B88+SUNO!B88+SUSLA!B88+SULaw!B88+SUAg!B88</f>
        <v>4804743</v>
      </c>
      <c r="C88" s="69">
        <f>SUBoard!C88+SUBR!C88+SUNO!C88+SUSLA!C88+SULaw!C88+SUAg!C88</f>
        <v>0</v>
      </c>
      <c r="D88" s="69">
        <f>SUBoard!D88+SUBR!D88+SUNO!D88+SUSLA!D88+SULaw!D88+SUAg!D88</f>
        <v>0</v>
      </c>
      <c r="E88" s="69">
        <f t="shared" si="7"/>
        <v>0</v>
      </c>
      <c r="F88" s="70">
        <f t="shared" si="6"/>
        <v>0</v>
      </c>
      <c r="G88" s="69">
        <f>SUBoard!G88+SUBR!G88+SUNO!G88+SUSLA!G88+SULaw!G88+SUAg!G88</f>
        <v>0</v>
      </c>
      <c r="H88" s="227"/>
    </row>
    <row r="89" spans="1:8" ht="15" customHeight="1" x14ac:dyDescent="0.25">
      <c r="A89" s="75" t="s">
        <v>80</v>
      </c>
      <c r="B89" s="69">
        <f>SUBoard!B89+SUBR!B89+SUNO!B89+SUSLA!B89+SULaw!B89+SUAg!B89</f>
        <v>7451569</v>
      </c>
      <c r="C89" s="69">
        <f>SUBoard!C89+SUBR!C89+SUNO!C89+SUSLA!C89+SULaw!C89+SUAg!C89</f>
        <v>6074862</v>
      </c>
      <c r="D89" s="69">
        <f>SUBoard!D89+SUBR!D89+SUNO!D89+SUSLA!D89+SULaw!D89+SUAg!D89</f>
        <v>5656140</v>
      </c>
      <c r="E89" s="69">
        <f t="shared" si="7"/>
        <v>-418722</v>
      </c>
      <c r="F89" s="70">
        <f t="shared" si="6"/>
        <v>-6.8926997847852348E-2</v>
      </c>
      <c r="G89" s="69">
        <f>SUBoard!G89+SUBR!G89+SUNO!G89+SUSLA!G89+SULaw!G89+SUAg!G89</f>
        <v>5656140</v>
      </c>
      <c r="H89" s="227"/>
    </row>
    <row r="90" spans="1:8" s="124" customFormat="1" ht="15" customHeight="1" x14ac:dyDescent="0.25">
      <c r="A90" s="78" t="s">
        <v>81</v>
      </c>
      <c r="B90" s="87">
        <f>SUBoard!B90+SUBR!B90+SUNO!B90+SUSLA!B90+SULaw!B90+SUAg!B90</f>
        <v>31809072.760000002</v>
      </c>
      <c r="C90" s="87">
        <f>SUBoard!C90+SUBR!C90+SUNO!C90+SUSLA!C90+SULaw!C90+SUAg!C90</f>
        <v>30483131</v>
      </c>
      <c r="D90" s="87">
        <f>SUBoard!D90+SUBR!D90+SUNO!D90+SUSLA!D90+SULaw!D90+SUAg!D90</f>
        <v>28599116.300000001</v>
      </c>
      <c r="E90" s="87">
        <f t="shared" si="7"/>
        <v>-1884014.6999999993</v>
      </c>
      <c r="F90" s="81">
        <f t="shared" si="6"/>
        <v>-6.1805157088358126E-2</v>
      </c>
      <c r="G90" s="87">
        <f>SUBoard!G90+SUBR!G90+SUNO!G90+SUSLA!G90+SULaw!G90+SUAg!G90</f>
        <v>29016407.300000001</v>
      </c>
      <c r="H90" s="228"/>
    </row>
    <row r="91" spans="1:8" ht="15" customHeight="1" x14ac:dyDescent="0.25">
      <c r="A91" s="75" t="s">
        <v>82</v>
      </c>
      <c r="B91" s="69">
        <f>SUBoard!B91+SUBR!B91+SUNO!B91+SUSLA!B91+SULaw!B91+SUAg!B91</f>
        <v>146900.25</v>
      </c>
      <c r="C91" s="69">
        <f>SUBoard!C91+SUBR!C91+SUNO!C91+SUSLA!C91+SULaw!C91+SUAg!C91</f>
        <v>143196</v>
      </c>
      <c r="D91" s="69">
        <f>SUBoard!D91+SUBR!D91+SUNO!D91+SUSLA!D91+SULaw!D91+SUAg!D91</f>
        <v>227382</v>
      </c>
      <c r="E91" s="69">
        <f t="shared" si="7"/>
        <v>84186</v>
      </c>
      <c r="F91" s="70">
        <f t="shared" si="6"/>
        <v>0.58790748344925836</v>
      </c>
      <c r="G91" s="69">
        <f>SUBoard!G91+SUBR!G91+SUNO!G91+SUSLA!G91+SULaw!G91+SUAg!G91</f>
        <v>227382</v>
      </c>
      <c r="H91" s="227"/>
    </row>
    <row r="92" spans="1:8" ht="15" customHeight="1" x14ac:dyDescent="0.25">
      <c r="A92" s="75" t="s">
        <v>83</v>
      </c>
      <c r="B92" s="69">
        <f>SUBoard!B92+SUBR!B92+SUNO!B92+SUSLA!B92+SULaw!B92+SUAg!B92</f>
        <v>757995.85000000009</v>
      </c>
      <c r="C92" s="69">
        <f>SUBoard!C92+SUBR!C92+SUNO!C92+SUSLA!C92+SULaw!C92+SUAg!C92</f>
        <v>675548</v>
      </c>
      <c r="D92" s="69">
        <f>SUBoard!D92+SUBR!D92+SUNO!D92+SUSLA!D92+SULaw!D92+SUAg!D92</f>
        <v>562649</v>
      </c>
      <c r="E92" s="69">
        <f t="shared" si="7"/>
        <v>-112899</v>
      </c>
      <c r="F92" s="70">
        <f t="shared" si="6"/>
        <v>-0.16712209939190109</v>
      </c>
      <c r="G92" s="69">
        <f>SUBoard!G92+SUBR!G92+SUNO!G92+SUSLA!G92+SULaw!G92+SUAg!G92</f>
        <v>562649</v>
      </c>
      <c r="H92" s="227"/>
    </row>
    <row r="93" spans="1:8" ht="15" customHeight="1" x14ac:dyDescent="0.25">
      <c r="A93" s="83" t="s">
        <v>84</v>
      </c>
      <c r="B93" s="69">
        <f>SUBoard!B93+SUBR!B93+SUNO!B93+SUSLA!B93+SULaw!B93+SUAg!B93</f>
        <v>124326.09</v>
      </c>
      <c r="C93" s="69">
        <f>SUBoard!C93+SUBR!C93+SUNO!C93+SUSLA!C93+SULaw!C93+SUAg!C93</f>
        <v>100000</v>
      </c>
      <c r="D93" s="69">
        <f>SUBoard!D93+SUBR!D93+SUNO!D93+SUSLA!D93+SULaw!D93+SUAg!D93</f>
        <v>0</v>
      </c>
      <c r="E93" s="69">
        <f t="shared" si="7"/>
        <v>-100000</v>
      </c>
      <c r="F93" s="70">
        <f t="shared" si="6"/>
        <v>-1</v>
      </c>
      <c r="G93" s="69">
        <f>SUBoard!G93+SUBR!G93+SUNO!G93+SUSLA!G93+SULaw!G93+SUAg!G93</f>
        <v>0</v>
      </c>
      <c r="H93" s="227"/>
    </row>
    <row r="94" spans="1:8" s="124" customFormat="1" ht="15" customHeight="1" x14ac:dyDescent="0.25">
      <c r="A94" s="97" t="s">
        <v>85</v>
      </c>
      <c r="B94" s="87">
        <f>SUBoard!B94+SUBR!B94+SUNO!B94+SUSLA!B94+SULaw!B94+SUAg!B94</f>
        <v>1029222.1900000001</v>
      </c>
      <c r="C94" s="87">
        <f>SUBoard!C94+SUBR!C94+SUNO!C94+SUSLA!C94+SULaw!C94+SUAg!C94</f>
        <v>918744</v>
      </c>
      <c r="D94" s="87">
        <f>SUBoard!D94+SUBR!D94+SUNO!D94+SUSLA!D94+SULaw!D94+SUAg!D94</f>
        <v>790031</v>
      </c>
      <c r="E94" s="87">
        <f t="shared" si="7"/>
        <v>-128713</v>
      </c>
      <c r="F94" s="81">
        <f t="shared" si="6"/>
        <v>-0.14009669723013157</v>
      </c>
      <c r="G94" s="87">
        <f>SUBoard!G94+SUBR!G94+SUNO!G94+SUSLA!G94+SULaw!G94+SUAg!G94</f>
        <v>790031</v>
      </c>
      <c r="H94" s="228"/>
    </row>
    <row r="95" spans="1:8" ht="15" customHeight="1" x14ac:dyDescent="0.25">
      <c r="A95" s="83" t="s">
        <v>86</v>
      </c>
      <c r="B95" s="69">
        <f>SUBoard!B95+SUBR!B95+SUNO!B95+SUSLA!B95+SULaw!B95+SUAg!B95</f>
        <v>0</v>
      </c>
      <c r="C95" s="69">
        <f>SUBoard!C95+SUBR!C95+SUNO!C95+SUSLA!C95+SULaw!C95+SUAg!C95</f>
        <v>0</v>
      </c>
      <c r="D95" s="69">
        <f>SUBoard!D95+SUBR!D95+SUNO!D95+SUSLA!D95+SULaw!D95+SUAg!D95</f>
        <v>0</v>
      </c>
      <c r="E95" s="69">
        <f t="shared" si="7"/>
        <v>0</v>
      </c>
      <c r="F95" s="70">
        <f t="shared" si="6"/>
        <v>0</v>
      </c>
      <c r="G95" s="69">
        <f>SUBoard!G95+SUBR!G95+SUNO!G95+SUSLA!G95+SULaw!G95+SUAg!G95</f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SUBoard!B96+SUBR!B96+SUNO!B96+SUSLA!B96+SULaw!B96+SUAg!B96+1</f>
        <v>157563789.04000002</v>
      </c>
      <c r="C96" s="196">
        <f>SUBoard!C96+SUBR!C96+SUNO!C96+SUSLA!C96+SULaw!C96+SUAg!C96</f>
        <v>165308300.18000001</v>
      </c>
      <c r="D96" s="196">
        <f>SUBoard!D96+SUBR!D96+SUNO!D96+SUSLA!D96+SULaw!D96+SUAg!D96</f>
        <v>155459016.76600003</v>
      </c>
      <c r="E96" s="197">
        <f>D96-C96</f>
        <v>-9849283.4139999747</v>
      </c>
      <c r="F96" s="198">
        <f t="shared" si="6"/>
        <v>-5.9581299930344334E-2</v>
      </c>
      <c r="G96" s="196">
        <f>SUBoard!G96+SUBR!G96+SUNO!G96+SUSLA!G96+SULaw!G96+SUAg!G96</f>
        <v>158890328.76600003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" t="s">
        <v>197</v>
      </c>
    </row>
    <row r="99" spans="1:9" x14ac:dyDescent="0.25">
      <c r="A99" s="1" t="s">
        <v>190</v>
      </c>
    </row>
  </sheetData>
  <mergeCells count="1">
    <mergeCell ref="G2:G3"/>
  </mergeCells>
  <hyperlinks>
    <hyperlink ref="I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130</v>
      </c>
      <c r="F1" s="56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3305062</v>
      </c>
      <c r="C8" s="69">
        <v>3305062</v>
      </c>
      <c r="D8" s="69">
        <v>4399565</v>
      </c>
      <c r="E8" s="69">
        <f>D8-C8</f>
        <v>1094503</v>
      </c>
      <c r="F8" s="70">
        <f t="shared" ref="F8:F31" si="0">IF(ISBLANK(E8),"  ",IF(C8&gt;0,E8/C8,IF(E8&gt;0,1,0)))</f>
        <v>0.33115959700604708</v>
      </c>
      <c r="G8" s="69">
        <v>4399565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0</v>
      </c>
      <c r="C10" s="72">
        <v>0</v>
      </c>
      <c r="D10" s="72">
        <v>0</v>
      </c>
      <c r="E10" s="69">
        <f t="shared" ref="E10:E31" si="1">D10-C10</f>
        <v>0</v>
      </c>
      <c r="F10" s="70">
        <f t="shared" si="0"/>
        <v>0</v>
      </c>
      <c r="G10" s="72">
        <v>0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0</v>
      </c>
      <c r="C12" s="74">
        <v>0</v>
      </c>
      <c r="D12" s="74">
        <v>0</v>
      </c>
      <c r="E12" s="69">
        <f t="shared" si="1"/>
        <v>0</v>
      </c>
      <c r="F12" s="70">
        <f t="shared" si="0"/>
        <v>0</v>
      </c>
      <c r="G12" s="74">
        <v>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SUM(B8:B10,B33,B35,B36)</f>
        <v>3305062</v>
      </c>
      <c r="C37" s="80">
        <f t="shared" ref="C37" si="2">SUM(C8:C10,C33,C35,C36)</f>
        <v>3305062</v>
      </c>
      <c r="D37" s="80">
        <f>SUM(D8:D10,D33,D35,D36)</f>
        <v>4399565</v>
      </c>
      <c r="E37" s="80">
        <f>D37-C37</f>
        <v>1094503</v>
      </c>
      <c r="F37" s="81">
        <f>IF(ISBLANK(E37),"  ",IF(C37&gt;0,E37/C37,IF(E37&gt;0,1,0)))</f>
        <v>0.33115959700604708</v>
      </c>
      <c r="G37" s="80">
        <f>SUM(G8:G10,G33,G35,G36)</f>
        <v>4399565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0</v>
      </c>
      <c r="C48" s="87">
        <v>0</v>
      </c>
      <c r="D48" s="87">
        <v>0</v>
      </c>
      <c r="E48" s="87">
        <f>D48-C48</f>
        <v>0</v>
      </c>
      <c r="F48" s="81">
        <f>IF(ISBLANK(E48)," ",IF(C48&gt;0,E48/C48,IF(E48&gt;0,1,0)))</f>
        <v>0</v>
      </c>
      <c r="G48" s="87">
        <v>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0</v>
      </c>
      <c r="C52" s="85">
        <v>0</v>
      </c>
      <c r="D52" s="85">
        <v>0</v>
      </c>
      <c r="E52" s="85">
        <f>D52-C52</f>
        <v>0</v>
      </c>
      <c r="F52" s="81">
        <f>IF(ISBLANK(E52),"  ",IF(C52&gt;0,E52/C52,IF(E52&gt;0,1,0)))</f>
        <v>0</v>
      </c>
      <c r="G52" s="85">
        <v>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3305062</v>
      </c>
      <c r="C58" s="85">
        <f>SUM(C37,C46,C48,C50,C52,C54,C56)-C44</f>
        <v>3305062</v>
      </c>
      <c r="D58" s="85">
        <f>SUM(D37,D46,D48,D50,D52,D54,D56)-D44</f>
        <v>4399565</v>
      </c>
      <c r="E58" s="85">
        <f>D58-C58</f>
        <v>1094503</v>
      </c>
      <c r="F58" s="81">
        <f>IF(ISBLANK(E58),"  ",IF(C58&gt;0,E58/C58,IF(E58&gt;0,1,0)))</f>
        <v>0.33115959700604708</v>
      </c>
      <c r="G58" s="85">
        <f>SUM(G37,G46,G48,G50,G52,G54,G56)-G44</f>
        <v>4399565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0</v>
      </c>
      <c r="C62" s="65">
        <v>0</v>
      </c>
      <c r="D62" s="65">
        <v>0</v>
      </c>
      <c r="E62" s="65">
        <f>D62-C62</f>
        <v>0</v>
      </c>
      <c r="F62" s="70">
        <f t="shared" ref="F62:F75" si="5">IF(ISBLANK(E62),"  ",IF(C62&gt;0,E62/C62,IF(E62&gt;0,1,0)))</f>
        <v>0</v>
      </c>
      <c r="G62" s="65">
        <v>0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74">
        <f>D63-C63</f>
        <v>0</v>
      </c>
      <c r="F63" s="70">
        <f t="shared" si="5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74">
        <f t="shared" ref="E64:E75" si="6">D64-C64</f>
        <v>0</v>
      </c>
      <c r="F64" s="70">
        <f t="shared" si="5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92289</v>
      </c>
      <c r="C65" s="74">
        <v>104250</v>
      </c>
      <c r="D65" s="74">
        <v>104250</v>
      </c>
      <c r="E65" s="74">
        <f t="shared" si="6"/>
        <v>0</v>
      </c>
      <c r="F65" s="70">
        <f t="shared" si="5"/>
        <v>0</v>
      </c>
      <c r="G65" s="74">
        <v>104250</v>
      </c>
      <c r="H65" s="227"/>
    </row>
    <row r="66" spans="1:8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74">
        <f t="shared" si="6"/>
        <v>0</v>
      </c>
      <c r="F66" s="70">
        <f t="shared" si="5"/>
        <v>0</v>
      </c>
      <c r="G66" s="74">
        <v>0</v>
      </c>
      <c r="H66" s="227"/>
    </row>
    <row r="67" spans="1:8" ht="15" customHeight="1" x14ac:dyDescent="0.25">
      <c r="A67" s="75" t="s">
        <v>59</v>
      </c>
      <c r="B67" s="74">
        <v>3212772.98</v>
      </c>
      <c r="C67" s="74">
        <v>3200812</v>
      </c>
      <c r="D67" s="74">
        <v>4295315</v>
      </c>
      <c r="E67" s="74">
        <f t="shared" si="6"/>
        <v>1094503</v>
      </c>
      <c r="F67" s="70">
        <f t="shared" si="5"/>
        <v>0.34194541884996682</v>
      </c>
      <c r="G67" s="74">
        <v>4295315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74">
        <f t="shared" si="6"/>
        <v>0</v>
      </c>
      <c r="F68" s="70">
        <f t="shared" si="5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0</v>
      </c>
      <c r="C69" s="74">
        <v>0</v>
      </c>
      <c r="D69" s="74">
        <v>0</v>
      </c>
      <c r="E69" s="74">
        <f t="shared" si="6"/>
        <v>0</v>
      </c>
      <c r="F69" s="70">
        <f t="shared" si="5"/>
        <v>0</v>
      </c>
      <c r="G69" s="74">
        <v>0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3305061.98</v>
      </c>
      <c r="C70" s="80">
        <f t="shared" ref="C70:D70" si="7">SUM(C62:C69)</f>
        <v>3305062</v>
      </c>
      <c r="D70" s="80">
        <f t="shared" si="7"/>
        <v>4399565</v>
      </c>
      <c r="E70" s="80">
        <f t="shared" si="6"/>
        <v>1094503</v>
      </c>
      <c r="F70" s="81">
        <f t="shared" si="5"/>
        <v>0.33115959700604708</v>
      </c>
      <c r="G70" s="80">
        <f>SUM(G62:G69)</f>
        <v>4399565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6"/>
        <v>0</v>
      </c>
      <c r="F71" s="70">
        <f t="shared" si="5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74">
        <f t="shared" si="6"/>
        <v>0</v>
      </c>
      <c r="F72" s="70">
        <f t="shared" si="5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6"/>
        <v>0</v>
      </c>
      <c r="F73" s="70">
        <f t="shared" si="5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6"/>
        <v>0</v>
      </c>
      <c r="F74" s="70">
        <f t="shared" si="5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SUM(B70:B74)</f>
        <v>3305061.98</v>
      </c>
      <c r="C75" s="96">
        <f t="shared" ref="C75:D75" si="8">SUM(C70:C74)</f>
        <v>3305062</v>
      </c>
      <c r="D75" s="96">
        <f t="shared" si="8"/>
        <v>4399565</v>
      </c>
      <c r="E75" s="231">
        <f t="shared" si="6"/>
        <v>1094503</v>
      </c>
      <c r="F75" s="81">
        <f t="shared" si="5"/>
        <v>0.33115959700604708</v>
      </c>
      <c r="G75" s="96">
        <f>SUM(G70:G74)</f>
        <v>4399565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1602629</v>
      </c>
      <c r="C78" s="69">
        <v>1625960</v>
      </c>
      <c r="D78" s="69">
        <v>1649530</v>
      </c>
      <c r="E78" s="65">
        <f>D78-C78</f>
        <v>23570</v>
      </c>
      <c r="F78" s="70">
        <f t="shared" ref="F78:F96" si="9">IF(ISBLANK(E78),"  ",IF(C78&gt;0,E78/C78,IF(E78&gt;0,1,0)))</f>
        <v>1.4496051563384092E-2</v>
      </c>
      <c r="G78" s="69">
        <v>1649530</v>
      </c>
      <c r="H78" s="227"/>
    </row>
    <row r="79" spans="1:8" ht="15" customHeight="1" x14ac:dyDescent="0.25">
      <c r="A79" s="75" t="s">
        <v>70</v>
      </c>
      <c r="B79" s="72">
        <v>109000</v>
      </c>
      <c r="C79" s="72">
        <v>88000</v>
      </c>
      <c r="D79" s="72">
        <v>88000</v>
      </c>
      <c r="E79" s="74">
        <f>D79-C79</f>
        <v>0</v>
      </c>
      <c r="F79" s="70">
        <f t="shared" si="9"/>
        <v>0</v>
      </c>
      <c r="G79" s="72">
        <v>88000</v>
      </c>
      <c r="H79" s="227"/>
    </row>
    <row r="80" spans="1:8" ht="15" customHeight="1" x14ac:dyDescent="0.25">
      <c r="A80" s="75" t="s">
        <v>71</v>
      </c>
      <c r="B80" s="65">
        <v>658493</v>
      </c>
      <c r="C80" s="65">
        <v>760749</v>
      </c>
      <c r="D80" s="65">
        <v>769942</v>
      </c>
      <c r="E80" s="74">
        <f t="shared" ref="E80:E95" si="10">D80-C80</f>
        <v>9193</v>
      </c>
      <c r="F80" s="70">
        <f t="shared" si="9"/>
        <v>1.2084143390264068E-2</v>
      </c>
      <c r="G80" s="65">
        <v>769942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2370122</v>
      </c>
      <c r="C81" s="96">
        <f t="shared" ref="C81:D81" si="11">SUM(C78:C80)</f>
        <v>2474709</v>
      </c>
      <c r="D81" s="96">
        <f t="shared" si="11"/>
        <v>2507472</v>
      </c>
      <c r="E81" s="80">
        <f t="shared" si="10"/>
        <v>32763</v>
      </c>
      <c r="F81" s="81">
        <f t="shared" si="9"/>
        <v>1.3239132358592465E-2</v>
      </c>
      <c r="G81" s="96">
        <f>SUM(G78:G80)</f>
        <v>2507472</v>
      </c>
      <c r="H81" s="228"/>
    </row>
    <row r="82" spans="1:8" ht="15" customHeight="1" x14ac:dyDescent="0.25">
      <c r="A82" s="75" t="s">
        <v>73</v>
      </c>
      <c r="B82" s="72">
        <v>69643</v>
      </c>
      <c r="C82" s="72">
        <v>185000</v>
      </c>
      <c r="D82" s="72">
        <v>185000</v>
      </c>
      <c r="E82" s="74">
        <f t="shared" si="10"/>
        <v>0</v>
      </c>
      <c r="F82" s="70">
        <f t="shared" si="9"/>
        <v>0</v>
      </c>
      <c r="G82" s="72">
        <v>185000</v>
      </c>
      <c r="H82" s="227"/>
    </row>
    <row r="83" spans="1:8" ht="15" customHeight="1" x14ac:dyDescent="0.25">
      <c r="A83" s="75" t="s">
        <v>74</v>
      </c>
      <c r="B83" s="69">
        <v>138720</v>
      </c>
      <c r="C83" s="69">
        <v>171100</v>
      </c>
      <c r="D83" s="69">
        <v>171100</v>
      </c>
      <c r="E83" s="74">
        <f t="shared" si="10"/>
        <v>0</v>
      </c>
      <c r="F83" s="70">
        <f t="shared" si="9"/>
        <v>0</v>
      </c>
      <c r="G83" s="69">
        <v>171100</v>
      </c>
      <c r="H83" s="227"/>
    </row>
    <row r="84" spans="1:8" ht="15" customHeight="1" x14ac:dyDescent="0.25">
      <c r="A84" s="75" t="s">
        <v>75</v>
      </c>
      <c r="B84" s="65">
        <v>33431</v>
      </c>
      <c r="C84" s="65">
        <v>80000</v>
      </c>
      <c r="D84" s="65">
        <v>80000</v>
      </c>
      <c r="E84" s="74">
        <f t="shared" si="10"/>
        <v>0</v>
      </c>
      <c r="F84" s="70">
        <f t="shared" si="9"/>
        <v>0</v>
      </c>
      <c r="G84" s="65">
        <v>80000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241794</v>
      </c>
      <c r="C85" s="96">
        <f t="shared" ref="C85:D85" si="12">SUM(C82:C84)</f>
        <v>436100</v>
      </c>
      <c r="D85" s="96">
        <f t="shared" si="12"/>
        <v>436100</v>
      </c>
      <c r="E85" s="80">
        <f t="shared" si="10"/>
        <v>0</v>
      </c>
      <c r="F85" s="81">
        <f t="shared" si="9"/>
        <v>0</v>
      </c>
      <c r="G85" s="96">
        <f>SUM(G82:G84)</f>
        <v>436100</v>
      </c>
      <c r="H85" s="228"/>
    </row>
    <row r="86" spans="1:8" ht="15" customHeight="1" x14ac:dyDescent="0.25">
      <c r="A86" s="75" t="s">
        <v>77</v>
      </c>
      <c r="B86" s="65">
        <v>36540</v>
      </c>
      <c r="C86" s="65">
        <v>94000</v>
      </c>
      <c r="D86" s="65">
        <v>94000</v>
      </c>
      <c r="E86" s="74">
        <f t="shared" si="10"/>
        <v>0</v>
      </c>
      <c r="F86" s="70">
        <f t="shared" si="9"/>
        <v>0</v>
      </c>
      <c r="G86" s="65">
        <v>94000</v>
      </c>
      <c r="H86" s="227"/>
    </row>
    <row r="87" spans="1:8" ht="15" customHeight="1" x14ac:dyDescent="0.25">
      <c r="A87" s="75" t="s">
        <v>78</v>
      </c>
      <c r="B87" s="74">
        <v>640720.98</v>
      </c>
      <c r="C87" s="74">
        <v>275253</v>
      </c>
      <c r="D87" s="74">
        <v>1336993</v>
      </c>
      <c r="E87" s="74">
        <f t="shared" si="10"/>
        <v>1061740</v>
      </c>
      <c r="F87" s="70">
        <f t="shared" si="9"/>
        <v>3.8573239892026607</v>
      </c>
      <c r="G87" s="74">
        <v>1336993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0"/>
        <v>0</v>
      </c>
      <c r="F88" s="70">
        <f t="shared" si="9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0</v>
      </c>
      <c r="C89" s="74">
        <v>0</v>
      </c>
      <c r="D89" s="74">
        <v>0</v>
      </c>
      <c r="E89" s="74">
        <f t="shared" si="10"/>
        <v>0</v>
      </c>
      <c r="F89" s="70">
        <f t="shared" si="9"/>
        <v>0</v>
      </c>
      <c r="G89" s="74">
        <v>0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677260.98</v>
      </c>
      <c r="C90" s="80">
        <f t="shared" ref="C90:D90" si="13">SUM(C86:C89)</f>
        <v>369253</v>
      </c>
      <c r="D90" s="80">
        <f t="shared" si="13"/>
        <v>1430993</v>
      </c>
      <c r="E90" s="80">
        <f t="shared" si="10"/>
        <v>1061740</v>
      </c>
      <c r="F90" s="81">
        <f t="shared" si="9"/>
        <v>2.8753727119346357</v>
      </c>
      <c r="G90" s="80">
        <f>SUM(G86:G89)</f>
        <v>1430993</v>
      </c>
      <c r="H90" s="228"/>
    </row>
    <row r="91" spans="1:8" ht="15" customHeight="1" x14ac:dyDescent="0.25">
      <c r="A91" s="75" t="s">
        <v>82</v>
      </c>
      <c r="B91" s="74">
        <v>15885</v>
      </c>
      <c r="C91" s="74">
        <v>25000</v>
      </c>
      <c r="D91" s="74">
        <v>25000</v>
      </c>
      <c r="E91" s="74">
        <f t="shared" si="10"/>
        <v>0</v>
      </c>
      <c r="F91" s="70">
        <f t="shared" si="9"/>
        <v>0</v>
      </c>
      <c r="G91" s="74">
        <v>25000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0"/>
        <v>0</v>
      </c>
      <c r="F92" s="70">
        <f t="shared" si="9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0"/>
        <v>0</v>
      </c>
      <c r="F93" s="70">
        <f t="shared" si="9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15885</v>
      </c>
      <c r="C94" s="96">
        <f t="shared" ref="C94:D94" si="14">SUM(C91:C93)</f>
        <v>25000</v>
      </c>
      <c r="D94" s="96">
        <f t="shared" si="14"/>
        <v>25000</v>
      </c>
      <c r="E94" s="80">
        <f t="shared" si="10"/>
        <v>0</v>
      </c>
      <c r="F94" s="81">
        <f t="shared" si="9"/>
        <v>0</v>
      </c>
      <c r="G94" s="96">
        <f>SUM(G91:G93)</f>
        <v>25000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0"/>
        <v>0</v>
      </c>
      <c r="F95" s="70">
        <f t="shared" si="9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3305061.98</v>
      </c>
      <c r="C96" s="196">
        <f>SUM(C81,C85,C90,C94,C95)</f>
        <v>3305062</v>
      </c>
      <c r="D96" s="196">
        <f>SUM(D81,D85,D90,D94,D95)</f>
        <v>4399565</v>
      </c>
      <c r="E96" s="196">
        <f>D96-C96</f>
        <v>1094503</v>
      </c>
      <c r="F96" s="198">
        <f t="shared" si="9"/>
        <v>0.33115959700604708</v>
      </c>
      <c r="G96" s="196">
        <f>SUM(G81,G85,G90,G94,G95)</f>
        <v>4399565</v>
      </c>
      <c r="H96" s="228"/>
    </row>
    <row r="97" spans="1:9" s="124" customFormat="1" ht="15" customHeight="1" thickTop="1" x14ac:dyDescent="0.4">
      <c r="A97" s="26"/>
      <c r="B97" s="27"/>
      <c r="C97" s="27"/>
      <c r="D97" s="27"/>
      <c r="E97" s="27"/>
      <c r="F97" s="28"/>
      <c r="G97" s="215"/>
      <c r="H97" s="215"/>
      <c r="I97" s="216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49.7109375" style="139" customWidth="1"/>
    <col min="11" max="16384" width="9.140625" style="139"/>
  </cols>
  <sheetData>
    <row r="1" spans="1:9" ht="19.5" customHeight="1" thickBot="1" x14ac:dyDescent="0.3">
      <c r="A1" s="30" t="s">
        <v>0</v>
      </c>
      <c r="B1" s="31"/>
      <c r="D1" s="55" t="s">
        <v>1</v>
      </c>
      <c r="E1" s="29" t="str">
        <f>[1]Revenue!B2</f>
        <v xml:space="preserve">Southern University and A&amp;M College </v>
      </c>
      <c r="F1" s="29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19433021</v>
      </c>
      <c r="C8" s="69">
        <v>19433021</v>
      </c>
      <c r="D8" s="69">
        <v>17275725</v>
      </c>
      <c r="E8" s="69">
        <f>D8-C8</f>
        <v>-2157296</v>
      </c>
      <c r="F8" s="70">
        <f t="shared" ref="F8:F31" si="0">IF(ISBLANK(E8),"  ",IF(C8&gt;0,E8/C8,IF(E8&gt;0,1,0)))</f>
        <v>-0.11101186995063711</v>
      </c>
      <c r="G8" s="69">
        <v>17275725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1530744.83</v>
      </c>
      <c r="C10" s="72">
        <v>1858544</v>
      </c>
      <c r="D10" s="72">
        <v>1593248</v>
      </c>
      <c r="E10" s="69">
        <f t="shared" ref="E10:E31" si="1">D10-C10</f>
        <v>-265296</v>
      </c>
      <c r="F10" s="70">
        <f t="shared" si="0"/>
        <v>-0.14274399745176869</v>
      </c>
      <c r="G10" s="72">
        <v>1593248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1521420</v>
      </c>
      <c r="C12" s="74">
        <v>1849219</v>
      </c>
      <c r="D12" s="74">
        <v>1593248</v>
      </c>
      <c r="E12" s="69">
        <f t="shared" si="1"/>
        <v>-255971</v>
      </c>
      <c r="F12" s="70">
        <f t="shared" si="0"/>
        <v>-0.13842113886997701</v>
      </c>
      <c r="G12" s="74">
        <v>1593248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9325</v>
      </c>
      <c r="C30" s="74">
        <v>9325</v>
      </c>
      <c r="D30" s="74">
        <v>0</v>
      </c>
      <c r="E30" s="69">
        <f t="shared" si="1"/>
        <v>-9325</v>
      </c>
      <c r="F30" s="70">
        <f t="shared" si="0"/>
        <v>-1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235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235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SUM(B8:B10,B33,B35,B36)</f>
        <v>20963765.829999998</v>
      </c>
      <c r="C37" s="80">
        <f t="shared" ref="C37" si="2">SUM(C8:C10,C33,C35,C36)</f>
        <v>21291565</v>
      </c>
      <c r="D37" s="80">
        <f>SUM(D8:D10,D33,D35,D36)</f>
        <v>18868973</v>
      </c>
      <c r="E37" s="80">
        <f>D37-C37</f>
        <v>-2422592</v>
      </c>
      <c r="F37" s="70">
        <f>IF(ISBLANK(E37),"  ",IF(C37&gt;0,E37/C37,IF(E37&gt;0,1,0)))</f>
        <v>-0.11378177226521395</v>
      </c>
      <c r="G37" s="80">
        <f>SUM(G8:G10,G33,G35,G36)</f>
        <v>18868973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235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70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235"/>
      <c r="G45" s="74"/>
      <c r="H45" s="227"/>
    </row>
    <row r="46" spans="1:13" s="124" customFormat="1" ht="15" customHeight="1" x14ac:dyDescent="0.25">
      <c r="A46" s="86" t="s">
        <v>47</v>
      </c>
      <c r="B46" s="87">
        <v>2919450</v>
      </c>
      <c r="C46" s="87">
        <v>2931387</v>
      </c>
      <c r="D46" s="87">
        <v>3028515</v>
      </c>
      <c r="E46" s="87">
        <f>D46-C46</f>
        <v>97128</v>
      </c>
      <c r="F46" s="70">
        <f>IF(ISBLANK(E46),"  ",IF(C46&gt;0,E46/C46,IF(E46&gt;0,1,0)))</f>
        <v>3.313380321329118E-2</v>
      </c>
      <c r="G46" s="87">
        <v>3028515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235"/>
      <c r="G47" s="80"/>
      <c r="H47" s="228"/>
    </row>
    <row r="48" spans="1:13" ht="15" customHeight="1" x14ac:dyDescent="0.25">
      <c r="A48" s="86" t="s">
        <v>200</v>
      </c>
      <c r="B48" s="87">
        <v>1571855</v>
      </c>
      <c r="C48" s="87">
        <v>1668983</v>
      </c>
      <c r="D48" s="87">
        <v>0</v>
      </c>
      <c r="E48" s="87">
        <f>D48-C48</f>
        <v>-1668983</v>
      </c>
      <c r="F48" s="70">
        <f>IF(ISBLANK(E48)," ",IF(C48&gt;0,E48/C48,IF(E48&gt;0,1,0)))</f>
        <v>-1</v>
      </c>
      <c r="G48" s="87">
        <v>1668983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235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70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235"/>
      <c r="G51" s="74"/>
      <c r="H51" s="227"/>
    </row>
    <row r="52" spans="1:8" s="124" customFormat="1" ht="15" customHeight="1" x14ac:dyDescent="0.25">
      <c r="A52" s="77" t="s">
        <v>49</v>
      </c>
      <c r="B52" s="85">
        <v>61527994.640000001</v>
      </c>
      <c r="C52" s="85">
        <v>65424557</v>
      </c>
      <c r="D52" s="85">
        <v>62181366</v>
      </c>
      <c r="E52" s="85">
        <f>D52-C52</f>
        <v>-3243191</v>
      </c>
      <c r="F52" s="70">
        <f>IF(ISBLANK(E52),"  ",IF(C52&gt;0,E52/C52,IF(E52&gt;0,1,0)))</f>
        <v>-4.9571462898862273E-2</v>
      </c>
      <c r="G52" s="85">
        <v>62181366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235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70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235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70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235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86983065.469999999</v>
      </c>
      <c r="C58" s="85">
        <f>SUM(C37,C46,C48,C50,C52,C54,C56)-C44</f>
        <v>91316492</v>
      </c>
      <c r="D58" s="85">
        <f>SUM(D37,D46,D48,D50,D52,D54,D56)-D44</f>
        <v>84078854</v>
      </c>
      <c r="E58" s="85">
        <f>D58-C58</f>
        <v>-7237638</v>
      </c>
      <c r="F58" s="70">
        <f>IF(ISBLANK(E58),"  ",IF(C58&gt;0,E58/C58,IF(E58&gt;0,1,0)))</f>
        <v>-7.9258826543621499E-2</v>
      </c>
      <c r="G58" s="85">
        <f>SUM(G37,G46,G48,G50,G52,G54,G56)-G44</f>
        <v>85747837</v>
      </c>
      <c r="H58" s="228"/>
    </row>
    <row r="59" spans="1:8" ht="15" customHeight="1" x14ac:dyDescent="0.25">
      <c r="A59" s="92"/>
      <c r="B59" s="74"/>
      <c r="C59" s="74">
        <f>C58-C37</f>
        <v>70024927</v>
      </c>
      <c r="D59" s="74"/>
      <c r="E59" s="74"/>
      <c r="F59" s="235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90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90"/>
      <c r="G61" s="65"/>
      <c r="H61" s="227"/>
    </row>
    <row r="62" spans="1:8" ht="15" customHeight="1" x14ac:dyDescent="0.25">
      <c r="A62" s="73" t="s">
        <v>54</v>
      </c>
      <c r="B62" s="65">
        <v>32498490.859999999</v>
      </c>
      <c r="C62" s="65">
        <v>38601933</v>
      </c>
      <c r="D62" s="65">
        <v>33809248.829999998</v>
      </c>
      <c r="E62" s="65">
        <f>D62-C62</f>
        <v>-4792684.1700000018</v>
      </c>
      <c r="F62" s="70">
        <f t="shared" ref="F62:F75" si="5">IF(ISBLANK(E62),"  ",IF(C62&gt;0,E62/C62,IF(E62&gt;0,1,0)))</f>
        <v>-0.12415658485288811</v>
      </c>
      <c r="G62" s="65">
        <v>35478231.829999998</v>
      </c>
      <c r="H62" s="227"/>
    </row>
    <row r="63" spans="1:8" ht="15" customHeight="1" x14ac:dyDescent="0.25">
      <c r="A63" s="75" t="s">
        <v>55</v>
      </c>
      <c r="B63" s="74">
        <v>382143.16</v>
      </c>
      <c r="C63" s="74">
        <v>390868</v>
      </c>
      <c r="D63" s="74">
        <v>356521.4</v>
      </c>
      <c r="E63" s="74">
        <f>D63-C63</f>
        <v>-34346.599999999977</v>
      </c>
      <c r="F63" s="70">
        <f t="shared" si="5"/>
        <v>-8.7872632192965344E-2</v>
      </c>
      <c r="G63" s="74">
        <v>356521.4</v>
      </c>
      <c r="H63" s="227"/>
    </row>
    <row r="64" spans="1:8" ht="15" customHeight="1" x14ac:dyDescent="0.25">
      <c r="A64" s="75" t="s">
        <v>56</v>
      </c>
      <c r="B64" s="74">
        <v>404768.66000000003</v>
      </c>
      <c r="C64" s="74">
        <v>477641</v>
      </c>
      <c r="D64" s="74">
        <v>446718.14</v>
      </c>
      <c r="E64" s="74">
        <f t="shared" ref="E64:E75" si="6">D64-C64</f>
        <v>-30922.859999999986</v>
      </c>
      <c r="F64" s="70">
        <f t="shared" si="5"/>
        <v>-6.474079905200765E-2</v>
      </c>
      <c r="G64" s="74">
        <v>446718.14</v>
      </c>
      <c r="H64" s="227"/>
    </row>
    <row r="65" spans="1:10" ht="15" customHeight="1" x14ac:dyDescent="0.25">
      <c r="A65" s="75" t="s">
        <v>57</v>
      </c>
      <c r="B65" s="74">
        <v>10264469.290000001</v>
      </c>
      <c r="C65" s="74">
        <v>11713036</v>
      </c>
      <c r="D65" s="74">
        <v>10817569.620000001</v>
      </c>
      <c r="E65" s="74">
        <f t="shared" si="6"/>
        <v>-895466.37999999896</v>
      </c>
      <c r="F65" s="70">
        <f t="shared" si="5"/>
        <v>-7.6450407904491965E-2</v>
      </c>
      <c r="G65" s="74">
        <v>10817569.620000001</v>
      </c>
      <c r="H65" s="227"/>
    </row>
    <row r="66" spans="1:10" ht="15" customHeight="1" x14ac:dyDescent="0.25">
      <c r="A66" s="75" t="s">
        <v>58</v>
      </c>
      <c r="B66" s="74">
        <v>3055516.16</v>
      </c>
      <c r="C66" s="74">
        <v>3292043</v>
      </c>
      <c r="D66" s="74">
        <v>3279437.86</v>
      </c>
      <c r="E66" s="74">
        <f t="shared" si="6"/>
        <v>-12605.14000000013</v>
      </c>
      <c r="F66" s="70">
        <f t="shared" si="5"/>
        <v>-3.8289718572935196E-3</v>
      </c>
      <c r="G66" s="74">
        <v>3279437.86</v>
      </c>
      <c r="H66" s="227"/>
    </row>
    <row r="67" spans="1:10" ht="15" customHeight="1" x14ac:dyDescent="0.25">
      <c r="A67" s="75" t="s">
        <v>59</v>
      </c>
      <c r="B67" s="74">
        <v>13416146.689999999</v>
      </c>
      <c r="C67" s="74">
        <v>10539172</v>
      </c>
      <c r="D67" s="74">
        <v>10019153.710000001</v>
      </c>
      <c r="E67" s="74">
        <f t="shared" si="6"/>
        <v>-520018.28999999911</v>
      </c>
      <c r="F67" s="70">
        <f t="shared" si="5"/>
        <v>-4.9341474833127223E-2</v>
      </c>
      <c r="G67" s="74">
        <v>10019153.710000001</v>
      </c>
      <c r="H67" s="227"/>
    </row>
    <row r="68" spans="1:10" ht="15" customHeight="1" x14ac:dyDescent="0.25">
      <c r="A68" s="75" t="s">
        <v>60</v>
      </c>
      <c r="B68" s="74">
        <v>8998397.9600000009</v>
      </c>
      <c r="C68" s="74">
        <v>6941288</v>
      </c>
      <c r="D68" s="74">
        <v>6941288</v>
      </c>
      <c r="E68" s="74">
        <f t="shared" si="6"/>
        <v>0</v>
      </c>
      <c r="F68" s="70">
        <f t="shared" si="5"/>
        <v>0</v>
      </c>
      <c r="G68" s="74">
        <v>6941288</v>
      </c>
      <c r="H68" s="227"/>
    </row>
    <row r="69" spans="1:10" ht="15" customHeight="1" x14ac:dyDescent="0.25">
      <c r="A69" s="75" t="s">
        <v>61</v>
      </c>
      <c r="B69" s="74">
        <v>11111057.32</v>
      </c>
      <c r="C69" s="74">
        <v>12268710</v>
      </c>
      <c r="D69" s="74">
        <v>11391577.960000001</v>
      </c>
      <c r="E69" s="74">
        <f t="shared" si="6"/>
        <v>-877132.03999999911</v>
      </c>
      <c r="F69" s="70">
        <f t="shared" si="5"/>
        <v>-7.149342025363703E-2</v>
      </c>
      <c r="G69" s="74">
        <v>11391577.960000001</v>
      </c>
      <c r="H69" s="227"/>
    </row>
    <row r="70" spans="1:10" s="124" customFormat="1" ht="15" customHeight="1" x14ac:dyDescent="0.25">
      <c r="A70" s="94" t="s">
        <v>62</v>
      </c>
      <c r="B70" s="80">
        <f>SUM(B62:B69)</f>
        <v>80130990.099999994</v>
      </c>
      <c r="C70" s="80">
        <f t="shared" ref="C70:D70" si="7">SUM(C62:C69)</f>
        <v>84224691</v>
      </c>
      <c r="D70" s="80">
        <f t="shared" si="7"/>
        <v>77061515.519999996</v>
      </c>
      <c r="E70" s="80">
        <f t="shared" si="6"/>
        <v>-7163175.4800000042</v>
      </c>
      <c r="F70" s="70">
        <f t="shared" si="5"/>
        <v>-8.504840320518367E-2</v>
      </c>
      <c r="G70" s="80">
        <f>SUM(G62:G69)</f>
        <v>78730498.520000011</v>
      </c>
      <c r="H70" s="228"/>
      <c r="I70" s="189"/>
      <c r="J70" s="189"/>
    </row>
    <row r="71" spans="1:10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6"/>
        <v>0</v>
      </c>
      <c r="F71" s="70">
        <f t="shared" si="5"/>
        <v>0</v>
      </c>
      <c r="G71" s="74">
        <v>0</v>
      </c>
      <c r="H71" s="227"/>
    </row>
    <row r="72" spans="1:10" ht="15" customHeight="1" x14ac:dyDescent="0.25">
      <c r="A72" s="75" t="s">
        <v>64</v>
      </c>
      <c r="B72" s="74">
        <v>3852234.37</v>
      </c>
      <c r="C72" s="74">
        <v>4091960</v>
      </c>
      <c r="D72" s="74">
        <v>4017497</v>
      </c>
      <c r="E72" s="74">
        <f t="shared" si="6"/>
        <v>-74463</v>
      </c>
      <c r="F72" s="70">
        <f t="shared" si="5"/>
        <v>-1.8197391958865678E-2</v>
      </c>
      <c r="G72" s="74">
        <v>4017497</v>
      </c>
      <c r="H72" s="227"/>
    </row>
    <row r="73" spans="1:10" ht="15" customHeight="1" x14ac:dyDescent="0.25">
      <c r="A73" s="75" t="s">
        <v>65</v>
      </c>
      <c r="B73" s="74">
        <v>2999841</v>
      </c>
      <c r="C73" s="74">
        <v>2999841</v>
      </c>
      <c r="D73" s="74">
        <v>2999841</v>
      </c>
      <c r="E73" s="74">
        <f t="shared" si="6"/>
        <v>0</v>
      </c>
      <c r="F73" s="70">
        <f t="shared" si="5"/>
        <v>0</v>
      </c>
      <c r="G73" s="74">
        <v>2999841</v>
      </c>
      <c r="H73" s="227"/>
    </row>
    <row r="74" spans="1:10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6"/>
        <v>0</v>
      </c>
      <c r="F74" s="70">
        <f t="shared" si="5"/>
        <v>0</v>
      </c>
      <c r="G74" s="74">
        <v>0</v>
      </c>
      <c r="H74" s="227"/>
    </row>
    <row r="75" spans="1:10" s="124" customFormat="1" ht="15" customHeight="1" x14ac:dyDescent="0.25">
      <c r="A75" s="95" t="s">
        <v>67</v>
      </c>
      <c r="B75" s="96">
        <f>SUM(B70:B74)</f>
        <v>86983065.469999999</v>
      </c>
      <c r="C75" s="96">
        <f t="shared" ref="C75:D75" si="8">SUM(C70:C74)</f>
        <v>91316492</v>
      </c>
      <c r="D75" s="96">
        <f t="shared" si="8"/>
        <v>84078853.519999996</v>
      </c>
      <c r="E75" s="231">
        <f t="shared" si="6"/>
        <v>-7237638.4800000042</v>
      </c>
      <c r="F75" s="70">
        <f t="shared" si="5"/>
        <v>-7.9258831800065252E-2</v>
      </c>
      <c r="G75" s="96">
        <f>SUM(G70:G74)</f>
        <v>85747836.520000011</v>
      </c>
      <c r="H75" s="228"/>
      <c r="I75" s="189"/>
      <c r="J75" s="189"/>
    </row>
    <row r="76" spans="1:10" ht="15" customHeight="1" x14ac:dyDescent="0.25">
      <c r="A76" s="93"/>
      <c r="B76" s="65"/>
      <c r="C76" s="65"/>
      <c r="D76" s="65"/>
      <c r="E76" s="65"/>
      <c r="F76" s="235"/>
      <c r="G76" s="65"/>
      <c r="H76" s="227"/>
    </row>
    <row r="77" spans="1:10" ht="15" customHeight="1" x14ac:dyDescent="0.25">
      <c r="A77" s="91" t="s">
        <v>68</v>
      </c>
      <c r="B77" s="65"/>
      <c r="C77" s="65"/>
      <c r="D77" s="65"/>
      <c r="E77" s="65"/>
      <c r="F77" s="90"/>
      <c r="G77" s="65"/>
      <c r="H77" s="227"/>
    </row>
    <row r="78" spans="1:10" ht="15" customHeight="1" x14ac:dyDescent="0.25">
      <c r="A78" s="73" t="s">
        <v>69</v>
      </c>
      <c r="B78" s="69">
        <v>39910093.640000001</v>
      </c>
      <c r="C78" s="69">
        <v>44658259</v>
      </c>
      <c r="D78" s="69">
        <v>40450819.920000002</v>
      </c>
      <c r="E78" s="65">
        <f>D78-C78</f>
        <v>-4207439.0799999982</v>
      </c>
      <c r="F78" s="70">
        <f t="shared" ref="F78:F96" si="9">IF(ISBLANK(E78),"  ",IF(C78&gt;0,E78/C78,IF(E78&gt;0,1,0)))</f>
        <v>-9.4214131365936107E-2</v>
      </c>
      <c r="G78" s="69">
        <v>41651526.920000002</v>
      </c>
      <c r="H78" s="227"/>
    </row>
    <row r="79" spans="1:10" ht="15" customHeight="1" x14ac:dyDescent="0.25">
      <c r="A79" s="75" t="s">
        <v>70</v>
      </c>
      <c r="B79" s="72">
        <v>402092.61</v>
      </c>
      <c r="C79" s="72">
        <v>198374</v>
      </c>
      <c r="D79" s="72">
        <v>181377</v>
      </c>
      <c r="E79" s="74">
        <f>D79-C79</f>
        <v>-16997</v>
      </c>
      <c r="F79" s="70">
        <f t="shared" si="9"/>
        <v>-8.5681591337574484E-2</v>
      </c>
      <c r="G79" s="72">
        <v>181377</v>
      </c>
      <c r="H79" s="227"/>
    </row>
    <row r="80" spans="1:10" ht="15" customHeight="1" x14ac:dyDescent="0.25">
      <c r="A80" s="75" t="s">
        <v>71</v>
      </c>
      <c r="B80" s="65">
        <v>18393670.380000003</v>
      </c>
      <c r="C80" s="65">
        <v>20432565</v>
      </c>
      <c r="D80" s="65">
        <v>18669612.600000001</v>
      </c>
      <c r="E80" s="74">
        <f t="shared" ref="E80:E95" si="10">D80-C80</f>
        <v>-1762952.3999999985</v>
      </c>
      <c r="F80" s="70">
        <f t="shared" si="9"/>
        <v>-8.6281502102158902E-2</v>
      </c>
      <c r="G80" s="65">
        <v>19137888.600000001</v>
      </c>
      <c r="H80" s="227"/>
    </row>
    <row r="81" spans="1:10" s="124" customFormat="1" ht="15" customHeight="1" x14ac:dyDescent="0.25">
      <c r="A81" s="94" t="s">
        <v>72</v>
      </c>
      <c r="B81" s="96">
        <f>SUM(B78:B80)</f>
        <v>58705856.630000003</v>
      </c>
      <c r="C81" s="96">
        <f t="shared" ref="C81:D81" si="11">SUM(C78:C80)</f>
        <v>65289198</v>
      </c>
      <c r="D81" s="96">
        <f t="shared" si="11"/>
        <v>59301809.520000003</v>
      </c>
      <c r="E81" s="80">
        <f t="shared" si="10"/>
        <v>-5987388.4799999967</v>
      </c>
      <c r="F81" s="70">
        <f t="shared" si="9"/>
        <v>-9.1705652135595186E-2</v>
      </c>
      <c r="G81" s="96">
        <f>SUM(G78:G80)</f>
        <v>60970792.520000003</v>
      </c>
      <c r="H81" s="228"/>
      <c r="I81" s="189"/>
      <c r="J81" s="189"/>
    </row>
    <row r="82" spans="1:10" ht="15" customHeight="1" x14ac:dyDescent="0.25">
      <c r="A82" s="75" t="s">
        <v>73</v>
      </c>
      <c r="B82" s="72">
        <v>145489.34</v>
      </c>
      <c r="C82" s="72">
        <v>325708</v>
      </c>
      <c r="D82" s="72">
        <v>268210</v>
      </c>
      <c r="E82" s="74">
        <f t="shared" si="10"/>
        <v>-57498</v>
      </c>
      <c r="F82" s="70">
        <f t="shared" si="9"/>
        <v>-0.17653235413314994</v>
      </c>
      <c r="G82" s="72">
        <v>268210</v>
      </c>
      <c r="H82" s="227"/>
    </row>
    <row r="83" spans="1:10" ht="15" customHeight="1" x14ac:dyDescent="0.25">
      <c r="A83" s="75" t="s">
        <v>74</v>
      </c>
      <c r="B83" s="69">
        <v>7542373.7000000011</v>
      </c>
      <c r="C83" s="69">
        <v>8410404</v>
      </c>
      <c r="D83" s="69">
        <v>7662277</v>
      </c>
      <c r="E83" s="74">
        <f t="shared" si="10"/>
        <v>-748127</v>
      </c>
      <c r="F83" s="70">
        <f t="shared" si="9"/>
        <v>-8.8952563990980699E-2</v>
      </c>
      <c r="G83" s="69">
        <v>7662277</v>
      </c>
      <c r="H83" s="227"/>
    </row>
    <row r="84" spans="1:10" ht="15" customHeight="1" x14ac:dyDescent="0.25">
      <c r="A84" s="75" t="s">
        <v>75</v>
      </c>
      <c r="B84" s="65">
        <v>808307.68</v>
      </c>
      <c r="C84" s="65">
        <v>1019242</v>
      </c>
      <c r="D84" s="65">
        <v>865911</v>
      </c>
      <c r="E84" s="74">
        <f t="shared" si="10"/>
        <v>-153331</v>
      </c>
      <c r="F84" s="70">
        <f t="shared" si="9"/>
        <v>-0.15043630462637922</v>
      </c>
      <c r="G84" s="65">
        <v>865911</v>
      </c>
      <c r="H84" s="227"/>
    </row>
    <row r="85" spans="1:10" s="124" customFormat="1" ht="15" customHeight="1" x14ac:dyDescent="0.25">
      <c r="A85" s="78" t="s">
        <v>76</v>
      </c>
      <c r="B85" s="96">
        <f>SUM(B82:B84)</f>
        <v>8496170.7200000007</v>
      </c>
      <c r="C85" s="96">
        <f t="shared" ref="C85:D85" si="12">SUM(C82:C84)</f>
        <v>9755354</v>
      </c>
      <c r="D85" s="96">
        <f t="shared" si="12"/>
        <v>8796398</v>
      </c>
      <c r="E85" s="80">
        <f t="shared" si="10"/>
        <v>-958956</v>
      </c>
      <c r="F85" s="70">
        <f t="shared" si="9"/>
        <v>-9.8300481971233436E-2</v>
      </c>
      <c r="G85" s="96">
        <f>SUM(G82:G84)</f>
        <v>8796398</v>
      </c>
      <c r="H85" s="228"/>
      <c r="I85" s="189"/>
      <c r="J85" s="189"/>
    </row>
    <row r="86" spans="1:10" ht="15" customHeight="1" x14ac:dyDescent="0.25">
      <c r="A86" s="75" t="s">
        <v>77</v>
      </c>
      <c r="B86" s="65">
        <v>850161.66</v>
      </c>
      <c r="C86" s="65">
        <v>1139079</v>
      </c>
      <c r="D86" s="65">
        <v>1026480</v>
      </c>
      <c r="E86" s="74">
        <f t="shared" si="10"/>
        <v>-112599</v>
      </c>
      <c r="F86" s="70">
        <f t="shared" si="9"/>
        <v>-9.8850913764541359E-2</v>
      </c>
      <c r="G86" s="65">
        <v>1026480</v>
      </c>
      <c r="H86" s="227"/>
    </row>
    <row r="87" spans="1:10" ht="15" customHeight="1" x14ac:dyDescent="0.25">
      <c r="A87" s="75" t="s">
        <v>78</v>
      </c>
      <c r="B87" s="74">
        <v>14835965.560000001</v>
      </c>
      <c r="C87" s="74">
        <v>10822507</v>
      </c>
      <c r="D87" s="74">
        <v>10746988</v>
      </c>
      <c r="E87" s="74">
        <f t="shared" si="10"/>
        <v>-75519</v>
      </c>
      <c r="F87" s="70">
        <f t="shared" si="9"/>
        <v>-6.9779580646147886E-3</v>
      </c>
      <c r="G87" s="74">
        <v>10746988</v>
      </c>
      <c r="H87" s="227"/>
    </row>
    <row r="88" spans="1:10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0"/>
        <v>0</v>
      </c>
      <c r="F88" s="70">
        <f t="shared" si="9"/>
        <v>0</v>
      </c>
      <c r="G88" s="74">
        <v>0</v>
      </c>
      <c r="H88" s="227"/>
    </row>
    <row r="89" spans="1:10" ht="15" customHeight="1" x14ac:dyDescent="0.25">
      <c r="A89" s="75" t="s">
        <v>80</v>
      </c>
      <c r="B89" s="74">
        <v>3852234.37</v>
      </c>
      <c r="C89" s="74">
        <v>4091960</v>
      </c>
      <c r="D89" s="74">
        <v>4017497</v>
      </c>
      <c r="E89" s="74">
        <f t="shared" si="10"/>
        <v>-74463</v>
      </c>
      <c r="F89" s="70">
        <f t="shared" si="9"/>
        <v>-1.8197391958865678E-2</v>
      </c>
      <c r="G89" s="74">
        <v>4017497</v>
      </c>
      <c r="H89" s="227"/>
    </row>
    <row r="90" spans="1:10" s="124" customFormat="1" ht="15" customHeight="1" x14ac:dyDescent="0.25">
      <c r="A90" s="78" t="s">
        <v>81</v>
      </c>
      <c r="B90" s="80">
        <f>SUM(B86:B89)</f>
        <v>19538361.59</v>
      </c>
      <c r="C90" s="80">
        <f t="shared" ref="C90:D90" si="13">SUM(C86:C89)</f>
        <v>16053546</v>
      </c>
      <c r="D90" s="80">
        <f t="shared" si="13"/>
        <v>15790965</v>
      </c>
      <c r="E90" s="80">
        <f t="shared" si="10"/>
        <v>-262581</v>
      </c>
      <c r="F90" s="70">
        <f t="shared" si="9"/>
        <v>-1.6356573183270537E-2</v>
      </c>
      <c r="G90" s="80">
        <f>SUM(G86:G89)</f>
        <v>15790965</v>
      </c>
      <c r="H90" s="228"/>
      <c r="I90" s="189"/>
      <c r="J90" s="189"/>
    </row>
    <row r="91" spans="1:10" ht="15" customHeight="1" x14ac:dyDescent="0.25">
      <c r="A91" s="75" t="s">
        <v>82</v>
      </c>
      <c r="B91" s="74">
        <v>74412.709999999992</v>
      </c>
      <c r="C91" s="74">
        <v>67846</v>
      </c>
      <c r="D91" s="74">
        <v>52032</v>
      </c>
      <c r="E91" s="74">
        <f t="shared" si="10"/>
        <v>-15814</v>
      </c>
      <c r="F91" s="70">
        <f t="shared" si="9"/>
        <v>-0.23308669634171506</v>
      </c>
      <c r="G91" s="74">
        <v>52032</v>
      </c>
      <c r="H91" s="227"/>
    </row>
    <row r="92" spans="1:10" ht="15" customHeight="1" x14ac:dyDescent="0.25">
      <c r="A92" s="75" t="s">
        <v>83</v>
      </c>
      <c r="B92" s="74">
        <v>168263.82</v>
      </c>
      <c r="C92" s="74">
        <v>150548</v>
      </c>
      <c r="D92" s="74">
        <v>137649</v>
      </c>
      <c r="E92" s="74">
        <f t="shared" si="10"/>
        <v>-12899</v>
      </c>
      <c r="F92" s="70">
        <f t="shared" si="9"/>
        <v>-8.5680314584052925E-2</v>
      </c>
      <c r="G92" s="74">
        <v>137649</v>
      </c>
      <c r="H92" s="227"/>
    </row>
    <row r="93" spans="1:10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0"/>
        <v>0</v>
      </c>
      <c r="F93" s="70">
        <f t="shared" si="9"/>
        <v>0</v>
      </c>
      <c r="G93" s="74">
        <v>0</v>
      </c>
      <c r="H93" s="227"/>
    </row>
    <row r="94" spans="1:10" s="124" customFormat="1" ht="15" customHeight="1" x14ac:dyDescent="0.25">
      <c r="A94" s="97" t="s">
        <v>85</v>
      </c>
      <c r="B94" s="96">
        <f>SUM(B91:B93)</f>
        <v>242676.53</v>
      </c>
      <c r="C94" s="96">
        <f t="shared" ref="C94:D94" si="14">SUM(C91:C93)</f>
        <v>218394</v>
      </c>
      <c r="D94" s="96">
        <f t="shared" si="14"/>
        <v>189681</v>
      </c>
      <c r="E94" s="80">
        <f t="shared" si="10"/>
        <v>-28713</v>
      </c>
      <c r="F94" s="70">
        <f t="shared" si="9"/>
        <v>-0.1314733921261573</v>
      </c>
      <c r="G94" s="96">
        <f>SUM(G91:G93)</f>
        <v>189681</v>
      </c>
      <c r="H94" s="228"/>
      <c r="I94" s="189"/>
      <c r="J94" s="189"/>
    </row>
    <row r="95" spans="1:10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0"/>
        <v>0</v>
      </c>
      <c r="F95" s="70">
        <f t="shared" si="9"/>
        <v>0</v>
      </c>
      <c r="G95" s="74">
        <v>0</v>
      </c>
      <c r="H95" s="227"/>
    </row>
    <row r="96" spans="1:10" s="124" customFormat="1" ht="15" customHeight="1" thickBot="1" x14ac:dyDescent="0.3">
      <c r="A96" s="195" t="s">
        <v>67</v>
      </c>
      <c r="B96" s="196">
        <f>SUM(B81,B85,B90,B94,B95)</f>
        <v>86983065.470000014</v>
      </c>
      <c r="C96" s="196">
        <f>SUM(C81,C85,C90,C94,C95)</f>
        <v>91316492</v>
      </c>
      <c r="D96" s="196">
        <f>SUM(D81,D85,D90,D94,D95)</f>
        <v>84078853.520000011</v>
      </c>
      <c r="E96" s="196">
        <f>D96-C96</f>
        <v>-7237638.4799999893</v>
      </c>
      <c r="F96" s="202">
        <f t="shared" si="9"/>
        <v>-7.9258831800065085E-2</v>
      </c>
      <c r="G96" s="196">
        <f>SUM(G81,G85,G90,G94,G95)</f>
        <v>85747836.520000011</v>
      </c>
      <c r="H96" s="228"/>
    </row>
    <row r="97" spans="1:9" ht="15" customHeight="1" thickTop="1" x14ac:dyDescent="0.3">
      <c r="A97" s="23"/>
      <c r="B97" s="24"/>
      <c r="C97" s="24"/>
      <c r="D97" s="24"/>
      <c r="E97" s="24"/>
      <c r="F97" s="25"/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theme="9" tint="0.79998168889431442"/>
    <pageSetUpPr fitToPage="1"/>
  </sheetPr>
  <dimension ref="A1:J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4" width="23.7109375" style="12" customWidth="1"/>
    <col min="5" max="6" width="23.7109375" style="22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23.140625" style="139" bestFit="1" customWidth="1"/>
    <col min="11" max="16384" width="9.140625" style="139"/>
  </cols>
  <sheetData>
    <row r="1" spans="1:9" ht="19.5" customHeight="1" thickBot="1" x14ac:dyDescent="0.35">
      <c r="A1" s="30" t="s">
        <v>0</v>
      </c>
      <c r="B1" s="31"/>
      <c r="D1" s="51" t="s">
        <v>1</v>
      </c>
      <c r="E1" s="52" t="s">
        <v>126</v>
      </c>
      <c r="F1" s="40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53"/>
      <c r="F2" s="53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54"/>
      <c r="F3" s="54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113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114"/>
      <c r="G7" s="65"/>
      <c r="H7" s="227"/>
    </row>
    <row r="8" spans="1:9" ht="15" customHeight="1" x14ac:dyDescent="0.25">
      <c r="A8" s="68" t="s">
        <v>12</v>
      </c>
      <c r="B8" s="69">
        <v>9140226</v>
      </c>
      <c r="C8" s="69">
        <v>9140226</v>
      </c>
      <c r="D8" s="69">
        <v>8158721</v>
      </c>
      <c r="E8" s="69">
        <f>D8-C8</f>
        <v>-981505</v>
      </c>
      <c r="F8" s="115">
        <f t="shared" ref="F8:F31" si="0">IF(ISBLANK(E8),"  ",IF(C8&gt;0,E8/C8,IF(E8&gt;0,1,0)))</f>
        <v>-0.10738301219247752</v>
      </c>
      <c r="G8" s="69">
        <v>8158721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115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525443.71</v>
      </c>
      <c r="C10" s="72">
        <v>578577</v>
      </c>
      <c r="D10" s="72">
        <v>502799</v>
      </c>
      <c r="E10" s="69">
        <f t="shared" ref="E10:E31" si="1">D10-C10</f>
        <v>-75778</v>
      </c>
      <c r="F10" s="116">
        <f t="shared" si="0"/>
        <v>-0.13097305976559731</v>
      </c>
      <c r="G10" s="72">
        <v>502799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115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475443.70999999996</v>
      </c>
      <c r="C12" s="74">
        <v>528577</v>
      </c>
      <c r="D12" s="74">
        <v>452799</v>
      </c>
      <c r="E12" s="69">
        <f t="shared" si="1"/>
        <v>-75778</v>
      </c>
      <c r="F12" s="115">
        <f t="shared" si="0"/>
        <v>-0.14336227266793675</v>
      </c>
      <c r="G12" s="74">
        <v>452799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115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115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115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50000</v>
      </c>
      <c r="C16" s="74">
        <v>50000</v>
      </c>
      <c r="D16" s="74">
        <v>50000</v>
      </c>
      <c r="E16" s="69">
        <f t="shared" si="1"/>
        <v>0</v>
      </c>
      <c r="F16" s="115">
        <f t="shared" si="0"/>
        <v>0</v>
      </c>
      <c r="G16" s="74">
        <v>50000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115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115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115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115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115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115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115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115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115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115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115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115">
        <f t="shared" si="0"/>
        <v>0</v>
      </c>
      <c r="G28" s="74">
        <v>0</v>
      </c>
      <c r="H28" s="227"/>
    </row>
    <row r="29" spans="1:8" ht="15" customHeight="1" x14ac:dyDescent="0.25">
      <c r="A29" s="76" t="s">
        <v>193</v>
      </c>
      <c r="B29" s="74">
        <v>0</v>
      </c>
      <c r="C29" s="74">
        <v>0</v>
      </c>
      <c r="D29" s="74">
        <v>0</v>
      </c>
      <c r="E29" s="69">
        <f t="shared" si="1"/>
        <v>0</v>
      </c>
      <c r="F29" s="116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116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116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117"/>
      <c r="G32" s="74"/>
      <c r="H32" s="227"/>
    </row>
    <row r="33" spans="1:10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115">
        <f>IF(ISBLANK(E33),"  ",IF(C33&gt;0,E33/C33,IF(E33&gt;0,1,0)))</f>
        <v>0</v>
      </c>
      <c r="G33" s="69">
        <v>0</v>
      </c>
      <c r="H33" s="227"/>
    </row>
    <row r="34" spans="1:10" ht="15" customHeight="1" x14ac:dyDescent="0.25">
      <c r="A34" s="78" t="s">
        <v>35</v>
      </c>
      <c r="B34" s="74"/>
      <c r="C34" s="74"/>
      <c r="D34" s="74"/>
      <c r="E34" s="74"/>
      <c r="F34" s="117"/>
      <c r="G34" s="74"/>
      <c r="H34" s="227"/>
    </row>
    <row r="35" spans="1:10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115">
        <f>IF(ISBLANK(E35),"  ",IF(C35&gt;0,E35/C35,IF(E35&gt;0,1,0)))</f>
        <v>0</v>
      </c>
      <c r="G35" s="65">
        <v>0</v>
      </c>
      <c r="H35" s="227"/>
    </row>
    <row r="36" spans="1:10" ht="15" customHeight="1" x14ac:dyDescent="0.25">
      <c r="A36" s="75" t="s">
        <v>36</v>
      </c>
      <c r="B36" s="74"/>
      <c r="C36" s="74"/>
      <c r="D36" s="74"/>
      <c r="E36" s="72"/>
      <c r="F36" s="115" t="str">
        <f>IF(ISBLANK(E36),"  ",IF(C36&gt;0,E36/C36,IF(E36&gt;0,1,0)))</f>
        <v xml:space="preserve">  </v>
      </c>
      <c r="G36" s="74"/>
      <c r="H36" s="227"/>
    </row>
    <row r="37" spans="1:10" s="124" customFormat="1" ht="15" customHeight="1" x14ac:dyDescent="0.25">
      <c r="A37" s="79" t="s">
        <v>38</v>
      </c>
      <c r="B37" s="80">
        <f>SUM(B8:B10,B33,B35,B36)</f>
        <v>9665669.7100000009</v>
      </c>
      <c r="C37" s="80">
        <f t="shared" ref="C37" si="2">SUM(C8:C10,C33,C35,C36)</f>
        <v>9718803</v>
      </c>
      <c r="D37" s="80">
        <f>SUM(D8:D10,D33,D35,D36)</f>
        <v>8661520</v>
      </c>
      <c r="E37" s="80">
        <f>D37-C37</f>
        <v>-1057283</v>
      </c>
      <c r="F37" s="119">
        <f>IF(ISBLANK(E37),"  ",IF(C37&gt;0,E37/C37,IF(E37&gt;0,1,0)))</f>
        <v>-0.108787368156346</v>
      </c>
      <c r="G37" s="80">
        <f>SUM(G8:G10,G33,G35,G36)</f>
        <v>8661520</v>
      </c>
      <c r="H37" s="228"/>
    </row>
    <row r="38" spans="1:10" ht="15" customHeight="1" x14ac:dyDescent="0.25">
      <c r="A38" s="77" t="s">
        <v>39</v>
      </c>
      <c r="B38" s="74"/>
      <c r="C38" s="74"/>
      <c r="D38" s="74"/>
      <c r="E38" s="74"/>
      <c r="F38" s="117"/>
      <c r="G38" s="74"/>
      <c r="H38" s="227"/>
    </row>
    <row r="39" spans="1:10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115">
        <f t="shared" ref="F39:F44" si="3">IF(ISBLANK(E39),"  ",IF(C39&gt;0,E39/C39,IF(E39&gt;0,1,0)))</f>
        <v>0</v>
      </c>
      <c r="G39" s="69">
        <v>0</v>
      </c>
      <c r="H39" s="227"/>
    </row>
    <row r="40" spans="1:10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115">
        <f t="shared" si="3"/>
        <v>0</v>
      </c>
      <c r="G40" s="69">
        <v>0</v>
      </c>
      <c r="H40" s="227"/>
    </row>
    <row r="41" spans="1:10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115">
        <f t="shared" si="3"/>
        <v>0</v>
      </c>
      <c r="G41" s="69">
        <v>0</v>
      </c>
      <c r="H41" s="227"/>
    </row>
    <row r="42" spans="1:10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115">
        <f t="shared" si="3"/>
        <v>0</v>
      </c>
      <c r="G42" s="69">
        <v>0</v>
      </c>
      <c r="H42" s="227"/>
    </row>
    <row r="43" spans="1:10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115">
        <f t="shared" si="3"/>
        <v>0</v>
      </c>
      <c r="G43" s="69">
        <v>0</v>
      </c>
      <c r="H43" s="227"/>
    </row>
    <row r="44" spans="1:10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119">
        <f t="shared" si="3"/>
        <v>0</v>
      </c>
      <c r="G44" s="85">
        <v>0</v>
      </c>
      <c r="H44" s="228"/>
      <c r="J44" s="124" t="s">
        <v>46</v>
      </c>
    </row>
    <row r="45" spans="1:10" ht="15" customHeight="1" x14ac:dyDescent="0.25">
      <c r="A45" s="75" t="s">
        <v>46</v>
      </c>
      <c r="B45" s="74"/>
      <c r="C45" s="74"/>
      <c r="D45" s="74"/>
      <c r="E45" s="74"/>
      <c r="F45" s="117"/>
      <c r="G45" s="74"/>
      <c r="H45" s="227"/>
    </row>
    <row r="46" spans="1:10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119">
        <f>IF(ISBLANK(E46),"  ",IF(C46&gt;0,E46/C46,IF(E46&gt;0,1,0)))</f>
        <v>0</v>
      </c>
      <c r="G46" s="87">
        <v>0</v>
      </c>
      <c r="H46" s="228"/>
    </row>
    <row r="47" spans="1:10" ht="15" customHeight="1" x14ac:dyDescent="0.25">
      <c r="A47" s="75" t="s">
        <v>46</v>
      </c>
      <c r="B47" s="80"/>
      <c r="C47" s="80"/>
      <c r="D47" s="80"/>
      <c r="E47" s="74"/>
      <c r="F47" s="117"/>
      <c r="G47" s="80"/>
      <c r="H47" s="228"/>
    </row>
    <row r="48" spans="1:10" ht="15" customHeight="1" x14ac:dyDescent="0.25">
      <c r="A48" s="86" t="s">
        <v>200</v>
      </c>
      <c r="B48" s="87">
        <v>750736</v>
      </c>
      <c r="C48" s="87">
        <v>750736</v>
      </c>
      <c r="D48" s="87">
        <v>0</v>
      </c>
      <c r="E48" s="87">
        <f>D48-C48</f>
        <v>-750736</v>
      </c>
      <c r="F48" s="119">
        <f>IF(ISBLANK(E48)," ",IF(C48&gt;0,E48/C48,IF(E48&gt;0,1,0)))</f>
        <v>-1</v>
      </c>
      <c r="G48" s="87">
        <v>750736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121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119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117"/>
      <c r="G51" s="74"/>
      <c r="H51" s="227"/>
    </row>
    <row r="52" spans="1:8" s="124" customFormat="1" ht="15" customHeight="1" x14ac:dyDescent="0.25">
      <c r="A52" s="77" t="s">
        <v>49</v>
      </c>
      <c r="B52" s="85">
        <v>12889101.75</v>
      </c>
      <c r="C52" s="85">
        <v>14947545</v>
      </c>
      <c r="D52" s="85">
        <v>14947545</v>
      </c>
      <c r="E52" s="85">
        <f>D52-C52</f>
        <v>0</v>
      </c>
      <c r="F52" s="118">
        <f>IF(ISBLANK(E52),"  ",IF(C52&gt;0,E52/C52,IF(E52&gt;0,1,0)))</f>
        <v>0</v>
      </c>
      <c r="G52" s="85">
        <v>14947545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117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119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12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119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117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23305507.460000001</v>
      </c>
      <c r="C58" s="85">
        <f>SUM(C37,C46,C48,C50,C52,C54,C56)-C44</f>
        <v>25417084</v>
      </c>
      <c r="D58" s="85">
        <f>SUM(D37,D46,D48,D50,D52,D54,D56)-D44</f>
        <v>23609065</v>
      </c>
      <c r="E58" s="85">
        <f>D58-C58</f>
        <v>-1808019</v>
      </c>
      <c r="F58" s="119">
        <f>IF(ISBLANK(E58),"  ",IF(C58&gt;0,E58/C58,IF(E58&gt;0,1,0)))</f>
        <v>-7.1134005773439632E-2</v>
      </c>
      <c r="G58" s="85">
        <f>SUM(G37,G46,G48,G50,G52,G54,G56)-G44</f>
        <v>24359801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117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121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121"/>
      <c r="G61" s="65"/>
      <c r="H61" s="227"/>
    </row>
    <row r="62" spans="1:8" ht="15" customHeight="1" x14ac:dyDescent="0.25">
      <c r="A62" s="73" t="s">
        <v>54</v>
      </c>
      <c r="B62" s="65">
        <v>7161690.9299999997</v>
      </c>
      <c r="C62" s="65">
        <v>8104944</v>
      </c>
      <c r="D62" s="65">
        <v>7153442.8280000007</v>
      </c>
      <c r="E62" s="65">
        <f>D62-C62</f>
        <v>-951501.17199999932</v>
      </c>
      <c r="F62" s="116">
        <f t="shared" ref="F62:F75" si="5">IF(ISBLANK(E62),"  ",IF(C62&gt;0,E62/C62,IF(E62&gt;0,1,0)))</f>
        <v>-0.11739762446230342</v>
      </c>
      <c r="G62" s="65">
        <v>7809173.8280000007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74">
        <f>D63-C63</f>
        <v>0</v>
      </c>
      <c r="F63" s="115">
        <f t="shared" si="5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74">
        <f t="shared" ref="E64:E75" si="6">D64-C64</f>
        <v>0</v>
      </c>
      <c r="F64" s="115">
        <f t="shared" si="5"/>
        <v>0</v>
      </c>
      <c r="G64" s="74">
        <v>0</v>
      </c>
      <c r="H64" s="227"/>
    </row>
    <row r="65" spans="1:10" ht="15" customHeight="1" x14ac:dyDescent="0.25">
      <c r="A65" s="75" t="s">
        <v>57</v>
      </c>
      <c r="B65" s="74">
        <v>1652396</v>
      </c>
      <c r="C65" s="74">
        <v>1655925</v>
      </c>
      <c r="D65" s="74">
        <v>1639985.12</v>
      </c>
      <c r="E65" s="74">
        <f t="shared" si="6"/>
        <v>-15939.879999999888</v>
      </c>
      <c r="F65" s="116">
        <f t="shared" si="5"/>
        <v>-9.6259673596327654E-3</v>
      </c>
      <c r="G65" s="74">
        <v>1639985.12</v>
      </c>
      <c r="H65" s="227"/>
    </row>
    <row r="66" spans="1:10" ht="15" customHeight="1" x14ac:dyDescent="0.25">
      <c r="A66" s="75" t="s">
        <v>58</v>
      </c>
      <c r="B66" s="74">
        <v>1278225</v>
      </c>
      <c r="C66" s="74">
        <v>884254</v>
      </c>
      <c r="D66" s="74">
        <v>1175950.9720000001</v>
      </c>
      <c r="E66" s="74">
        <f t="shared" si="6"/>
        <v>291696.97200000007</v>
      </c>
      <c r="F66" s="115">
        <f t="shared" si="5"/>
        <v>0.32987916594100797</v>
      </c>
      <c r="G66" s="74">
        <v>1181134.9720000001</v>
      </c>
      <c r="H66" s="227"/>
    </row>
    <row r="67" spans="1:10" ht="15" customHeight="1" x14ac:dyDescent="0.25">
      <c r="A67" s="75" t="s">
        <v>59</v>
      </c>
      <c r="B67" s="74">
        <v>9510723</v>
      </c>
      <c r="C67" s="74">
        <v>7921094</v>
      </c>
      <c r="D67" s="74">
        <v>10707008.412</v>
      </c>
      <c r="E67" s="74">
        <f t="shared" si="6"/>
        <v>2785914.4120000005</v>
      </c>
      <c r="F67" s="116">
        <f t="shared" si="5"/>
        <v>0.35170828827432177</v>
      </c>
      <c r="G67" s="74">
        <v>10751227.412</v>
      </c>
      <c r="H67" s="227"/>
    </row>
    <row r="68" spans="1:10" ht="15" customHeight="1" x14ac:dyDescent="0.25">
      <c r="A68" s="75" t="s">
        <v>60</v>
      </c>
      <c r="B68" s="74">
        <v>698333</v>
      </c>
      <c r="C68" s="74">
        <v>600000</v>
      </c>
      <c r="D68" s="74">
        <v>600000</v>
      </c>
      <c r="E68" s="74">
        <f t="shared" si="6"/>
        <v>0</v>
      </c>
      <c r="F68" s="115">
        <f t="shared" si="5"/>
        <v>0</v>
      </c>
      <c r="G68" s="74">
        <v>600000</v>
      </c>
      <c r="H68" s="227"/>
    </row>
    <row r="69" spans="1:10" ht="15" customHeight="1" x14ac:dyDescent="0.25">
      <c r="A69" s="75" t="s">
        <v>61</v>
      </c>
      <c r="B69" s="74">
        <v>3004139</v>
      </c>
      <c r="C69" s="74">
        <v>5684450</v>
      </c>
      <c r="D69" s="74">
        <v>2332677.6639999999</v>
      </c>
      <c r="E69" s="74">
        <f t="shared" si="6"/>
        <v>-3351772.3360000001</v>
      </c>
      <c r="F69" s="115">
        <f t="shared" si="5"/>
        <v>-0.58963881043900468</v>
      </c>
      <c r="G69" s="74">
        <v>2378279.6639999999</v>
      </c>
      <c r="H69" s="227"/>
    </row>
    <row r="70" spans="1:10" s="124" customFormat="1" ht="15" customHeight="1" x14ac:dyDescent="0.25">
      <c r="A70" s="94" t="s">
        <v>62</v>
      </c>
      <c r="B70" s="80">
        <f>SUM(B62:B69)</f>
        <v>23305506.93</v>
      </c>
      <c r="C70" s="80">
        <f t="shared" ref="C70:D70" si="7">SUM(C62:C69)</f>
        <v>24850667</v>
      </c>
      <c r="D70" s="80">
        <f t="shared" si="7"/>
        <v>23609064.996000003</v>
      </c>
      <c r="E70" s="80">
        <f t="shared" si="6"/>
        <v>-1241602.0039999969</v>
      </c>
      <c r="F70" s="119">
        <f t="shared" si="5"/>
        <v>-4.9962522293667086E-2</v>
      </c>
      <c r="G70" s="80">
        <f>SUM(G62:G69)</f>
        <v>24359800.996000003</v>
      </c>
      <c r="H70" s="228"/>
      <c r="I70" s="189"/>
      <c r="J70" s="189"/>
    </row>
    <row r="71" spans="1:10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6"/>
        <v>0</v>
      </c>
      <c r="F71" s="115">
        <f t="shared" si="5"/>
        <v>0</v>
      </c>
      <c r="G71" s="74">
        <v>0</v>
      </c>
      <c r="H71" s="227"/>
    </row>
    <row r="72" spans="1:10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74">
        <f t="shared" si="6"/>
        <v>0</v>
      </c>
      <c r="F72" s="115">
        <f t="shared" si="5"/>
        <v>0</v>
      </c>
      <c r="G72" s="74">
        <v>0</v>
      </c>
      <c r="H72" s="227"/>
    </row>
    <row r="73" spans="1:10" ht="15" customHeight="1" x14ac:dyDescent="0.25">
      <c r="A73" s="75" t="s">
        <v>65</v>
      </c>
      <c r="B73" s="74">
        <v>0</v>
      </c>
      <c r="C73" s="74">
        <v>566417</v>
      </c>
      <c r="D73" s="74">
        <v>0</v>
      </c>
      <c r="E73" s="74">
        <f t="shared" si="6"/>
        <v>-566417</v>
      </c>
      <c r="F73" s="115">
        <f t="shared" si="5"/>
        <v>-1</v>
      </c>
      <c r="G73" s="74">
        <v>0</v>
      </c>
      <c r="H73" s="227"/>
    </row>
    <row r="74" spans="1:10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6"/>
        <v>0</v>
      </c>
      <c r="F74" s="115">
        <f t="shared" si="5"/>
        <v>0</v>
      </c>
      <c r="G74" s="74">
        <v>0</v>
      </c>
      <c r="H74" s="227"/>
    </row>
    <row r="75" spans="1:10" s="124" customFormat="1" ht="15" customHeight="1" x14ac:dyDescent="0.25">
      <c r="A75" s="95" t="s">
        <v>67</v>
      </c>
      <c r="B75" s="96">
        <f>SUM(B70:B74)</f>
        <v>23305506.93</v>
      </c>
      <c r="C75" s="96">
        <f t="shared" ref="C75:D75" si="8">SUM(C70:C74)</f>
        <v>25417084</v>
      </c>
      <c r="D75" s="96">
        <f t="shared" si="8"/>
        <v>23609064.996000003</v>
      </c>
      <c r="E75" s="231">
        <f t="shared" si="6"/>
        <v>-1808019.0039999969</v>
      </c>
      <c r="F75" s="119">
        <f t="shared" si="5"/>
        <v>-7.1134005930813968E-2</v>
      </c>
      <c r="G75" s="96">
        <f>SUM(G70:G74)</f>
        <v>24359800.996000003</v>
      </c>
      <c r="H75" s="228"/>
      <c r="I75" s="189"/>
      <c r="J75" s="189"/>
    </row>
    <row r="76" spans="1:10" ht="15" customHeight="1" x14ac:dyDescent="0.25">
      <c r="A76" s="93" t="s">
        <v>188</v>
      </c>
      <c r="B76" s="65"/>
      <c r="C76" s="65"/>
      <c r="D76" s="65"/>
      <c r="E76" s="65"/>
      <c r="F76" s="121"/>
      <c r="G76" s="65"/>
      <c r="H76" s="227"/>
    </row>
    <row r="77" spans="1:10" ht="15" customHeight="1" x14ac:dyDescent="0.25">
      <c r="A77" s="91" t="s">
        <v>68</v>
      </c>
      <c r="B77" s="65"/>
      <c r="C77" s="65"/>
      <c r="D77" s="65"/>
      <c r="E77" s="65"/>
      <c r="F77" s="121"/>
      <c r="G77" s="65"/>
      <c r="H77" s="227"/>
    </row>
    <row r="78" spans="1:10" ht="15" customHeight="1" x14ac:dyDescent="0.25">
      <c r="A78" s="73" t="s">
        <v>69</v>
      </c>
      <c r="B78" s="69">
        <v>10243844</v>
      </c>
      <c r="C78" s="69">
        <v>10588501</v>
      </c>
      <c r="D78" s="69">
        <v>10111885.640000001</v>
      </c>
      <c r="E78" s="65">
        <f>D78-C78</f>
        <v>-476615.3599999994</v>
      </c>
      <c r="F78" s="115">
        <f t="shared" ref="F78:F96" si="9">IF(ISBLANK(E78),"  ",IF(C78&gt;0,E78/C78,IF(E78&gt;0,1,0)))</f>
        <v>-4.5012543324121079E-2</v>
      </c>
      <c r="G78" s="69">
        <v>10667043.640000001</v>
      </c>
      <c r="H78" s="227"/>
    </row>
    <row r="79" spans="1:10" ht="15" customHeight="1" x14ac:dyDescent="0.25">
      <c r="A79" s="75" t="s">
        <v>70</v>
      </c>
      <c r="B79" s="72">
        <v>331649</v>
      </c>
      <c r="C79" s="69">
        <v>350000</v>
      </c>
      <c r="D79" s="69">
        <v>0</v>
      </c>
      <c r="E79" s="74">
        <f>D79-C79</f>
        <v>-350000</v>
      </c>
      <c r="F79" s="115">
        <f t="shared" si="9"/>
        <v>-1</v>
      </c>
      <c r="G79" s="69">
        <v>0</v>
      </c>
      <c r="H79" s="227"/>
    </row>
    <row r="80" spans="1:10" ht="15" customHeight="1" x14ac:dyDescent="0.25">
      <c r="A80" s="75" t="s">
        <v>71</v>
      </c>
      <c r="B80" s="65">
        <v>4539277.93</v>
      </c>
      <c r="C80" s="69">
        <v>4806240</v>
      </c>
      <c r="D80" s="69">
        <v>4740079.0560000008</v>
      </c>
      <c r="E80" s="74">
        <f t="shared" ref="E80:E95" si="10">D80-C80</f>
        <v>-66160.943999999203</v>
      </c>
      <c r="F80" s="115">
        <f t="shared" si="9"/>
        <v>-1.3765634674922434E-2</v>
      </c>
      <c r="G80" s="69">
        <v>4935657.0560000008</v>
      </c>
      <c r="H80" s="227"/>
    </row>
    <row r="81" spans="1:10" s="124" customFormat="1" ht="15" customHeight="1" x14ac:dyDescent="0.25">
      <c r="A81" s="94" t="s">
        <v>72</v>
      </c>
      <c r="B81" s="96">
        <f>SUM(B78:B80)</f>
        <v>15114770.93</v>
      </c>
      <c r="C81" s="96">
        <f t="shared" ref="C81:D81" si="11">SUM(C78:C80)</f>
        <v>15744741</v>
      </c>
      <c r="D81" s="96">
        <f t="shared" si="11"/>
        <v>14851964.696000002</v>
      </c>
      <c r="E81" s="80">
        <f t="shared" si="10"/>
        <v>-892776.30399999768</v>
      </c>
      <c r="F81" s="119">
        <f t="shared" si="9"/>
        <v>-5.6703143227316198E-2</v>
      </c>
      <c r="G81" s="96">
        <f>SUM(G78:G80)</f>
        <v>15602700.696000002</v>
      </c>
      <c r="H81" s="228"/>
      <c r="I81" s="189"/>
      <c r="J81" s="189"/>
    </row>
    <row r="82" spans="1:10" ht="15" customHeight="1" x14ac:dyDescent="0.25">
      <c r="A82" s="75" t="s">
        <v>73</v>
      </c>
      <c r="B82" s="72">
        <v>7057</v>
      </c>
      <c r="C82" s="72">
        <v>47000</v>
      </c>
      <c r="D82" s="72">
        <v>37000</v>
      </c>
      <c r="E82" s="74">
        <f t="shared" si="10"/>
        <v>-10000</v>
      </c>
      <c r="F82" s="115">
        <f t="shared" si="9"/>
        <v>-0.21276595744680851</v>
      </c>
      <c r="G82" s="72">
        <v>37000</v>
      </c>
      <c r="H82" s="227"/>
    </row>
    <row r="83" spans="1:10" ht="15" customHeight="1" x14ac:dyDescent="0.25">
      <c r="A83" s="75" t="s">
        <v>74</v>
      </c>
      <c r="B83" s="69">
        <v>2941423</v>
      </c>
      <c r="C83" s="69">
        <v>2403366</v>
      </c>
      <c r="D83" s="69">
        <v>2285294</v>
      </c>
      <c r="E83" s="74">
        <f t="shared" si="10"/>
        <v>-118072</v>
      </c>
      <c r="F83" s="116">
        <f t="shared" si="9"/>
        <v>-4.9127764976287423E-2</v>
      </c>
      <c r="G83" s="69">
        <v>2285294</v>
      </c>
      <c r="H83" s="227"/>
    </row>
    <row r="84" spans="1:10" ht="15" customHeight="1" x14ac:dyDescent="0.25">
      <c r="A84" s="75" t="s">
        <v>75</v>
      </c>
      <c r="B84" s="65">
        <v>106660</v>
      </c>
      <c r="C84" s="65">
        <v>262500</v>
      </c>
      <c r="D84" s="65">
        <v>285500</v>
      </c>
      <c r="E84" s="74">
        <f t="shared" si="10"/>
        <v>23000</v>
      </c>
      <c r="F84" s="115">
        <f t="shared" si="9"/>
        <v>8.7619047619047624E-2</v>
      </c>
      <c r="G84" s="65">
        <v>285500</v>
      </c>
      <c r="H84" s="227"/>
    </row>
    <row r="85" spans="1:10" s="124" customFormat="1" ht="15" customHeight="1" x14ac:dyDescent="0.25">
      <c r="A85" s="78" t="s">
        <v>76</v>
      </c>
      <c r="B85" s="96">
        <f>SUM(B82:B84)</f>
        <v>3055140</v>
      </c>
      <c r="C85" s="96">
        <f t="shared" ref="C85:D85" si="12">SUM(C82:C84)</f>
        <v>2712866</v>
      </c>
      <c r="D85" s="96">
        <f t="shared" si="12"/>
        <v>2607794</v>
      </c>
      <c r="E85" s="80">
        <f t="shared" si="10"/>
        <v>-105072</v>
      </c>
      <c r="F85" s="118">
        <f t="shared" si="9"/>
        <v>-3.873099519106362E-2</v>
      </c>
      <c r="G85" s="96">
        <f>SUM(G82:G84)</f>
        <v>2607794</v>
      </c>
      <c r="H85" s="228"/>
      <c r="I85" s="189"/>
      <c r="J85" s="189"/>
    </row>
    <row r="86" spans="1:10" ht="15" customHeight="1" x14ac:dyDescent="0.25">
      <c r="A86" s="75" t="s">
        <v>77</v>
      </c>
      <c r="B86" s="65">
        <v>169085</v>
      </c>
      <c r="C86" s="65">
        <v>75000</v>
      </c>
      <c r="D86" s="65">
        <v>0</v>
      </c>
      <c r="E86" s="74">
        <f t="shared" si="10"/>
        <v>-75000</v>
      </c>
      <c r="F86" s="115">
        <f t="shared" si="9"/>
        <v>-1</v>
      </c>
      <c r="G86" s="65">
        <v>0</v>
      </c>
      <c r="H86" s="227"/>
    </row>
    <row r="87" spans="1:10" ht="15" customHeight="1" x14ac:dyDescent="0.25">
      <c r="A87" s="75" t="s">
        <v>78</v>
      </c>
      <c r="B87" s="74">
        <v>0</v>
      </c>
      <c r="C87" s="74">
        <v>6269072</v>
      </c>
      <c r="D87" s="74">
        <v>5450826.2999999998</v>
      </c>
      <c r="E87" s="74">
        <f t="shared" si="10"/>
        <v>-818245.70000000019</v>
      </c>
      <c r="F87" s="115">
        <f t="shared" si="9"/>
        <v>-0.13052102448336855</v>
      </c>
      <c r="G87" s="74">
        <v>5450826.2999999998</v>
      </c>
      <c r="H87" s="227"/>
    </row>
    <row r="88" spans="1:10" ht="15" customHeight="1" x14ac:dyDescent="0.25">
      <c r="A88" s="75" t="s">
        <v>79</v>
      </c>
      <c r="B88" s="74">
        <v>4804743</v>
      </c>
      <c r="C88" s="74">
        <v>0</v>
      </c>
      <c r="D88" s="74">
        <v>0</v>
      </c>
      <c r="E88" s="74">
        <f t="shared" si="10"/>
        <v>0</v>
      </c>
      <c r="F88" s="115">
        <f t="shared" si="9"/>
        <v>0</v>
      </c>
      <c r="G88" s="74">
        <v>0</v>
      </c>
      <c r="H88" s="227"/>
    </row>
    <row r="89" spans="1:10" ht="15" customHeight="1" x14ac:dyDescent="0.25">
      <c r="A89" s="75" t="s">
        <v>80</v>
      </c>
      <c r="B89" s="74">
        <v>0</v>
      </c>
      <c r="C89" s="74">
        <v>440405</v>
      </c>
      <c r="D89" s="74">
        <v>523480</v>
      </c>
      <c r="E89" s="74">
        <f t="shared" si="10"/>
        <v>83075</v>
      </c>
      <c r="F89" s="115">
        <f t="shared" si="9"/>
        <v>0.18863318990474676</v>
      </c>
      <c r="G89" s="74">
        <v>523480</v>
      </c>
      <c r="H89" s="227"/>
    </row>
    <row r="90" spans="1:10" s="124" customFormat="1" ht="15" customHeight="1" x14ac:dyDescent="0.25">
      <c r="A90" s="78" t="s">
        <v>81</v>
      </c>
      <c r="B90" s="80">
        <f>SUM(B86:B89)</f>
        <v>4973828</v>
      </c>
      <c r="C90" s="80">
        <f t="shared" ref="C90:D90" si="13">SUM(C86:C89)</f>
        <v>6784477</v>
      </c>
      <c r="D90" s="80">
        <f t="shared" si="13"/>
        <v>5974306.2999999998</v>
      </c>
      <c r="E90" s="80">
        <f t="shared" si="10"/>
        <v>-810170.70000000019</v>
      </c>
      <c r="F90" s="119">
        <f t="shared" si="9"/>
        <v>-0.11941535066004354</v>
      </c>
      <c r="G90" s="80">
        <f>SUM(G86:G89)</f>
        <v>5974306.2999999998</v>
      </c>
      <c r="H90" s="228"/>
      <c r="I90" s="189"/>
      <c r="J90" s="189"/>
    </row>
    <row r="91" spans="1:10" ht="15" customHeight="1" x14ac:dyDescent="0.25">
      <c r="A91" s="75" t="s">
        <v>82</v>
      </c>
      <c r="B91" s="74">
        <v>0</v>
      </c>
      <c r="C91" s="74">
        <v>0</v>
      </c>
      <c r="D91" s="74">
        <v>0</v>
      </c>
      <c r="E91" s="74">
        <f t="shared" si="10"/>
        <v>0</v>
      </c>
      <c r="F91" s="115">
        <f t="shared" si="9"/>
        <v>0</v>
      </c>
      <c r="G91" s="74">
        <v>0</v>
      </c>
      <c r="H91" s="227"/>
    </row>
    <row r="92" spans="1:10" ht="15" customHeight="1" x14ac:dyDescent="0.25">
      <c r="A92" s="75" t="s">
        <v>83</v>
      </c>
      <c r="B92" s="74">
        <v>161768</v>
      </c>
      <c r="C92" s="74">
        <v>175000</v>
      </c>
      <c r="D92" s="74">
        <v>175000</v>
      </c>
      <c r="E92" s="74">
        <f t="shared" si="10"/>
        <v>0</v>
      </c>
      <c r="F92" s="115">
        <f t="shared" si="9"/>
        <v>0</v>
      </c>
      <c r="G92" s="74">
        <v>175000</v>
      </c>
      <c r="H92" s="227"/>
    </row>
    <row r="93" spans="1:10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0"/>
        <v>0</v>
      </c>
      <c r="F93" s="115">
        <f t="shared" si="9"/>
        <v>0</v>
      </c>
      <c r="G93" s="74">
        <v>0</v>
      </c>
      <c r="H93" s="227"/>
    </row>
    <row r="94" spans="1:10" s="124" customFormat="1" ht="15" customHeight="1" x14ac:dyDescent="0.25">
      <c r="A94" s="97" t="s">
        <v>85</v>
      </c>
      <c r="B94" s="96">
        <f>SUM(B91:B93)</f>
        <v>161768</v>
      </c>
      <c r="C94" s="96">
        <f t="shared" ref="C94:D94" si="14">SUM(C91:C93)</f>
        <v>175000</v>
      </c>
      <c r="D94" s="96">
        <f t="shared" si="14"/>
        <v>175000</v>
      </c>
      <c r="E94" s="80">
        <f t="shared" si="10"/>
        <v>0</v>
      </c>
      <c r="F94" s="115">
        <f t="shared" si="9"/>
        <v>0</v>
      </c>
      <c r="G94" s="96">
        <f>SUM(G91:G93)</f>
        <v>175000</v>
      </c>
      <c r="H94" s="228"/>
      <c r="I94" s="189"/>
      <c r="J94" s="189"/>
    </row>
    <row r="95" spans="1:10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0"/>
        <v>0</v>
      </c>
      <c r="F95" s="115">
        <f t="shared" si="9"/>
        <v>0</v>
      </c>
      <c r="G95" s="72">
        <v>0</v>
      </c>
      <c r="H95" s="227"/>
    </row>
    <row r="96" spans="1:10" s="124" customFormat="1" ht="15" customHeight="1" thickBot="1" x14ac:dyDescent="0.3">
      <c r="A96" s="195" t="s">
        <v>67</v>
      </c>
      <c r="B96" s="196">
        <f>SUM(B81,B85,B90,B94,B95)</f>
        <v>23305506.93</v>
      </c>
      <c r="C96" s="196">
        <f>SUM(C81,C85,C90,C94,C95)</f>
        <v>25417084</v>
      </c>
      <c r="D96" s="196">
        <f>SUM(D81,D85,D90,D94,D95)</f>
        <v>23609064.996000003</v>
      </c>
      <c r="E96" s="196">
        <f>D96-C96</f>
        <v>-1808019.0039999969</v>
      </c>
      <c r="F96" s="201">
        <f t="shared" si="9"/>
        <v>-7.1134005930813968E-2</v>
      </c>
      <c r="G96" s="197">
        <f>SUM(G81,G85,G90,G94,G95)</f>
        <v>24359800.996000003</v>
      </c>
      <c r="H96" s="228"/>
    </row>
    <row r="97" spans="1:9" ht="15" customHeight="1" thickTop="1" x14ac:dyDescent="0.4">
      <c r="A97" s="4"/>
      <c r="B97" s="5"/>
      <c r="C97" s="5"/>
      <c r="D97" s="5"/>
      <c r="E97" s="21"/>
      <c r="F97" s="21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23.140625" style="139" bestFit="1" customWidth="1"/>
    <col min="11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128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5692475</v>
      </c>
      <c r="C8" s="69">
        <v>5692475</v>
      </c>
      <c r="D8" s="69">
        <v>4958497</v>
      </c>
      <c r="E8" s="69">
        <f>D8-C8</f>
        <v>-733978</v>
      </c>
      <c r="F8" s="70">
        <f t="shared" ref="F8:F31" si="0">IF(ISBLANK(E8),"  ",IF(C8&gt;0,E8/C8,IF(E8&gt;0,1,0)))</f>
        <v>-0.12893829134076126</v>
      </c>
      <c r="G8" s="69">
        <v>4958497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166405</v>
      </c>
      <c r="C10" s="72">
        <v>189181</v>
      </c>
      <c r="D10" s="72">
        <v>162060</v>
      </c>
      <c r="E10" s="69">
        <f t="shared" ref="E10:E31" si="1">D10-C10</f>
        <v>-27121</v>
      </c>
      <c r="F10" s="70">
        <f t="shared" si="0"/>
        <v>-0.14336006258556622</v>
      </c>
      <c r="G10" s="72">
        <v>162060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166405</v>
      </c>
      <c r="C12" s="74">
        <v>189181</v>
      </c>
      <c r="D12" s="74">
        <v>162060</v>
      </c>
      <c r="E12" s="69">
        <f t="shared" si="1"/>
        <v>-27121</v>
      </c>
      <c r="F12" s="70">
        <f t="shared" si="0"/>
        <v>-0.14336006258556622</v>
      </c>
      <c r="G12" s="74">
        <v>162060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SUM(B8:B10,B33,B35,B36)</f>
        <v>5858880</v>
      </c>
      <c r="C37" s="80">
        <f t="shared" ref="C37" si="2">SUM(C8:C10,C33,C35,C36)</f>
        <v>5881656</v>
      </c>
      <c r="D37" s="80">
        <f>SUM(D8:D10,D33,D35,D36)</f>
        <v>5120557</v>
      </c>
      <c r="E37" s="80">
        <f>D37-C37</f>
        <v>-761099</v>
      </c>
      <c r="F37" s="81">
        <f>IF(ISBLANK(E37),"  ",IF(C37&gt;0,E37/C37,IF(E37&gt;0,1,0)))</f>
        <v>-0.12940216156810258</v>
      </c>
      <c r="G37" s="80">
        <f>SUM(G8:G10,G33,G35,G36)</f>
        <v>5120557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594302</v>
      </c>
      <c r="C48" s="87">
        <v>594302</v>
      </c>
      <c r="D48" s="87">
        <v>0</v>
      </c>
      <c r="E48" s="87">
        <f>D48-C48</f>
        <v>-594302</v>
      </c>
      <c r="F48" s="81">
        <f>IF(ISBLANK(E48)," ",IF(C48&gt;0,E48/C48,IF(E48&gt;0,1,0)))</f>
        <v>-1</v>
      </c>
      <c r="G48" s="87">
        <v>594302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9621779</v>
      </c>
      <c r="C52" s="85">
        <v>10008838</v>
      </c>
      <c r="D52" s="85">
        <v>10008838</v>
      </c>
      <c r="E52" s="85">
        <f>D52-C52</f>
        <v>0</v>
      </c>
      <c r="F52" s="81">
        <f>IF(ISBLANK(E52),"  ",IF(C52&gt;0,E52/C52,IF(E52&gt;0,1,0)))</f>
        <v>0</v>
      </c>
      <c r="G52" s="85">
        <v>10008838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16074961</v>
      </c>
      <c r="C58" s="85">
        <f>SUM(C37,C46,C48,C50,C52,C54,C56)-C44</f>
        <v>16484796</v>
      </c>
      <c r="D58" s="85">
        <f>SUM(D37,D46,D48,D50,D52,D54,D56)-D44</f>
        <v>15129395</v>
      </c>
      <c r="E58" s="85">
        <f>D58-C58</f>
        <v>-1355401</v>
      </c>
      <c r="F58" s="81">
        <f>IF(ISBLANK(E58),"  ",IF(C58&gt;0,E58/C58,IF(E58&gt;0,1,0)))</f>
        <v>-8.2221278322158184E-2</v>
      </c>
      <c r="G58" s="85">
        <f>SUM(G37,G46,G48,G50,G52,G54,G56)-G44</f>
        <v>15723697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5474980</v>
      </c>
      <c r="C62" s="65">
        <v>5157017</v>
      </c>
      <c r="D62" s="65">
        <v>3754559</v>
      </c>
      <c r="E62" s="65">
        <f>D62-C62</f>
        <v>-1402458</v>
      </c>
      <c r="F62" s="70">
        <f t="shared" ref="F62:F75" si="5">IF(ISBLANK(E62),"  ",IF(C62&gt;0,E62/C62,IF(E62&gt;0,1,0)))</f>
        <v>-0.27195140136245433</v>
      </c>
      <c r="G62" s="65">
        <v>4137176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74">
        <f>D63-C63</f>
        <v>0</v>
      </c>
      <c r="F63" s="70">
        <f t="shared" si="5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74">
        <f t="shared" ref="E64:E75" si="6">D64-C64</f>
        <v>0</v>
      </c>
      <c r="F64" s="70">
        <f t="shared" si="5"/>
        <v>0</v>
      </c>
      <c r="G64" s="74">
        <v>0</v>
      </c>
      <c r="H64" s="227"/>
    </row>
    <row r="65" spans="1:10" ht="15" customHeight="1" x14ac:dyDescent="0.25">
      <c r="A65" s="75" t="s">
        <v>57</v>
      </c>
      <c r="B65" s="74">
        <v>449904</v>
      </c>
      <c r="C65" s="74">
        <v>599430</v>
      </c>
      <c r="D65" s="74">
        <v>482293</v>
      </c>
      <c r="E65" s="74">
        <f t="shared" si="6"/>
        <v>-117137</v>
      </c>
      <c r="F65" s="70">
        <f t="shared" si="5"/>
        <v>-0.1954139766111139</v>
      </c>
      <c r="G65" s="74">
        <v>482293</v>
      </c>
      <c r="H65" s="227"/>
    </row>
    <row r="66" spans="1:10" ht="15" customHeight="1" x14ac:dyDescent="0.25">
      <c r="A66" s="75" t="s">
        <v>58</v>
      </c>
      <c r="B66" s="74">
        <v>1097782</v>
      </c>
      <c r="C66" s="74">
        <v>1547108</v>
      </c>
      <c r="D66" s="74">
        <v>1553143</v>
      </c>
      <c r="E66" s="74">
        <f t="shared" si="6"/>
        <v>6035</v>
      </c>
      <c r="F66" s="70">
        <f t="shared" si="5"/>
        <v>3.9008265744860733E-3</v>
      </c>
      <c r="G66" s="74">
        <v>1553143</v>
      </c>
      <c r="H66" s="227"/>
    </row>
    <row r="67" spans="1:10" ht="15" customHeight="1" x14ac:dyDescent="0.25">
      <c r="A67" s="75" t="s">
        <v>59</v>
      </c>
      <c r="B67" s="74">
        <v>5937715</v>
      </c>
      <c r="C67" s="74">
        <v>6450878</v>
      </c>
      <c r="D67" s="74">
        <v>6209070</v>
      </c>
      <c r="E67" s="74">
        <f t="shared" si="6"/>
        <v>-241808</v>
      </c>
      <c r="F67" s="70">
        <f t="shared" si="5"/>
        <v>-3.7484509860518211E-2</v>
      </c>
      <c r="G67" s="74">
        <v>6399665</v>
      </c>
      <c r="H67" s="227"/>
    </row>
    <row r="68" spans="1:10" ht="15" customHeight="1" x14ac:dyDescent="0.25">
      <c r="A68" s="75" t="s">
        <v>60</v>
      </c>
      <c r="B68" s="74">
        <v>285283</v>
      </c>
      <c r="C68" s="74">
        <v>250000</v>
      </c>
      <c r="D68" s="74">
        <v>300000</v>
      </c>
      <c r="E68" s="74">
        <f t="shared" si="6"/>
        <v>50000</v>
      </c>
      <c r="F68" s="70">
        <f t="shared" si="5"/>
        <v>0.2</v>
      </c>
      <c r="G68" s="74">
        <v>300000</v>
      </c>
      <c r="H68" s="227"/>
    </row>
    <row r="69" spans="1:10" ht="15" customHeight="1" x14ac:dyDescent="0.25">
      <c r="A69" s="75" t="s">
        <v>61</v>
      </c>
      <c r="B69" s="74">
        <v>2829297</v>
      </c>
      <c r="C69" s="74">
        <v>2480363</v>
      </c>
      <c r="D69" s="74">
        <v>2830330</v>
      </c>
      <c r="E69" s="74">
        <f t="shared" si="6"/>
        <v>349967</v>
      </c>
      <c r="F69" s="70">
        <f t="shared" si="5"/>
        <v>0.14109507358398751</v>
      </c>
      <c r="G69" s="74">
        <v>2851420</v>
      </c>
      <c r="H69" s="227"/>
    </row>
    <row r="70" spans="1:10" s="124" customFormat="1" ht="15" customHeight="1" x14ac:dyDescent="0.25">
      <c r="A70" s="94" t="s">
        <v>62</v>
      </c>
      <c r="B70" s="80">
        <f>SUM(B62:B69)</f>
        <v>16074961</v>
      </c>
      <c r="C70" s="80">
        <f t="shared" ref="C70:D70" si="7">SUM(C62:C69)</f>
        <v>16484796</v>
      </c>
      <c r="D70" s="80">
        <f t="shared" si="7"/>
        <v>15129395</v>
      </c>
      <c r="E70" s="80">
        <f t="shared" si="6"/>
        <v>-1355401</v>
      </c>
      <c r="F70" s="81">
        <f t="shared" si="5"/>
        <v>-8.2221278322158184E-2</v>
      </c>
      <c r="G70" s="80">
        <f>SUM(G62:G69)</f>
        <v>15723697</v>
      </c>
      <c r="H70" s="228"/>
      <c r="I70" s="189"/>
      <c r="J70" s="189"/>
    </row>
    <row r="71" spans="1:10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6"/>
        <v>0</v>
      </c>
      <c r="F71" s="70">
        <f t="shared" si="5"/>
        <v>0</v>
      </c>
      <c r="G71" s="74">
        <v>0</v>
      </c>
      <c r="H71" s="227"/>
    </row>
    <row r="72" spans="1:10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74">
        <f t="shared" si="6"/>
        <v>0</v>
      </c>
      <c r="F72" s="70">
        <f t="shared" si="5"/>
        <v>0</v>
      </c>
      <c r="G72" s="74">
        <v>0</v>
      </c>
      <c r="H72" s="227"/>
    </row>
    <row r="73" spans="1:10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6"/>
        <v>0</v>
      </c>
      <c r="F73" s="70">
        <f t="shared" si="5"/>
        <v>0</v>
      </c>
      <c r="G73" s="74">
        <v>0</v>
      </c>
      <c r="H73" s="227"/>
    </row>
    <row r="74" spans="1:10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6"/>
        <v>0</v>
      </c>
      <c r="F74" s="70">
        <f t="shared" si="5"/>
        <v>0</v>
      </c>
      <c r="G74" s="74">
        <v>0</v>
      </c>
      <c r="H74" s="227"/>
    </row>
    <row r="75" spans="1:10" s="124" customFormat="1" ht="15" customHeight="1" x14ac:dyDescent="0.25">
      <c r="A75" s="95" t="s">
        <v>67</v>
      </c>
      <c r="B75" s="96">
        <f>SUM(B70:B74)</f>
        <v>16074961</v>
      </c>
      <c r="C75" s="96">
        <f t="shared" ref="C75:D75" si="8">SUM(C70:C74)</f>
        <v>16484796</v>
      </c>
      <c r="D75" s="96">
        <f t="shared" si="8"/>
        <v>15129395</v>
      </c>
      <c r="E75" s="231">
        <f t="shared" si="6"/>
        <v>-1355401</v>
      </c>
      <c r="F75" s="81">
        <f t="shared" si="5"/>
        <v>-8.2221278322158184E-2</v>
      </c>
      <c r="G75" s="96">
        <f>SUM(G70:G74)</f>
        <v>15723697</v>
      </c>
      <c r="H75" s="228"/>
      <c r="I75" s="189"/>
      <c r="J75" s="189"/>
    </row>
    <row r="76" spans="1:10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10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10" ht="15" customHeight="1" x14ac:dyDescent="0.25">
      <c r="A78" s="73" t="s">
        <v>69</v>
      </c>
      <c r="B78" s="69">
        <v>8199643</v>
      </c>
      <c r="C78" s="69">
        <v>8634534</v>
      </c>
      <c r="D78" s="69">
        <v>7402302</v>
      </c>
      <c r="E78" s="65">
        <f>D78-C78</f>
        <v>-1232232</v>
      </c>
      <c r="F78" s="70">
        <f t="shared" ref="F78:F96" si="9">IF(ISBLANK(E78),"  ",IF(C78&gt;0,E78/C78,IF(E78&gt;0,1,0)))</f>
        <v>-0.14270972816830649</v>
      </c>
      <c r="G78" s="69">
        <v>7975514</v>
      </c>
      <c r="H78" s="227"/>
    </row>
    <row r="79" spans="1:10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9"/>
        <v>0</v>
      </c>
      <c r="G79" s="72">
        <v>0</v>
      </c>
      <c r="H79" s="227"/>
    </row>
    <row r="80" spans="1:10" ht="15" customHeight="1" x14ac:dyDescent="0.25">
      <c r="A80" s="75" t="s">
        <v>71</v>
      </c>
      <c r="B80" s="65">
        <v>3357911</v>
      </c>
      <c r="C80" s="65">
        <v>3873043</v>
      </c>
      <c r="D80" s="65">
        <v>3666095</v>
      </c>
      <c r="E80" s="74">
        <f t="shared" ref="E80:E95" si="10">D80-C80</f>
        <v>-206948</v>
      </c>
      <c r="F80" s="70">
        <f t="shared" si="9"/>
        <v>-5.3432920832534002E-2</v>
      </c>
      <c r="G80" s="65">
        <v>3666095</v>
      </c>
      <c r="H80" s="227"/>
    </row>
    <row r="81" spans="1:10" s="124" customFormat="1" ht="15" customHeight="1" x14ac:dyDescent="0.25">
      <c r="A81" s="94" t="s">
        <v>72</v>
      </c>
      <c r="B81" s="96">
        <f>SUM(B78:B80)</f>
        <v>11557554</v>
      </c>
      <c r="C81" s="96">
        <f t="shared" ref="C81:D81" si="11">SUM(C78:C80)</f>
        <v>12507577</v>
      </c>
      <c r="D81" s="96">
        <f t="shared" si="11"/>
        <v>11068397</v>
      </c>
      <c r="E81" s="80">
        <f t="shared" si="10"/>
        <v>-1439180</v>
      </c>
      <c r="F81" s="81">
        <f t="shared" si="9"/>
        <v>-0.11506465241029498</v>
      </c>
      <c r="G81" s="96">
        <f>SUM(G78:G80)</f>
        <v>11641609</v>
      </c>
      <c r="H81" s="228"/>
      <c r="I81" s="189"/>
      <c r="J81" s="189"/>
    </row>
    <row r="82" spans="1:10" ht="15" customHeight="1" x14ac:dyDescent="0.25">
      <c r="A82" s="75" t="s">
        <v>73</v>
      </c>
      <c r="B82" s="72">
        <v>23086</v>
      </c>
      <c r="C82" s="72">
        <v>38300</v>
      </c>
      <c r="D82" s="72">
        <v>38300</v>
      </c>
      <c r="E82" s="74">
        <f t="shared" si="10"/>
        <v>0</v>
      </c>
      <c r="F82" s="70">
        <f t="shared" si="9"/>
        <v>0</v>
      </c>
      <c r="G82" s="72">
        <v>38300</v>
      </c>
      <c r="H82" s="227"/>
    </row>
    <row r="83" spans="1:10" ht="15" customHeight="1" x14ac:dyDescent="0.25">
      <c r="A83" s="75" t="s">
        <v>74</v>
      </c>
      <c r="B83" s="69">
        <v>2417815</v>
      </c>
      <c r="C83" s="69">
        <v>2030318</v>
      </c>
      <c r="D83" s="69">
        <v>2166888</v>
      </c>
      <c r="E83" s="74">
        <f t="shared" si="10"/>
        <v>136570</v>
      </c>
      <c r="F83" s="70">
        <f t="shared" si="9"/>
        <v>6.7265324939245974E-2</v>
      </c>
      <c r="G83" s="69">
        <v>2187978</v>
      </c>
      <c r="H83" s="227"/>
    </row>
    <row r="84" spans="1:10" ht="15" customHeight="1" x14ac:dyDescent="0.25">
      <c r="A84" s="75" t="s">
        <v>75</v>
      </c>
      <c r="B84" s="65">
        <v>113164</v>
      </c>
      <c r="C84" s="65">
        <v>138200</v>
      </c>
      <c r="D84" s="65">
        <v>140200</v>
      </c>
      <c r="E84" s="74">
        <f t="shared" si="10"/>
        <v>2000</v>
      </c>
      <c r="F84" s="70">
        <f t="shared" si="9"/>
        <v>1.4471780028943559E-2</v>
      </c>
      <c r="G84" s="65">
        <v>140200</v>
      </c>
      <c r="H84" s="227"/>
    </row>
    <row r="85" spans="1:10" s="124" customFormat="1" ht="15" customHeight="1" x14ac:dyDescent="0.25">
      <c r="A85" s="78" t="s">
        <v>76</v>
      </c>
      <c r="B85" s="96">
        <f>SUM(B82:B84)</f>
        <v>2554065</v>
      </c>
      <c r="C85" s="96">
        <f t="shared" ref="C85:D85" si="12">SUM(C82:C84)</f>
        <v>2206818</v>
      </c>
      <c r="D85" s="96">
        <f t="shared" si="12"/>
        <v>2345388</v>
      </c>
      <c r="E85" s="80">
        <f t="shared" si="10"/>
        <v>138570</v>
      </c>
      <c r="F85" s="81">
        <f t="shared" si="9"/>
        <v>6.2791766244429767E-2</v>
      </c>
      <c r="G85" s="96">
        <f>SUM(G82:G84)</f>
        <v>2366478</v>
      </c>
      <c r="H85" s="228"/>
      <c r="I85" s="189"/>
      <c r="J85" s="189"/>
    </row>
    <row r="86" spans="1:10" ht="15" customHeight="1" x14ac:dyDescent="0.25">
      <c r="A86" s="75" t="s">
        <v>77</v>
      </c>
      <c r="B86" s="65">
        <v>61084</v>
      </c>
      <c r="C86" s="65">
        <v>17000</v>
      </c>
      <c r="D86" s="65">
        <v>19500</v>
      </c>
      <c r="E86" s="74">
        <f t="shared" si="10"/>
        <v>2500</v>
      </c>
      <c r="F86" s="70">
        <f t="shared" si="9"/>
        <v>0.14705882352941177</v>
      </c>
      <c r="G86" s="65">
        <v>19500</v>
      </c>
      <c r="H86" s="227"/>
    </row>
    <row r="87" spans="1:10" ht="15" customHeight="1" x14ac:dyDescent="0.25">
      <c r="A87" s="75" t="s">
        <v>78</v>
      </c>
      <c r="B87" s="74">
        <v>945982</v>
      </c>
      <c r="C87" s="74">
        <v>1004778</v>
      </c>
      <c r="D87" s="74">
        <v>947487</v>
      </c>
      <c r="E87" s="74">
        <f t="shared" si="10"/>
        <v>-57291</v>
      </c>
      <c r="F87" s="70">
        <f t="shared" si="9"/>
        <v>-5.701856529502039E-2</v>
      </c>
      <c r="G87" s="74">
        <v>947487</v>
      </c>
      <c r="H87" s="227"/>
    </row>
    <row r="88" spans="1:10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0"/>
        <v>0</v>
      </c>
      <c r="F88" s="70">
        <f t="shared" si="9"/>
        <v>0</v>
      </c>
      <c r="G88" s="74">
        <v>0</v>
      </c>
      <c r="H88" s="227"/>
    </row>
    <row r="89" spans="1:10" ht="15" customHeight="1" x14ac:dyDescent="0.25">
      <c r="A89" s="75" t="s">
        <v>80</v>
      </c>
      <c r="B89" s="74">
        <v>956276</v>
      </c>
      <c r="C89" s="74">
        <v>748623</v>
      </c>
      <c r="D89" s="74">
        <v>748623</v>
      </c>
      <c r="E89" s="74">
        <f t="shared" si="10"/>
        <v>0</v>
      </c>
      <c r="F89" s="70">
        <f t="shared" si="9"/>
        <v>0</v>
      </c>
      <c r="G89" s="74">
        <v>748623</v>
      </c>
      <c r="H89" s="227"/>
    </row>
    <row r="90" spans="1:10" s="124" customFormat="1" ht="15" customHeight="1" x14ac:dyDescent="0.25">
      <c r="A90" s="78" t="s">
        <v>81</v>
      </c>
      <c r="B90" s="80">
        <f>SUM(B86:B89)</f>
        <v>1963342</v>
      </c>
      <c r="C90" s="80">
        <f t="shared" ref="C90:D90" si="13">SUM(C86:C89)</f>
        <v>1770401</v>
      </c>
      <c r="D90" s="80">
        <f t="shared" si="13"/>
        <v>1715610</v>
      </c>
      <c r="E90" s="80">
        <f t="shared" si="10"/>
        <v>-54791</v>
      </c>
      <c r="F90" s="81">
        <f t="shared" si="9"/>
        <v>-3.0948355767987025E-2</v>
      </c>
      <c r="G90" s="80">
        <f>SUM(G86:G89)</f>
        <v>1715610</v>
      </c>
      <c r="H90" s="228"/>
      <c r="I90" s="189"/>
      <c r="J90" s="189"/>
    </row>
    <row r="91" spans="1:10" ht="15" customHeight="1" x14ac:dyDescent="0.25">
      <c r="A91" s="75" t="s">
        <v>82</v>
      </c>
      <c r="B91" s="74">
        <v>0</v>
      </c>
      <c r="C91" s="74">
        <v>0</v>
      </c>
      <c r="D91" s="74">
        <v>0</v>
      </c>
      <c r="E91" s="74">
        <f t="shared" si="10"/>
        <v>0</v>
      </c>
      <c r="F91" s="70">
        <f t="shared" si="9"/>
        <v>0</v>
      </c>
      <c r="G91" s="74">
        <v>0</v>
      </c>
      <c r="H91" s="227"/>
    </row>
    <row r="92" spans="1:10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0"/>
        <v>0</v>
      </c>
      <c r="F92" s="70">
        <f t="shared" si="9"/>
        <v>0</v>
      </c>
      <c r="G92" s="74">
        <v>0</v>
      </c>
      <c r="H92" s="227"/>
    </row>
    <row r="93" spans="1:10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0"/>
        <v>0</v>
      </c>
      <c r="F93" s="70">
        <f t="shared" si="9"/>
        <v>0</v>
      </c>
      <c r="G93" s="74">
        <v>0</v>
      </c>
      <c r="H93" s="227"/>
    </row>
    <row r="94" spans="1:10" s="124" customFormat="1" ht="15" customHeight="1" x14ac:dyDescent="0.25">
      <c r="A94" s="97" t="s">
        <v>85</v>
      </c>
      <c r="B94" s="96">
        <f>SUM(B91:B93)</f>
        <v>0</v>
      </c>
      <c r="C94" s="96">
        <f t="shared" ref="C94:D94" si="14">SUM(C91:C93)</f>
        <v>0</v>
      </c>
      <c r="D94" s="96">
        <f t="shared" si="14"/>
        <v>0</v>
      </c>
      <c r="E94" s="80">
        <f t="shared" si="10"/>
        <v>0</v>
      </c>
      <c r="F94" s="81">
        <f t="shared" si="9"/>
        <v>0</v>
      </c>
      <c r="G94" s="96">
        <f>SUM(G91:G93)</f>
        <v>0</v>
      </c>
      <c r="H94" s="228"/>
      <c r="I94" s="189"/>
      <c r="J94" s="189"/>
    </row>
    <row r="95" spans="1:10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0"/>
        <v>0</v>
      </c>
      <c r="F95" s="70">
        <f t="shared" si="9"/>
        <v>0</v>
      </c>
      <c r="G95" s="74">
        <v>0</v>
      </c>
      <c r="H95" s="227"/>
    </row>
    <row r="96" spans="1:10" s="124" customFormat="1" ht="15" customHeight="1" thickBot="1" x14ac:dyDescent="0.3">
      <c r="A96" s="195" t="s">
        <v>67</v>
      </c>
      <c r="B96" s="196">
        <f>SUM(B81,B85,B90,B94,B95)</f>
        <v>16074961</v>
      </c>
      <c r="C96" s="196">
        <f>SUM(C81,C85,C90,C94,C95)</f>
        <v>16484796</v>
      </c>
      <c r="D96" s="196">
        <f>SUM(D81,D85,D90,D94,D95)</f>
        <v>15129395</v>
      </c>
      <c r="E96" s="196">
        <f>D96-C96</f>
        <v>-1355401</v>
      </c>
      <c r="F96" s="198">
        <f t="shared" si="9"/>
        <v>-8.2221278322158184E-2</v>
      </c>
      <c r="G96" s="196">
        <f>SUM(G81,G85,G90,G94,G95)</f>
        <v>15723697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24" style="139" bestFit="1" customWidth="1"/>
    <col min="11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129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4275772</v>
      </c>
      <c r="C8" s="69">
        <v>4275772</v>
      </c>
      <c r="D8" s="69">
        <v>3735319</v>
      </c>
      <c r="E8" s="69">
        <f>D8-C8</f>
        <v>-540453</v>
      </c>
      <c r="F8" s="70">
        <f t="shared" ref="F8:F31" si="0">IF(ISBLANK(E8),"  ",IF(C8&gt;0,E8/C8,IF(E8&gt;0,1,0)))</f>
        <v>-0.12639892866130373</v>
      </c>
      <c r="G8" s="69">
        <v>3735319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166405.29999999999</v>
      </c>
      <c r="C10" s="72">
        <v>201881</v>
      </c>
      <c r="D10" s="72">
        <v>172939</v>
      </c>
      <c r="E10" s="69">
        <f t="shared" ref="E10:E31" si="1">D10-C10</f>
        <v>-28942</v>
      </c>
      <c r="F10" s="70">
        <f t="shared" si="0"/>
        <v>-0.14336168336792468</v>
      </c>
      <c r="G10" s="72">
        <v>172939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166405.29999999999</v>
      </c>
      <c r="C12" s="74">
        <v>201881</v>
      </c>
      <c r="D12" s="74">
        <v>172939</v>
      </c>
      <c r="E12" s="69">
        <f t="shared" si="1"/>
        <v>-28942</v>
      </c>
      <c r="F12" s="70">
        <f t="shared" si="0"/>
        <v>-0.14336168336792468</v>
      </c>
      <c r="G12" s="74">
        <v>172939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SUM(B8:B10,B33,B35,B36)</f>
        <v>4442177.3</v>
      </c>
      <c r="C37" s="80">
        <f t="shared" ref="C37" si="2">SUM(C8:C10,C33,C35,C36)</f>
        <v>4477653</v>
      </c>
      <c r="D37" s="80">
        <f>SUM(D8:D10,D33,D35,D36)</f>
        <v>3908258</v>
      </c>
      <c r="E37" s="80">
        <f>D37-C37</f>
        <v>-569395</v>
      </c>
      <c r="F37" s="81">
        <f>IF(ISBLANK(E37),"  ",IF(C37&gt;0,E37/C37,IF(E37&gt;0,1,0)))</f>
        <v>-0.12716371724204623</v>
      </c>
      <c r="G37" s="80">
        <f>SUM(G8:G10,G33,G35,G36)</f>
        <v>3908258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417291</v>
      </c>
      <c r="C48" s="87">
        <v>417291</v>
      </c>
      <c r="D48" s="87">
        <v>0</v>
      </c>
      <c r="E48" s="87">
        <f>D48-C48</f>
        <v>-417291</v>
      </c>
      <c r="F48" s="81">
        <f>IF(ISBLANK(E48)," ",IF(C48&gt;0,E48/C48,IF(E48&gt;0,1,0)))</f>
        <v>-1</v>
      </c>
      <c r="G48" s="87">
        <v>417291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13895181.74</v>
      </c>
      <c r="C52" s="85">
        <v>14438421</v>
      </c>
      <c r="D52" s="85">
        <v>13967744</v>
      </c>
      <c r="E52" s="85">
        <f>D52-C52</f>
        <v>-470677</v>
      </c>
      <c r="F52" s="81">
        <f>IF(ISBLANK(E52),"  ",IF(C52&gt;0,E52/C52,IF(E52&gt;0,1,0)))</f>
        <v>-3.2598924771621497E-2</v>
      </c>
      <c r="G52" s="85">
        <v>13967744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18754650.039999999</v>
      </c>
      <c r="C58" s="85">
        <f>SUM(C37,C46,C48,C50,C52,C54,C56)-C44</f>
        <v>19333365</v>
      </c>
      <c r="D58" s="85">
        <f>SUM(D37,D46,D48,D50,D52,D54,D56)-D44</f>
        <v>17876002</v>
      </c>
      <c r="E58" s="85">
        <f>D58-C58</f>
        <v>-1457363</v>
      </c>
      <c r="F58" s="81">
        <f>IF(ISBLANK(E58),"  ",IF(C58&gt;0,E58/C58,IF(E58&gt;0,1,0)))</f>
        <v>-7.5380721359163294E-2</v>
      </c>
      <c r="G58" s="85">
        <f>SUM(G37,G46,G48,G50,G52,G54,G56)-G44</f>
        <v>18293293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5007155.1000000015</v>
      </c>
      <c r="C62" s="65">
        <v>7062969.6799999997</v>
      </c>
      <c r="D62" s="65">
        <v>7462190.0899999999</v>
      </c>
      <c r="E62" s="65">
        <f>D62-C62</f>
        <v>399220.41000000015</v>
      </c>
      <c r="F62" s="70">
        <f t="shared" ref="F62:F75" si="5">IF(ISBLANK(E62),"  ",IF(C62&gt;0,E62/C62,IF(E62&gt;0,1,0)))</f>
        <v>5.652302474559117E-2</v>
      </c>
      <c r="G62" s="65">
        <v>7462190.0899999999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74">
        <f>D63-C63</f>
        <v>0</v>
      </c>
      <c r="F63" s="70">
        <f t="shared" si="5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228596.22</v>
      </c>
      <c r="C64" s="74">
        <v>216886</v>
      </c>
      <c r="D64" s="74">
        <v>247332</v>
      </c>
      <c r="E64" s="74">
        <f t="shared" ref="E64:E75" si="6">D64-C64</f>
        <v>30446</v>
      </c>
      <c r="F64" s="70">
        <f t="shared" si="5"/>
        <v>0.14037789437769149</v>
      </c>
      <c r="G64" s="74">
        <v>247332</v>
      </c>
      <c r="H64" s="227"/>
    </row>
    <row r="65" spans="1:10" ht="15" customHeight="1" x14ac:dyDescent="0.25">
      <c r="A65" s="75" t="s">
        <v>57</v>
      </c>
      <c r="B65" s="74">
        <v>2747170.15</v>
      </c>
      <c r="C65" s="74">
        <v>1819012.0899999999</v>
      </c>
      <c r="D65" s="74">
        <v>1656834.05</v>
      </c>
      <c r="E65" s="74">
        <f t="shared" si="6"/>
        <v>-162178.0399999998</v>
      </c>
      <c r="F65" s="70">
        <f t="shared" si="5"/>
        <v>-8.9157208405360192E-2</v>
      </c>
      <c r="G65" s="74">
        <v>1656834.05</v>
      </c>
      <c r="H65" s="227"/>
    </row>
    <row r="66" spans="1:10" ht="15" customHeight="1" x14ac:dyDescent="0.25">
      <c r="A66" s="75" t="s">
        <v>58</v>
      </c>
      <c r="B66" s="74">
        <v>2756941.19</v>
      </c>
      <c r="C66" s="74">
        <v>1823240.9899999998</v>
      </c>
      <c r="D66" s="74">
        <v>2002745.22</v>
      </c>
      <c r="E66" s="74">
        <f t="shared" si="6"/>
        <v>179504.23000000021</v>
      </c>
      <c r="F66" s="70">
        <f t="shared" si="5"/>
        <v>9.8453375601214532E-2</v>
      </c>
      <c r="G66" s="74">
        <v>2002745.22</v>
      </c>
      <c r="H66" s="227"/>
    </row>
    <row r="67" spans="1:10" ht="15" customHeight="1" x14ac:dyDescent="0.25">
      <c r="A67" s="75" t="s">
        <v>59</v>
      </c>
      <c r="B67" s="74">
        <v>5395377.4100000001</v>
      </c>
      <c r="C67" s="74">
        <v>5532145.4199999999</v>
      </c>
      <c r="D67" s="74">
        <v>4620123.8899999997</v>
      </c>
      <c r="E67" s="74">
        <f t="shared" si="6"/>
        <v>-912021.53000000026</v>
      </c>
      <c r="F67" s="70">
        <f t="shared" si="5"/>
        <v>-0.16485856042446553</v>
      </c>
      <c r="G67" s="74">
        <v>4620123.8899999997</v>
      </c>
      <c r="H67" s="227"/>
    </row>
    <row r="68" spans="1:10" ht="15" customHeight="1" x14ac:dyDescent="0.25">
      <c r="A68" s="75" t="s">
        <v>60</v>
      </c>
      <c r="B68" s="74">
        <v>760729</v>
      </c>
      <c r="C68" s="74">
        <v>665000</v>
      </c>
      <c r="D68" s="74">
        <v>200000</v>
      </c>
      <c r="E68" s="74">
        <f t="shared" si="6"/>
        <v>-465000</v>
      </c>
      <c r="F68" s="70">
        <f t="shared" si="5"/>
        <v>-0.6992481203007519</v>
      </c>
      <c r="G68" s="74">
        <v>617291</v>
      </c>
      <c r="H68" s="227"/>
    </row>
    <row r="69" spans="1:10" ht="15" customHeight="1" x14ac:dyDescent="0.25">
      <c r="A69" s="75" t="s">
        <v>61</v>
      </c>
      <c r="B69" s="74">
        <v>1090237</v>
      </c>
      <c r="C69" s="74">
        <v>1420237</v>
      </c>
      <c r="D69" s="74">
        <v>1320237</v>
      </c>
      <c r="E69" s="74">
        <f t="shared" si="6"/>
        <v>-100000</v>
      </c>
      <c r="F69" s="70">
        <f t="shared" si="5"/>
        <v>-7.0410783552322609E-2</v>
      </c>
      <c r="G69" s="74">
        <v>1320237</v>
      </c>
      <c r="H69" s="227"/>
    </row>
    <row r="70" spans="1:10" s="124" customFormat="1" ht="15" customHeight="1" x14ac:dyDescent="0.25">
      <c r="A70" s="94" t="s">
        <v>62</v>
      </c>
      <c r="B70" s="80">
        <f>SUM(B62:B69)</f>
        <v>17986206.07</v>
      </c>
      <c r="C70" s="80">
        <f t="shared" ref="C70:D70" si="7">SUM(C62:C69)</f>
        <v>18539491.18</v>
      </c>
      <c r="D70" s="80">
        <f t="shared" si="7"/>
        <v>17509462.25</v>
      </c>
      <c r="E70" s="80">
        <f t="shared" si="6"/>
        <v>-1030028.9299999997</v>
      </c>
      <c r="F70" s="81">
        <f t="shared" si="5"/>
        <v>-5.555864074150927E-2</v>
      </c>
      <c r="G70" s="80">
        <f>SUM(G62:G69)</f>
        <v>17926753.25</v>
      </c>
      <c r="H70" s="228"/>
      <c r="I70" s="189"/>
      <c r="J70" s="189"/>
    </row>
    <row r="71" spans="1:10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6"/>
        <v>0</v>
      </c>
      <c r="F71" s="70">
        <f t="shared" si="5"/>
        <v>0</v>
      </c>
      <c r="G71" s="74">
        <v>0</v>
      </c>
      <c r="H71" s="227"/>
    </row>
    <row r="72" spans="1:10" ht="15" customHeight="1" x14ac:dyDescent="0.25">
      <c r="A72" s="75" t="s">
        <v>64</v>
      </c>
      <c r="B72" s="74">
        <v>768443.97</v>
      </c>
      <c r="C72" s="74">
        <v>793874</v>
      </c>
      <c r="D72" s="74">
        <v>366540</v>
      </c>
      <c r="E72" s="74">
        <f t="shared" si="6"/>
        <v>-427334</v>
      </c>
      <c r="F72" s="70">
        <f t="shared" si="5"/>
        <v>-0.53828945147466722</v>
      </c>
      <c r="G72" s="74">
        <v>366540</v>
      </c>
      <c r="H72" s="227"/>
    </row>
    <row r="73" spans="1:10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6"/>
        <v>0</v>
      </c>
      <c r="F73" s="70">
        <f t="shared" si="5"/>
        <v>0</v>
      </c>
      <c r="G73" s="74">
        <v>0</v>
      </c>
      <c r="H73" s="227"/>
    </row>
    <row r="74" spans="1:10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6"/>
        <v>0</v>
      </c>
      <c r="F74" s="70">
        <f t="shared" si="5"/>
        <v>0</v>
      </c>
      <c r="G74" s="74">
        <v>0</v>
      </c>
      <c r="H74" s="227"/>
    </row>
    <row r="75" spans="1:10" s="124" customFormat="1" ht="15" customHeight="1" x14ac:dyDescent="0.25">
      <c r="A75" s="95" t="s">
        <v>67</v>
      </c>
      <c r="B75" s="96">
        <f>SUM(B70:B74)</f>
        <v>18754650.039999999</v>
      </c>
      <c r="C75" s="96">
        <f t="shared" ref="C75:D75" si="8">SUM(C70:C74)</f>
        <v>19333365.18</v>
      </c>
      <c r="D75" s="96">
        <f t="shared" si="8"/>
        <v>17876002.25</v>
      </c>
      <c r="E75" s="231">
        <f t="shared" si="6"/>
        <v>-1457362.9299999997</v>
      </c>
      <c r="F75" s="81">
        <f t="shared" si="5"/>
        <v>-7.538071703666023E-2</v>
      </c>
      <c r="G75" s="96">
        <f>SUM(G70:G74)</f>
        <v>18293293.25</v>
      </c>
      <c r="H75" s="228"/>
      <c r="I75" s="189"/>
      <c r="J75" s="189"/>
    </row>
    <row r="76" spans="1:10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10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10" ht="15" customHeight="1" x14ac:dyDescent="0.25">
      <c r="A78" s="73" t="s">
        <v>69</v>
      </c>
      <c r="B78" s="69">
        <v>9386029.5500000007</v>
      </c>
      <c r="C78" s="69">
        <v>9125960.2899999991</v>
      </c>
      <c r="D78" s="69">
        <v>9471530.4199999999</v>
      </c>
      <c r="E78" s="65">
        <f>D78-C78</f>
        <v>345570.13000000082</v>
      </c>
      <c r="F78" s="70">
        <f t="shared" ref="F78:F96" si="9">IF(ISBLANK(E78),"  ",IF(C78&gt;0,E78/C78,IF(E78&gt;0,1,0)))</f>
        <v>3.7866714188825479E-2</v>
      </c>
      <c r="G78" s="69">
        <v>9471530.4199999999</v>
      </c>
      <c r="H78" s="227"/>
    </row>
    <row r="79" spans="1:10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9"/>
        <v>0</v>
      </c>
      <c r="G79" s="72">
        <v>0</v>
      </c>
      <c r="H79" s="227"/>
    </row>
    <row r="80" spans="1:10" ht="15" customHeight="1" x14ac:dyDescent="0.25">
      <c r="A80" s="75" t="s">
        <v>71</v>
      </c>
      <c r="B80" s="65">
        <v>3302522.56</v>
      </c>
      <c r="C80" s="65">
        <v>3487392.89</v>
      </c>
      <c r="D80" s="65">
        <v>3609685.8299999996</v>
      </c>
      <c r="E80" s="74">
        <f t="shared" ref="E80:E95" si="10">D80-C80</f>
        <v>122292.93999999948</v>
      </c>
      <c r="F80" s="70">
        <f t="shared" si="9"/>
        <v>3.5067152987170162E-2</v>
      </c>
      <c r="G80" s="65">
        <v>3609685.8299999996</v>
      </c>
      <c r="H80" s="227"/>
    </row>
    <row r="81" spans="1:10" s="124" customFormat="1" ht="15" customHeight="1" x14ac:dyDescent="0.25">
      <c r="A81" s="94" t="s">
        <v>72</v>
      </c>
      <c r="B81" s="96">
        <f>SUM(B78:B80)</f>
        <v>12688552.110000001</v>
      </c>
      <c r="C81" s="96">
        <f t="shared" ref="C81:D81" si="11">SUM(C78:C80)</f>
        <v>12613353.18</v>
      </c>
      <c r="D81" s="96">
        <f t="shared" si="11"/>
        <v>13081216.25</v>
      </c>
      <c r="E81" s="80">
        <f t="shared" si="10"/>
        <v>467863.0700000003</v>
      </c>
      <c r="F81" s="81">
        <f t="shared" si="9"/>
        <v>3.7092679743706371E-2</v>
      </c>
      <c r="G81" s="96">
        <f>SUM(G78:G80)</f>
        <v>13081216.25</v>
      </c>
      <c r="H81" s="228"/>
      <c r="I81" s="189"/>
      <c r="J81" s="189"/>
    </row>
    <row r="82" spans="1:10" ht="15" customHeight="1" x14ac:dyDescent="0.25">
      <c r="A82" s="75" t="s">
        <v>73</v>
      </c>
      <c r="B82" s="72">
        <v>449874.56</v>
      </c>
      <c r="C82" s="72">
        <v>385000</v>
      </c>
      <c r="D82" s="72">
        <v>385000</v>
      </c>
      <c r="E82" s="74">
        <f t="shared" si="10"/>
        <v>0</v>
      </c>
      <c r="F82" s="70">
        <f t="shared" si="9"/>
        <v>0</v>
      </c>
      <c r="G82" s="72">
        <v>385000</v>
      </c>
      <c r="H82" s="227"/>
    </row>
    <row r="83" spans="1:10" ht="15" customHeight="1" x14ac:dyDescent="0.25">
      <c r="A83" s="75" t="s">
        <v>74</v>
      </c>
      <c r="B83" s="69">
        <v>1976102.62</v>
      </c>
      <c r="C83" s="69">
        <v>1949532</v>
      </c>
      <c r="D83" s="69">
        <v>1690629</v>
      </c>
      <c r="E83" s="74">
        <f t="shared" si="10"/>
        <v>-258903</v>
      </c>
      <c r="F83" s="70">
        <f t="shared" si="9"/>
        <v>-0.1328026418648168</v>
      </c>
      <c r="G83" s="69">
        <v>1690629</v>
      </c>
      <c r="H83" s="227"/>
    </row>
    <row r="84" spans="1:10" ht="15" customHeight="1" x14ac:dyDescent="0.25">
      <c r="A84" s="75" t="s">
        <v>75</v>
      </c>
      <c r="B84" s="65">
        <v>454739.97</v>
      </c>
      <c r="C84" s="65">
        <v>250000</v>
      </c>
      <c r="D84" s="65">
        <v>250000</v>
      </c>
      <c r="E84" s="74">
        <f t="shared" si="10"/>
        <v>0</v>
      </c>
      <c r="F84" s="70">
        <f t="shared" si="9"/>
        <v>0</v>
      </c>
      <c r="G84" s="65">
        <v>250000</v>
      </c>
      <c r="H84" s="227"/>
    </row>
    <row r="85" spans="1:10" s="124" customFormat="1" ht="15" customHeight="1" x14ac:dyDescent="0.25">
      <c r="A85" s="78" t="s">
        <v>76</v>
      </c>
      <c r="B85" s="96">
        <f>SUM(B82:B84)</f>
        <v>2880717.1500000004</v>
      </c>
      <c r="C85" s="96">
        <f t="shared" ref="C85:D85" si="12">SUM(C82:C84)</f>
        <v>2584532</v>
      </c>
      <c r="D85" s="96">
        <f t="shared" si="12"/>
        <v>2325629</v>
      </c>
      <c r="E85" s="80">
        <f t="shared" si="10"/>
        <v>-258903</v>
      </c>
      <c r="F85" s="81">
        <f t="shared" si="9"/>
        <v>-0.10017403537661751</v>
      </c>
      <c r="G85" s="96">
        <f>SUM(G82:G84)</f>
        <v>2325629</v>
      </c>
      <c r="H85" s="228"/>
      <c r="I85" s="189"/>
      <c r="J85" s="189"/>
    </row>
    <row r="86" spans="1:10" ht="15" customHeight="1" x14ac:dyDescent="0.25">
      <c r="A86" s="75" t="s">
        <v>77</v>
      </c>
      <c r="B86" s="65">
        <v>814625.90999999992</v>
      </c>
      <c r="C86" s="65">
        <v>864318</v>
      </c>
      <c r="D86" s="65">
        <v>1220590</v>
      </c>
      <c r="E86" s="74">
        <f t="shared" si="10"/>
        <v>356272</v>
      </c>
      <c r="F86" s="70">
        <f t="shared" si="9"/>
        <v>0.41220013930058153</v>
      </c>
      <c r="G86" s="65">
        <v>1220590</v>
      </c>
      <c r="H86" s="227"/>
    </row>
    <row r="87" spans="1:10" ht="15" customHeight="1" x14ac:dyDescent="0.25">
      <c r="A87" s="75" t="s">
        <v>78</v>
      </c>
      <c r="B87" s="74">
        <v>1174346.8700000001</v>
      </c>
      <c r="C87" s="74">
        <v>2027288</v>
      </c>
      <c r="D87" s="74">
        <v>632027</v>
      </c>
      <c r="E87" s="74">
        <f t="shared" si="10"/>
        <v>-1395261</v>
      </c>
      <c r="F87" s="70">
        <f t="shared" si="9"/>
        <v>-0.68824015137464434</v>
      </c>
      <c r="G87" s="74">
        <v>1049318</v>
      </c>
      <c r="H87" s="227"/>
    </row>
    <row r="88" spans="1:10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0"/>
        <v>0</v>
      </c>
      <c r="F88" s="70">
        <f t="shared" si="9"/>
        <v>0</v>
      </c>
      <c r="G88" s="74">
        <v>0</v>
      </c>
      <c r="H88" s="227"/>
    </row>
    <row r="89" spans="1:10" ht="15" customHeight="1" x14ac:dyDescent="0.25">
      <c r="A89" s="75" t="s">
        <v>80</v>
      </c>
      <c r="B89" s="74">
        <v>768443.97</v>
      </c>
      <c r="C89" s="74">
        <v>793874</v>
      </c>
      <c r="D89" s="74">
        <v>366540</v>
      </c>
      <c r="E89" s="74">
        <f t="shared" si="10"/>
        <v>-427334</v>
      </c>
      <c r="F89" s="70">
        <f t="shared" si="9"/>
        <v>-0.53828945147466722</v>
      </c>
      <c r="G89" s="74">
        <v>366540</v>
      </c>
      <c r="H89" s="227"/>
    </row>
    <row r="90" spans="1:10" s="124" customFormat="1" ht="15" customHeight="1" x14ac:dyDescent="0.25">
      <c r="A90" s="78" t="s">
        <v>81</v>
      </c>
      <c r="B90" s="80">
        <f>SUM(B86:B89)</f>
        <v>2757416.75</v>
      </c>
      <c r="C90" s="80">
        <f t="shared" ref="C90:D90" si="13">SUM(C86:C89)</f>
        <v>3685480</v>
      </c>
      <c r="D90" s="80">
        <f t="shared" si="13"/>
        <v>2219157</v>
      </c>
      <c r="E90" s="80">
        <f t="shared" si="10"/>
        <v>-1466323</v>
      </c>
      <c r="F90" s="81">
        <f t="shared" si="9"/>
        <v>-0.39786486427819445</v>
      </c>
      <c r="G90" s="80">
        <f>SUM(G86:G89)</f>
        <v>2636448</v>
      </c>
      <c r="H90" s="228"/>
      <c r="I90" s="189"/>
      <c r="J90" s="189"/>
    </row>
    <row r="91" spans="1:10" ht="15" customHeight="1" x14ac:dyDescent="0.25">
      <c r="A91" s="75" t="s">
        <v>82</v>
      </c>
      <c r="B91" s="74">
        <v>0</v>
      </c>
      <c r="C91" s="74">
        <v>0</v>
      </c>
      <c r="D91" s="74">
        <v>0</v>
      </c>
      <c r="E91" s="74">
        <f t="shared" si="10"/>
        <v>0</v>
      </c>
      <c r="F91" s="70">
        <f t="shared" si="9"/>
        <v>0</v>
      </c>
      <c r="G91" s="74">
        <v>0</v>
      </c>
      <c r="H91" s="227"/>
    </row>
    <row r="92" spans="1:10" ht="15" customHeight="1" x14ac:dyDescent="0.25">
      <c r="A92" s="75" t="s">
        <v>83</v>
      </c>
      <c r="B92" s="74">
        <v>427964.03</v>
      </c>
      <c r="C92" s="74">
        <v>350000</v>
      </c>
      <c r="D92" s="74">
        <v>250000</v>
      </c>
      <c r="E92" s="74">
        <f t="shared" si="10"/>
        <v>-100000</v>
      </c>
      <c r="F92" s="70">
        <f t="shared" si="9"/>
        <v>-0.2857142857142857</v>
      </c>
      <c r="G92" s="74">
        <v>250000</v>
      </c>
      <c r="H92" s="227"/>
    </row>
    <row r="93" spans="1:10" ht="15" customHeight="1" x14ac:dyDescent="0.25">
      <c r="A93" s="83" t="s">
        <v>84</v>
      </c>
      <c r="B93" s="74">
        <v>0</v>
      </c>
      <c r="C93" s="74">
        <v>100000</v>
      </c>
      <c r="D93" s="74">
        <v>0</v>
      </c>
      <c r="E93" s="74">
        <f t="shared" si="10"/>
        <v>-100000</v>
      </c>
      <c r="F93" s="70">
        <f t="shared" si="9"/>
        <v>-1</v>
      </c>
      <c r="G93" s="74">
        <v>0</v>
      </c>
      <c r="H93" s="227"/>
    </row>
    <row r="94" spans="1:10" s="124" customFormat="1" ht="15" customHeight="1" x14ac:dyDescent="0.25">
      <c r="A94" s="97" t="s">
        <v>85</v>
      </c>
      <c r="B94" s="96">
        <f>SUM(B91:B93)</f>
        <v>427964.03</v>
      </c>
      <c r="C94" s="96">
        <f t="shared" ref="C94:D94" si="14">SUM(C91:C93)</f>
        <v>450000</v>
      </c>
      <c r="D94" s="96">
        <f t="shared" si="14"/>
        <v>250000</v>
      </c>
      <c r="E94" s="80">
        <f t="shared" si="10"/>
        <v>-200000</v>
      </c>
      <c r="F94" s="81">
        <f t="shared" si="9"/>
        <v>-0.44444444444444442</v>
      </c>
      <c r="G94" s="96">
        <f>SUM(G91:G93)</f>
        <v>250000</v>
      </c>
      <c r="H94" s="228"/>
      <c r="I94" s="189"/>
      <c r="J94" s="189"/>
    </row>
    <row r="95" spans="1:10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0"/>
        <v>0</v>
      </c>
      <c r="F95" s="70">
        <f t="shared" si="9"/>
        <v>0</v>
      </c>
      <c r="G95" s="74">
        <v>0</v>
      </c>
      <c r="H95" s="227"/>
    </row>
    <row r="96" spans="1:10" s="124" customFormat="1" ht="15" customHeight="1" thickBot="1" x14ac:dyDescent="0.3">
      <c r="A96" s="195" t="s">
        <v>67</v>
      </c>
      <c r="B96" s="196">
        <f>SUM(B81,B85,B90,B94,B95)</f>
        <v>18754650.040000003</v>
      </c>
      <c r="C96" s="196">
        <f>SUM(C81,C85,C90,C94,C95)</f>
        <v>19333365.18</v>
      </c>
      <c r="D96" s="196">
        <f>SUM(D81,D85,D90,D94,D95)</f>
        <v>17876002.25</v>
      </c>
      <c r="E96" s="196">
        <f>D96-C96</f>
        <v>-1457362.9299999997</v>
      </c>
      <c r="F96" s="198">
        <f t="shared" si="9"/>
        <v>-7.538071703666023E-2</v>
      </c>
      <c r="G96" s="196">
        <f>SUM(G81,G85,G90,G94,G95)</f>
        <v>18293293.25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21" style="139" bestFit="1" customWidth="1"/>
    <col min="11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127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3991878</v>
      </c>
      <c r="C8" s="69">
        <v>3991878</v>
      </c>
      <c r="D8" s="69">
        <v>4914457</v>
      </c>
      <c r="E8" s="69">
        <f>D8-C8</f>
        <v>922579</v>
      </c>
      <c r="F8" s="70">
        <f t="shared" ref="F8:F31" si="0">IF(ISBLANK(E8),"  ",IF(C8&gt;0,E8/C8,IF(E8&gt;0,1,0)))</f>
        <v>0.23111402703188824</v>
      </c>
      <c r="G8" s="69">
        <v>4914457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1728506.83</v>
      </c>
      <c r="C10" s="72">
        <v>1805414</v>
      </c>
      <c r="D10" s="72">
        <v>1797470</v>
      </c>
      <c r="E10" s="69">
        <f t="shared" ref="E10:E31" si="1">D10-C10</f>
        <v>-7944</v>
      </c>
      <c r="F10" s="70">
        <f t="shared" si="0"/>
        <v>-4.4000988139008563E-3</v>
      </c>
      <c r="G10" s="72">
        <v>1797470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1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47544.07</v>
      </c>
      <c r="C12" s="74">
        <v>55414</v>
      </c>
      <c r="D12" s="74">
        <v>47470</v>
      </c>
      <c r="E12" s="69">
        <f t="shared" si="1"/>
        <v>-7944</v>
      </c>
      <c r="F12" s="70">
        <f t="shared" si="0"/>
        <v>-0.14335727433500559</v>
      </c>
      <c r="G12" s="74">
        <v>47470</v>
      </c>
      <c r="H12" s="227"/>
    </row>
    <row r="13" spans="1:9" ht="15" customHeight="1" x14ac:dyDescent="0.25">
      <c r="A13" s="75" t="s">
        <v>17</v>
      </c>
      <c r="B13" s="74">
        <v>930962.76</v>
      </c>
      <c r="C13" s="74">
        <v>1000000</v>
      </c>
      <c r="D13" s="74">
        <v>1000000</v>
      </c>
      <c r="E13" s="69">
        <f t="shared" si="1"/>
        <v>0</v>
      </c>
      <c r="F13" s="70">
        <f t="shared" si="0"/>
        <v>0</v>
      </c>
      <c r="G13" s="74">
        <v>1000000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750000</v>
      </c>
      <c r="C17" s="74">
        <v>750000</v>
      </c>
      <c r="D17" s="74">
        <v>750000</v>
      </c>
      <c r="E17" s="69">
        <f t="shared" si="1"/>
        <v>0</v>
      </c>
      <c r="F17" s="70">
        <f t="shared" si="0"/>
        <v>0</v>
      </c>
      <c r="G17" s="74">
        <v>750000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1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1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1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SUM(B8:B10,B33,B35,B36)</f>
        <v>5720384.8300000001</v>
      </c>
      <c r="C37" s="80">
        <f t="shared" ref="C37" si="2">SUM(C8:C10,C33,C35,C36)</f>
        <v>5797292</v>
      </c>
      <c r="D37" s="80">
        <f>SUM(D8:D10,D33,D35,D36)</f>
        <v>6711927</v>
      </c>
      <c r="E37" s="80">
        <f>D37-C37</f>
        <v>914635</v>
      </c>
      <c r="F37" s="81">
        <f>IF(ISBLANK(E37),"  ",IF(C37&gt;0,E37/C37,IF(E37&gt;0,1,0)))</f>
        <v>0.1577693516214122</v>
      </c>
      <c r="G37" s="80">
        <f>SUM(G8:G10,G33,G35,G36)</f>
        <v>6711927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3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3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4">D41-C41</f>
        <v>0</v>
      </c>
      <c r="F41" s="70">
        <f t="shared" si="3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4"/>
        <v>0</v>
      </c>
      <c r="F42" s="70">
        <f t="shared" si="3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4"/>
        <v>0</v>
      </c>
      <c r="F43" s="70">
        <f t="shared" si="3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4"/>
        <v>0</v>
      </c>
      <c r="F44" s="81">
        <f t="shared" si="3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0</v>
      </c>
      <c r="C48" s="87">
        <v>0</v>
      </c>
      <c r="D48" s="87">
        <v>0</v>
      </c>
      <c r="E48" s="87">
        <f>D48-C48</f>
        <v>0</v>
      </c>
      <c r="F48" s="81">
        <f>IF(ISBLANK(E48)," ",IF(C48&gt;0,E48/C48,IF(E48&gt;0,1,0)))</f>
        <v>0</v>
      </c>
      <c r="G48" s="87">
        <v>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0</v>
      </c>
      <c r="C52" s="85">
        <v>0</v>
      </c>
      <c r="D52" s="85">
        <v>0</v>
      </c>
      <c r="E52" s="85">
        <f>D52-C52</f>
        <v>0</v>
      </c>
      <c r="F52" s="81">
        <f>IF(ISBLANK(E52),"  ",IF(C52&gt;0,E52/C52,IF(E52&gt;0,1,0)))</f>
        <v>0</v>
      </c>
      <c r="G52" s="85">
        <v>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3420158</v>
      </c>
      <c r="C54" s="89">
        <v>3654209</v>
      </c>
      <c r="D54" s="89">
        <v>3654209</v>
      </c>
      <c r="E54" s="89">
        <f>D54-C54</f>
        <v>0</v>
      </c>
      <c r="F54" s="81">
        <f>IF(ISBLANK(E54),"  ",IF(C54&gt;0,E54/C54,IF(E54&gt;0,1,0)))</f>
        <v>0</v>
      </c>
      <c r="G54" s="89">
        <v>3654209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9140542.8300000001</v>
      </c>
      <c r="C58" s="85">
        <f>SUM(C37,C46,C48,C50,C52,C54,C56)-C44</f>
        <v>9451501</v>
      </c>
      <c r="D58" s="85">
        <f>SUM(D37,D46,D48,D50,D52,D54,D56)-D44</f>
        <v>10366136</v>
      </c>
      <c r="E58" s="85">
        <f>D58-C58</f>
        <v>914635</v>
      </c>
      <c r="F58" s="81">
        <f>IF(ISBLANK(E58),"  ",IF(C58&gt;0,E58/C58,IF(E58&gt;0,1,0)))</f>
        <v>9.6771401706459106E-2</v>
      </c>
      <c r="G58" s="85">
        <f>SUM(G37,G46,G48,G50,G52,G54,G56)-G44</f>
        <v>10366136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0</v>
      </c>
      <c r="C62" s="65">
        <v>0</v>
      </c>
      <c r="D62" s="65">
        <v>0</v>
      </c>
      <c r="E62" s="65">
        <f>D62-C62</f>
        <v>0</v>
      </c>
      <c r="F62" s="70">
        <f t="shared" ref="F62:F75" si="5">IF(ISBLANK(E62),"  ",IF(C62&gt;0,E62/C62,IF(E62&gt;0,1,0)))</f>
        <v>0</v>
      </c>
      <c r="G62" s="65">
        <v>0</v>
      </c>
      <c r="H62" s="227"/>
    </row>
    <row r="63" spans="1:8" ht="15" customHeight="1" x14ac:dyDescent="0.25">
      <c r="A63" s="75" t="s">
        <v>55</v>
      </c>
      <c r="B63" s="74">
        <v>2384875.8200000003</v>
      </c>
      <c r="C63" s="74">
        <v>2656212</v>
      </c>
      <c r="D63" s="74">
        <v>2931174</v>
      </c>
      <c r="E63" s="74">
        <f>D63-C63</f>
        <v>274962</v>
      </c>
      <c r="F63" s="70">
        <f t="shared" si="5"/>
        <v>0.10351658677846497</v>
      </c>
      <c r="G63" s="74">
        <v>2931174</v>
      </c>
      <c r="H63" s="227"/>
    </row>
    <row r="64" spans="1:8" ht="15" customHeight="1" x14ac:dyDescent="0.25">
      <c r="A64" s="75" t="s">
        <v>56</v>
      </c>
      <c r="B64" s="74">
        <v>2270857.9499999997</v>
      </c>
      <c r="C64" s="74">
        <v>3566176</v>
      </c>
      <c r="D64" s="74">
        <v>2975579</v>
      </c>
      <c r="E64" s="74">
        <f t="shared" ref="E64:E75" si="6">D64-C64</f>
        <v>-590597</v>
      </c>
      <c r="F64" s="70">
        <f t="shared" si="5"/>
        <v>-0.16561072700842583</v>
      </c>
      <c r="G64" s="74">
        <v>2975579</v>
      </c>
      <c r="H64" s="227"/>
    </row>
    <row r="65" spans="1:10" ht="15" customHeight="1" x14ac:dyDescent="0.25">
      <c r="A65" s="75" t="s">
        <v>57</v>
      </c>
      <c r="B65" s="74">
        <v>47544</v>
      </c>
      <c r="C65" s="74">
        <v>55414</v>
      </c>
      <c r="D65" s="74">
        <v>47470</v>
      </c>
      <c r="E65" s="74">
        <f t="shared" si="6"/>
        <v>-7944</v>
      </c>
      <c r="F65" s="70">
        <f t="shared" si="5"/>
        <v>-0.14335727433500559</v>
      </c>
      <c r="G65" s="74">
        <v>47470</v>
      </c>
      <c r="H65" s="227"/>
    </row>
    <row r="66" spans="1:10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74">
        <f t="shared" si="6"/>
        <v>0</v>
      </c>
      <c r="F66" s="70">
        <f t="shared" si="5"/>
        <v>0</v>
      </c>
      <c r="G66" s="74">
        <v>0</v>
      </c>
      <c r="H66" s="227"/>
    </row>
    <row r="67" spans="1:10" ht="15" customHeight="1" x14ac:dyDescent="0.25">
      <c r="A67" s="75" t="s">
        <v>59</v>
      </c>
      <c r="B67" s="74">
        <v>4437264.8500000006</v>
      </c>
      <c r="C67" s="74">
        <v>2368604</v>
      </c>
      <c r="D67" s="74">
        <v>3619333</v>
      </c>
      <c r="E67" s="74">
        <f t="shared" si="6"/>
        <v>1250729</v>
      </c>
      <c r="F67" s="70">
        <f t="shared" si="5"/>
        <v>0.52804478925139031</v>
      </c>
      <c r="G67" s="74">
        <v>3619333</v>
      </c>
      <c r="H67" s="227"/>
    </row>
    <row r="68" spans="1:10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74">
        <f t="shared" si="6"/>
        <v>0</v>
      </c>
      <c r="F68" s="70">
        <f t="shared" si="5"/>
        <v>0</v>
      </c>
      <c r="G68" s="74">
        <v>0</v>
      </c>
      <c r="H68" s="227"/>
    </row>
    <row r="69" spans="1:10" ht="15" customHeight="1" x14ac:dyDescent="0.25">
      <c r="A69" s="75" t="s">
        <v>61</v>
      </c>
      <c r="B69" s="74">
        <v>0</v>
      </c>
      <c r="C69" s="74">
        <v>805095</v>
      </c>
      <c r="D69" s="74">
        <v>792580</v>
      </c>
      <c r="E69" s="74">
        <f t="shared" si="6"/>
        <v>-12515</v>
      </c>
      <c r="F69" s="70">
        <f t="shared" si="5"/>
        <v>-1.5544749377402666E-2</v>
      </c>
      <c r="G69" s="74">
        <v>792580</v>
      </c>
      <c r="H69" s="227"/>
    </row>
    <row r="70" spans="1:10" s="124" customFormat="1" ht="15" customHeight="1" x14ac:dyDescent="0.25">
      <c r="A70" s="94" t="s">
        <v>62</v>
      </c>
      <c r="B70" s="80">
        <f>SUM(B62:B69)</f>
        <v>9140542.620000001</v>
      </c>
      <c r="C70" s="80">
        <f t="shared" ref="C70:D70" si="7">SUM(C62:C69)</f>
        <v>9451501</v>
      </c>
      <c r="D70" s="80">
        <f t="shared" si="7"/>
        <v>10366136</v>
      </c>
      <c r="E70" s="80">
        <f t="shared" si="6"/>
        <v>914635</v>
      </c>
      <c r="F70" s="81">
        <f t="shared" si="5"/>
        <v>9.6771401706459106E-2</v>
      </c>
      <c r="G70" s="80">
        <f>SUM(G62:G69)</f>
        <v>10366136</v>
      </c>
      <c r="H70" s="228"/>
      <c r="I70" s="189"/>
      <c r="J70" s="189"/>
    </row>
    <row r="71" spans="1:10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6"/>
        <v>0</v>
      </c>
      <c r="F71" s="70">
        <f t="shared" si="5"/>
        <v>0</v>
      </c>
      <c r="G71" s="74">
        <v>0</v>
      </c>
      <c r="H71" s="227"/>
    </row>
    <row r="72" spans="1:10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74">
        <f t="shared" si="6"/>
        <v>0</v>
      </c>
      <c r="F72" s="70">
        <f t="shared" si="5"/>
        <v>0</v>
      </c>
      <c r="G72" s="74">
        <v>0</v>
      </c>
      <c r="H72" s="227"/>
    </row>
    <row r="73" spans="1:10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6"/>
        <v>0</v>
      </c>
      <c r="F73" s="70">
        <f t="shared" si="5"/>
        <v>0</v>
      </c>
      <c r="G73" s="74">
        <v>0</v>
      </c>
      <c r="H73" s="227"/>
    </row>
    <row r="74" spans="1:10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6"/>
        <v>0</v>
      </c>
      <c r="F74" s="70">
        <f t="shared" si="5"/>
        <v>0</v>
      </c>
      <c r="G74" s="74">
        <v>0</v>
      </c>
      <c r="H74" s="227"/>
    </row>
    <row r="75" spans="1:10" s="124" customFormat="1" ht="15" customHeight="1" x14ac:dyDescent="0.25">
      <c r="A75" s="95" t="s">
        <v>67</v>
      </c>
      <c r="B75" s="96">
        <f>SUM(B70:B74)</f>
        <v>9140542.620000001</v>
      </c>
      <c r="C75" s="96">
        <f t="shared" ref="C75:D75" si="8">SUM(C70:C74)</f>
        <v>9451501</v>
      </c>
      <c r="D75" s="96">
        <f t="shared" si="8"/>
        <v>10366136</v>
      </c>
      <c r="E75" s="231">
        <f t="shared" si="6"/>
        <v>914635</v>
      </c>
      <c r="F75" s="81">
        <f t="shared" si="5"/>
        <v>9.6771401706459106E-2</v>
      </c>
      <c r="G75" s="96">
        <f>SUM(G70:G74)</f>
        <v>10366136</v>
      </c>
      <c r="H75" s="228"/>
      <c r="I75" s="189"/>
      <c r="J75" s="189"/>
    </row>
    <row r="76" spans="1:10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10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10" ht="15" customHeight="1" x14ac:dyDescent="0.25">
      <c r="A78" s="73" t="s">
        <v>69</v>
      </c>
      <c r="B78" s="69">
        <v>4301641.72</v>
      </c>
      <c r="C78" s="69">
        <v>4767798</v>
      </c>
      <c r="D78" s="69">
        <v>5429873</v>
      </c>
      <c r="E78" s="65">
        <f>D78-C78</f>
        <v>662075</v>
      </c>
      <c r="F78" s="70">
        <f t="shared" ref="F78:F96" si="9">IF(ISBLANK(E78),"  ",IF(C78&gt;0,E78/C78,IF(E78&gt;0,1,0)))</f>
        <v>0.13886389482104736</v>
      </c>
      <c r="G78" s="69">
        <v>5429873</v>
      </c>
      <c r="H78" s="227"/>
    </row>
    <row r="79" spans="1:10" ht="15" customHeight="1" x14ac:dyDescent="0.25">
      <c r="A79" s="75" t="s">
        <v>70</v>
      </c>
      <c r="B79" s="72">
        <v>50000</v>
      </c>
      <c r="C79" s="72">
        <v>50000</v>
      </c>
      <c r="D79" s="72">
        <v>50000</v>
      </c>
      <c r="E79" s="74">
        <f>D79-C79</f>
        <v>0</v>
      </c>
      <c r="F79" s="70">
        <f t="shared" si="9"/>
        <v>0</v>
      </c>
      <c r="G79" s="72">
        <v>50000</v>
      </c>
      <c r="H79" s="227"/>
    </row>
    <row r="80" spans="1:10" ht="15" customHeight="1" x14ac:dyDescent="0.25">
      <c r="A80" s="75" t="s">
        <v>71</v>
      </c>
      <c r="B80" s="65">
        <v>1876846.4100000001</v>
      </c>
      <c r="C80" s="65">
        <v>2212354</v>
      </c>
      <c r="D80" s="65">
        <v>2579235</v>
      </c>
      <c r="E80" s="74">
        <f t="shared" ref="E80:E95" si="10">D80-C80</f>
        <v>366881</v>
      </c>
      <c r="F80" s="70">
        <f t="shared" si="9"/>
        <v>0.16583286399916108</v>
      </c>
      <c r="G80" s="65">
        <v>2579235</v>
      </c>
      <c r="H80" s="227"/>
    </row>
    <row r="81" spans="1:10" s="124" customFormat="1" ht="15" customHeight="1" x14ac:dyDescent="0.25">
      <c r="A81" s="94" t="s">
        <v>72</v>
      </c>
      <c r="B81" s="96">
        <f>SUM(B78:B80)</f>
        <v>6228488.1299999999</v>
      </c>
      <c r="C81" s="96">
        <f t="shared" ref="C81:D81" si="11">SUM(C78:C80)</f>
        <v>7030152</v>
      </c>
      <c r="D81" s="96">
        <f t="shared" si="11"/>
        <v>8059108</v>
      </c>
      <c r="E81" s="80">
        <f t="shared" si="10"/>
        <v>1028956</v>
      </c>
      <c r="F81" s="81">
        <f t="shared" si="9"/>
        <v>0.14636326497634761</v>
      </c>
      <c r="G81" s="96">
        <f>SUM(G78:G80)</f>
        <v>8059108</v>
      </c>
      <c r="H81" s="228"/>
      <c r="I81" s="189"/>
      <c r="J81" s="189"/>
    </row>
    <row r="82" spans="1:10" ht="15" customHeight="1" x14ac:dyDescent="0.25">
      <c r="A82" s="75" t="s">
        <v>73</v>
      </c>
      <c r="B82" s="72">
        <v>141121.66</v>
      </c>
      <c r="C82" s="72">
        <v>100000</v>
      </c>
      <c r="D82" s="72">
        <v>121000</v>
      </c>
      <c r="E82" s="74">
        <f t="shared" si="10"/>
        <v>21000</v>
      </c>
      <c r="F82" s="70">
        <f t="shared" si="9"/>
        <v>0.21</v>
      </c>
      <c r="G82" s="72">
        <v>121000</v>
      </c>
      <c r="H82" s="227"/>
    </row>
    <row r="83" spans="1:10" ht="15" customHeight="1" x14ac:dyDescent="0.25">
      <c r="A83" s="75" t="s">
        <v>74</v>
      </c>
      <c r="B83" s="69">
        <v>518880.83</v>
      </c>
      <c r="C83" s="69">
        <v>320025</v>
      </c>
      <c r="D83" s="69">
        <v>343304</v>
      </c>
      <c r="E83" s="74">
        <f t="shared" si="10"/>
        <v>23279</v>
      </c>
      <c r="F83" s="70">
        <f t="shared" si="9"/>
        <v>7.2741192094367621E-2</v>
      </c>
      <c r="G83" s="69">
        <v>343304</v>
      </c>
      <c r="H83" s="227"/>
    </row>
    <row r="84" spans="1:10" ht="15" customHeight="1" x14ac:dyDescent="0.25">
      <c r="A84" s="75" t="s">
        <v>75</v>
      </c>
      <c r="B84" s="65">
        <v>172259.93</v>
      </c>
      <c r="C84" s="65">
        <v>131000</v>
      </c>
      <c r="D84" s="65">
        <v>224289</v>
      </c>
      <c r="E84" s="74">
        <f t="shared" si="10"/>
        <v>93289</v>
      </c>
      <c r="F84" s="70">
        <f t="shared" si="9"/>
        <v>0.71212977099236641</v>
      </c>
      <c r="G84" s="65">
        <v>224289</v>
      </c>
      <c r="H84" s="227"/>
    </row>
    <row r="85" spans="1:10" s="124" customFormat="1" ht="15" customHeight="1" x14ac:dyDescent="0.25">
      <c r="A85" s="78" t="s">
        <v>76</v>
      </c>
      <c r="B85" s="96">
        <f>SUM(B82:B84)</f>
        <v>832262.41999999993</v>
      </c>
      <c r="C85" s="96">
        <f t="shared" ref="C85:D85" si="12">SUM(C82:C84)</f>
        <v>551025</v>
      </c>
      <c r="D85" s="96">
        <f t="shared" si="12"/>
        <v>688593</v>
      </c>
      <c r="E85" s="80">
        <f t="shared" si="10"/>
        <v>137568</v>
      </c>
      <c r="F85" s="81">
        <f t="shared" si="9"/>
        <v>0.24965836395807814</v>
      </c>
      <c r="G85" s="96">
        <f>SUM(G82:G84)</f>
        <v>688593</v>
      </c>
      <c r="H85" s="228"/>
      <c r="I85" s="189"/>
      <c r="J85" s="189"/>
    </row>
    <row r="86" spans="1:10" ht="15" customHeight="1" x14ac:dyDescent="0.25">
      <c r="A86" s="75" t="s">
        <v>77</v>
      </c>
      <c r="B86" s="65">
        <v>11968.86</v>
      </c>
      <c r="C86" s="65">
        <v>39202</v>
      </c>
      <c r="D86" s="65">
        <v>44202</v>
      </c>
      <c r="E86" s="74">
        <f t="shared" si="10"/>
        <v>5000</v>
      </c>
      <c r="F86" s="70">
        <f t="shared" si="9"/>
        <v>0.12754451303504924</v>
      </c>
      <c r="G86" s="65">
        <v>44202</v>
      </c>
      <c r="H86" s="227"/>
    </row>
    <row r="87" spans="1:10" ht="15" customHeight="1" x14ac:dyDescent="0.25">
      <c r="A87" s="75" t="s">
        <v>78</v>
      </c>
      <c r="B87" s="74">
        <v>12279.92</v>
      </c>
      <c r="C87" s="74">
        <v>1780772</v>
      </c>
      <c r="D87" s="74">
        <v>1423883</v>
      </c>
      <c r="E87" s="74">
        <f t="shared" si="10"/>
        <v>-356889</v>
      </c>
      <c r="F87" s="70">
        <f t="shared" si="9"/>
        <v>-0.20041251771703508</v>
      </c>
      <c r="G87" s="74">
        <v>1423883</v>
      </c>
      <c r="H87" s="227"/>
    </row>
    <row r="88" spans="1:10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0"/>
        <v>0</v>
      </c>
      <c r="F88" s="70">
        <f t="shared" si="9"/>
        <v>0</v>
      </c>
      <c r="G88" s="74">
        <v>0</v>
      </c>
      <c r="H88" s="227"/>
    </row>
    <row r="89" spans="1:10" ht="15" customHeight="1" x14ac:dyDescent="0.25">
      <c r="A89" s="75" t="s">
        <v>80</v>
      </c>
      <c r="B89" s="74">
        <v>1874614.66</v>
      </c>
      <c r="C89" s="74">
        <v>0</v>
      </c>
      <c r="D89" s="74">
        <v>0</v>
      </c>
      <c r="E89" s="74">
        <f t="shared" si="10"/>
        <v>0</v>
      </c>
      <c r="F89" s="70">
        <f t="shared" si="9"/>
        <v>0</v>
      </c>
      <c r="G89" s="74">
        <v>0</v>
      </c>
      <c r="H89" s="227"/>
    </row>
    <row r="90" spans="1:10" s="124" customFormat="1" ht="15" customHeight="1" x14ac:dyDescent="0.25">
      <c r="A90" s="78" t="s">
        <v>81</v>
      </c>
      <c r="B90" s="80">
        <f>SUM(B86:B89)</f>
        <v>1898863.44</v>
      </c>
      <c r="C90" s="80">
        <f t="shared" ref="C90:D90" si="13">SUM(C86:C89)</f>
        <v>1819974</v>
      </c>
      <c r="D90" s="80">
        <f t="shared" si="13"/>
        <v>1468085</v>
      </c>
      <c r="E90" s="80">
        <f t="shared" si="10"/>
        <v>-351889</v>
      </c>
      <c r="F90" s="81">
        <f t="shared" si="9"/>
        <v>-0.19334836651512605</v>
      </c>
      <c r="G90" s="80">
        <f>SUM(G86:G89)</f>
        <v>1468085</v>
      </c>
      <c r="H90" s="228"/>
      <c r="I90" s="189"/>
      <c r="J90" s="189"/>
    </row>
    <row r="91" spans="1:10" ht="15" customHeight="1" x14ac:dyDescent="0.25">
      <c r="A91" s="75" t="s">
        <v>82</v>
      </c>
      <c r="B91" s="74">
        <v>56602.54</v>
      </c>
      <c r="C91" s="74">
        <v>50350</v>
      </c>
      <c r="D91" s="74">
        <v>150350</v>
      </c>
      <c r="E91" s="74">
        <f t="shared" si="10"/>
        <v>100000</v>
      </c>
      <c r="F91" s="70">
        <f t="shared" si="9"/>
        <v>1.9860973187686197</v>
      </c>
      <c r="G91" s="74">
        <v>150350</v>
      </c>
      <c r="H91" s="227"/>
    </row>
    <row r="92" spans="1:10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0"/>
        <v>0</v>
      </c>
      <c r="F92" s="70">
        <f t="shared" si="9"/>
        <v>0</v>
      </c>
      <c r="G92" s="74">
        <v>0</v>
      </c>
      <c r="H92" s="227"/>
    </row>
    <row r="93" spans="1:10" ht="15" customHeight="1" x14ac:dyDescent="0.25">
      <c r="A93" s="83" t="s">
        <v>84</v>
      </c>
      <c r="B93" s="74">
        <v>124326.09</v>
      </c>
      <c r="C93" s="74">
        <v>0</v>
      </c>
      <c r="D93" s="74">
        <v>0</v>
      </c>
      <c r="E93" s="74">
        <f t="shared" si="10"/>
        <v>0</v>
      </c>
      <c r="F93" s="70">
        <f t="shared" si="9"/>
        <v>0</v>
      </c>
      <c r="G93" s="74">
        <v>0</v>
      </c>
      <c r="H93" s="227"/>
    </row>
    <row r="94" spans="1:10" s="124" customFormat="1" ht="15" customHeight="1" x14ac:dyDescent="0.25">
      <c r="A94" s="97" t="s">
        <v>85</v>
      </c>
      <c r="B94" s="96">
        <f>SUM(B91:B93)</f>
        <v>180928.63</v>
      </c>
      <c r="C94" s="96">
        <f t="shared" ref="C94:D94" si="14">SUM(C91:C93)</f>
        <v>50350</v>
      </c>
      <c r="D94" s="96">
        <f t="shared" si="14"/>
        <v>150350</v>
      </c>
      <c r="E94" s="80">
        <f t="shared" si="10"/>
        <v>100000</v>
      </c>
      <c r="F94" s="81">
        <f t="shared" si="9"/>
        <v>1.9860973187686197</v>
      </c>
      <c r="G94" s="96">
        <f>SUM(G91:G93)</f>
        <v>150350</v>
      </c>
      <c r="H94" s="228"/>
      <c r="I94" s="189"/>
      <c r="J94" s="189"/>
    </row>
    <row r="95" spans="1:10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0"/>
        <v>0</v>
      </c>
      <c r="F95" s="70">
        <f t="shared" si="9"/>
        <v>0</v>
      </c>
      <c r="G95" s="74">
        <v>0</v>
      </c>
      <c r="H95" s="227"/>
    </row>
    <row r="96" spans="1:10" s="124" customFormat="1" ht="15" customHeight="1" thickBot="1" x14ac:dyDescent="0.3">
      <c r="A96" s="195" t="s">
        <v>67</v>
      </c>
      <c r="B96" s="196">
        <f>SUM(B81,B85,B90,B94,B95)</f>
        <v>9140542.620000001</v>
      </c>
      <c r="C96" s="196">
        <f>SUM(C81,C85,C90,C94,C95)</f>
        <v>9451501</v>
      </c>
      <c r="D96" s="196">
        <f>SUM(D81,D85,D90,D94,D95)</f>
        <v>10366136</v>
      </c>
      <c r="E96" s="196">
        <f>D96-C96</f>
        <v>914635</v>
      </c>
      <c r="F96" s="198">
        <f t="shared" si="9"/>
        <v>9.6771401706459106E-2</v>
      </c>
      <c r="G96" s="196">
        <f>SUM(G81,G85,G90,G94,G95)</f>
        <v>10366136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3" tint="0.79998168889431442"/>
    <pageSetUpPr fitToPage="1"/>
  </sheetPr>
  <dimension ref="A1:M99"/>
  <sheetViews>
    <sheetView workbookViewId="0">
      <pane xSplit="1" ySplit="5" topLeftCell="B6" activePane="bottomRight" state="frozen"/>
      <selection activeCell="D24" sqref="D24"/>
      <selection pane="topRight" activeCell="D24" sqref="D24"/>
      <selection pane="bottomLeft" activeCell="D24" sqref="D24"/>
      <selection pane="bottomRight" activeCell="C12" sqref="C1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3.7109375" style="12" customWidth="1"/>
    <col min="5" max="5" width="23.7109375" style="2" customWidth="1"/>
    <col min="6" max="6" width="23.7109375" style="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11" ht="19.5" customHeight="1" thickBot="1" x14ac:dyDescent="0.35">
      <c r="A1" s="30" t="s">
        <v>0</v>
      </c>
      <c r="B1" s="35"/>
      <c r="D1" s="32" t="s">
        <v>1</v>
      </c>
      <c r="E1" s="29" t="s">
        <v>91</v>
      </c>
      <c r="F1" s="40"/>
    </row>
    <row r="2" spans="1:11" ht="19.5" customHeight="1" thickBot="1" x14ac:dyDescent="0.35">
      <c r="A2" s="30" t="s">
        <v>2</v>
      </c>
      <c r="B2" s="31"/>
      <c r="C2" s="36"/>
      <c r="D2" s="31"/>
      <c r="E2" s="34"/>
      <c r="F2" s="35"/>
      <c r="G2" s="306" t="s">
        <v>212</v>
      </c>
      <c r="I2" s="209" t="s">
        <v>187</v>
      </c>
    </row>
    <row r="3" spans="1:11" ht="19.5" customHeight="1" thickBot="1" x14ac:dyDescent="0.35">
      <c r="A3" s="37" t="s">
        <v>3</v>
      </c>
      <c r="B3" s="38"/>
      <c r="C3" s="39"/>
      <c r="D3" s="303"/>
      <c r="E3" s="34"/>
      <c r="F3" s="35"/>
      <c r="G3" s="307"/>
    </row>
    <row r="4" spans="1:11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11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11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11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11" ht="15" customHeight="1" x14ac:dyDescent="0.25">
      <c r="A8" s="68" t="s">
        <v>12</v>
      </c>
      <c r="B8" s="69">
        <f>SUM(LCTCBoard:NwLTCC!B8)</f>
        <v>120561045</v>
      </c>
      <c r="C8" s="69">
        <f>SUM(LCTCBoard:NwLTCC!C8)</f>
        <v>120561045</v>
      </c>
      <c r="D8" s="69">
        <f>SUM(LCTCBoard:NwLTCC!D8)-0.18</f>
        <v>102201390.81999999</v>
      </c>
      <c r="E8" s="69">
        <f>D8-C8</f>
        <v>-18359654.180000007</v>
      </c>
      <c r="F8" s="70">
        <f t="shared" ref="F8:F31" si="0">IF(ISBLANK(E8),"  ",IF(C8&gt;0,E8/C8,IF(E8&gt;0,1,0)))</f>
        <v>-0.15228512808594191</v>
      </c>
      <c r="G8" s="69">
        <f>SUM(LCTCBoard:NwLTCC!G8)-0.18</f>
        <v>102201390.81999999</v>
      </c>
      <c r="H8" s="227"/>
      <c r="K8" s="233"/>
    </row>
    <row r="9" spans="1:11" ht="15" customHeight="1" x14ac:dyDescent="0.25">
      <c r="A9" s="68" t="s">
        <v>13</v>
      </c>
      <c r="B9" s="69">
        <f>SUM(LCTCBoard:NwLTCC!B9)</f>
        <v>0</v>
      </c>
      <c r="C9" s="69">
        <f>SUM(LCTCBoard:NwLTCC!C9)</f>
        <v>0</v>
      </c>
      <c r="D9" s="69">
        <f>SUM(LCTCBoard:NwLTCC!D9)</f>
        <v>0</v>
      </c>
      <c r="E9" s="69">
        <f>D9-C9</f>
        <v>0</v>
      </c>
      <c r="F9" s="70">
        <f t="shared" si="0"/>
        <v>0</v>
      </c>
      <c r="G9" s="69">
        <f>SUM(LCTCBoard:NwLTCC!G9)</f>
        <v>0</v>
      </c>
      <c r="H9" s="227"/>
      <c r="K9" s="233"/>
    </row>
    <row r="10" spans="1:11" ht="15" customHeight="1" x14ac:dyDescent="0.25">
      <c r="A10" s="71" t="s">
        <v>14</v>
      </c>
      <c r="B10" s="69">
        <f>SUM(LCTCBoard:NwLTCC!B10)</f>
        <v>18301912.780000005</v>
      </c>
      <c r="C10" s="69">
        <f>SUM(LCTCBoard:NwLTCC!C10)</f>
        <v>19272305</v>
      </c>
      <c r="D10" s="69">
        <f>SUM(LCTCBoard:NwLTCC!D10)</f>
        <v>15233286</v>
      </c>
      <c r="E10" s="69">
        <f t="shared" ref="E10:E31" si="1">D10-C10</f>
        <v>-4039019</v>
      </c>
      <c r="F10" s="70">
        <f t="shared" si="0"/>
        <v>-0.20957633246256741</v>
      </c>
      <c r="G10" s="69">
        <f>SUM(LCTCBoard:NwLTCC!G10)</f>
        <v>15233286</v>
      </c>
      <c r="H10" s="227"/>
      <c r="K10" s="233"/>
    </row>
    <row r="11" spans="1:11" ht="15" customHeight="1" x14ac:dyDescent="0.25">
      <c r="A11" s="73" t="s">
        <v>15</v>
      </c>
      <c r="B11" s="69">
        <f>SUM(LCTCBoard:NwLTCC!B11)</f>
        <v>3094092</v>
      </c>
      <c r="C11" s="69">
        <f>SUM(LCTCBoard:NwLTCC!C11)</f>
        <v>3094092</v>
      </c>
      <c r="D11" s="69">
        <f>SUM(LCTCBoard:NwLTCC!D11)</f>
        <v>0</v>
      </c>
      <c r="E11" s="69">
        <f t="shared" si="1"/>
        <v>-3094092</v>
      </c>
      <c r="F11" s="70">
        <f t="shared" si="0"/>
        <v>-1</v>
      </c>
      <c r="G11" s="69">
        <f>SUM(LCTCBoard:NwLTCC!G11)</f>
        <v>0</v>
      </c>
      <c r="H11" s="227"/>
      <c r="K11" s="233"/>
    </row>
    <row r="12" spans="1:11" ht="15" customHeight="1" x14ac:dyDescent="0.25">
      <c r="A12" s="75" t="s">
        <v>16</v>
      </c>
      <c r="B12" s="69">
        <f>SUM(LCTCBoard:NwLTCC!B12)</f>
        <v>4225914.83</v>
      </c>
      <c r="C12" s="69">
        <f>SUM(LCTCBoard:NwLTCC!C12)</f>
        <v>5134391</v>
      </c>
      <c r="D12" s="69">
        <f>SUM(LCTCBoard:NwLTCC!D12)</f>
        <v>4398311</v>
      </c>
      <c r="E12" s="69">
        <f t="shared" si="1"/>
        <v>-736080</v>
      </c>
      <c r="F12" s="70">
        <f t="shared" si="0"/>
        <v>-0.1433626694967329</v>
      </c>
      <c r="G12" s="69">
        <f>SUM(LCTCBoard:NwLTCC!G12)</f>
        <v>4398311</v>
      </c>
      <c r="H12" s="227"/>
      <c r="K12" s="233"/>
    </row>
    <row r="13" spans="1:11" ht="15" customHeight="1" x14ac:dyDescent="0.25">
      <c r="A13" s="75" t="s">
        <v>17</v>
      </c>
      <c r="B13" s="69">
        <f>SUM(LCTCBoard:NwLTCC!B13)</f>
        <v>0</v>
      </c>
      <c r="C13" s="69">
        <f>SUM(LCTCBoard:NwLTCC!C13)</f>
        <v>0</v>
      </c>
      <c r="D13" s="69">
        <f>SUM(LCTCBoard:NwLTCC!D13)</f>
        <v>0</v>
      </c>
      <c r="E13" s="69">
        <f t="shared" si="1"/>
        <v>0</v>
      </c>
      <c r="F13" s="70">
        <f t="shared" si="0"/>
        <v>0</v>
      </c>
      <c r="G13" s="69">
        <f>SUM(LCTCBoard:NwLTCC!G13)</f>
        <v>0</v>
      </c>
      <c r="H13" s="227"/>
      <c r="K13" s="233"/>
    </row>
    <row r="14" spans="1:11" ht="15" customHeight="1" x14ac:dyDescent="0.25">
      <c r="A14" s="75" t="s">
        <v>18</v>
      </c>
      <c r="B14" s="69">
        <f>SUM(LCTCBoard:NwLTCC!B14)</f>
        <v>138564.95000000001</v>
      </c>
      <c r="C14" s="69">
        <f>SUM(LCTCBoard:NwLTCC!C14)</f>
        <v>163957</v>
      </c>
      <c r="D14" s="69">
        <f>SUM(LCTCBoard:NwLTCC!D14)</f>
        <v>78713</v>
      </c>
      <c r="E14" s="69">
        <f t="shared" si="1"/>
        <v>-85244</v>
      </c>
      <c r="F14" s="70">
        <f t="shared" si="0"/>
        <v>-0.51991680745561342</v>
      </c>
      <c r="G14" s="69">
        <f>SUM(LCTCBoard:NwLTCC!G14)</f>
        <v>78713</v>
      </c>
      <c r="H14" s="227"/>
      <c r="K14" s="233"/>
    </row>
    <row r="15" spans="1:11" ht="15" customHeight="1" x14ac:dyDescent="0.25">
      <c r="A15" s="75" t="s">
        <v>19</v>
      </c>
      <c r="B15" s="69">
        <f>SUM(LCTCBoard:NwLTCC!B15)</f>
        <v>530624</v>
      </c>
      <c r="C15" s="69">
        <f>SUM(LCTCBoard:NwLTCC!C15)</f>
        <v>530624</v>
      </c>
      <c r="D15" s="69">
        <f>SUM(LCTCBoard:NwLTCC!D15)</f>
        <v>544710</v>
      </c>
      <c r="E15" s="69">
        <f t="shared" si="1"/>
        <v>14086</v>
      </c>
      <c r="F15" s="70">
        <f t="shared" si="0"/>
        <v>2.6546104209383668E-2</v>
      </c>
      <c r="G15" s="69">
        <f>SUM(LCTCBoard:NwLTCC!G15)</f>
        <v>544710</v>
      </c>
      <c r="H15" s="227"/>
      <c r="K15" s="233"/>
    </row>
    <row r="16" spans="1:11" ht="15" customHeight="1" x14ac:dyDescent="0.25">
      <c r="A16" s="75" t="s">
        <v>20</v>
      </c>
      <c r="B16" s="69">
        <f>SUM(LCTCBoard:NwLTCC!B16)</f>
        <v>0</v>
      </c>
      <c r="C16" s="69">
        <f>SUM(LCTCBoard:NwLTCC!C16)</f>
        <v>0</v>
      </c>
      <c r="D16" s="69">
        <f>SUM(LCTCBoard:NwLTCC!D16)</f>
        <v>0</v>
      </c>
      <c r="E16" s="69">
        <f t="shared" si="1"/>
        <v>0</v>
      </c>
      <c r="F16" s="70">
        <f t="shared" si="0"/>
        <v>0</v>
      </c>
      <c r="G16" s="69">
        <f>SUM(LCTCBoard:NwLTCC!G16)</f>
        <v>0</v>
      </c>
      <c r="H16" s="227"/>
      <c r="K16" s="233"/>
    </row>
    <row r="17" spans="1:11" ht="15" customHeight="1" x14ac:dyDescent="0.25">
      <c r="A17" s="75" t="s">
        <v>21</v>
      </c>
      <c r="B17" s="69">
        <f>SUM(LCTCBoard:NwLTCC!B17)</f>
        <v>0</v>
      </c>
      <c r="C17" s="69">
        <f>SUM(LCTCBoard:NwLTCC!C17)</f>
        <v>0</v>
      </c>
      <c r="D17" s="69">
        <f>SUM(LCTCBoard:NwLTCC!D17)</f>
        <v>0</v>
      </c>
      <c r="E17" s="69">
        <f t="shared" si="1"/>
        <v>0</v>
      </c>
      <c r="F17" s="70">
        <f t="shared" si="0"/>
        <v>0</v>
      </c>
      <c r="G17" s="69">
        <f>SUM(LCTCBoard:NwLTCC!G17)</f>
        <v>0</v>
      </c>
      <c r="H17" s="227"/>
      <c r="K17" s="233"/>
    </row>
    <row r="18" spans="1:11" ht="15" customHeight="1" x14ac:dyDescent="0.25">
      <c r="A18" s="75" t="s">
        <v>22</v>
      </c>
      <c r="B18" s="69">
        <f>SUM(LCTCBoard:NwLTCC!B18)</f>
        <v>0</v>
      </c>
      <c r="C18" s="69">
        <f>SUM(LCTCBoard:NwLTCC!C18)</f>
        <v>0</v>
      </c>
      <c r="D18" s="69">
        <f>SUM(LCTCBoard:NwLTCC!D18)</f>
        <v>0</v>
      </c>
      <c r="E18" s="69">
        <f t="shared" si="1"/>
        <v>0</v>
      </c>
      <c r="F18" s="70">
        <f t="shared" si="0"/>
        <v>0</v>
      </c>
      <c r="G18" s="69">
        <f>SUM(LCTCBoard:NwLTCC!G18)</f>
        <v>0</v>
      </c>
      <c r="H18" s="227"/>
      <c r="K18" s="233"/>
    </row>
    <row r="19" spans="1:11" ht="15" customHeight="1" x14ac:dyDescent="0.25">
      <c r="A19" s="75" t="s">
        <v>23</v>
      </c>
      <c r="B19" s="69">
        <f>SUM(LCTCBoard:NwLTCC!B19)</f>
        <v>0</v>
      </c>
      <c r="C19" s="69">
        <f>SUM(LCTCBoard:NwLTCC!C19)</f>
        <v>0</v>
      </c>
      <c r="D19" s="69">
        <f>SUM(LCTCBoard:NwLTCC!D19)</f>
        <v>0</v>
      </c>
      <c r="E19" s="69">
        <f t="shared" si="1"/>
        <v>0</v>
      </c>
      <c r="F19" s="70">
        <f t="shared" si="0"/>
        <v>0</v>
      </c>
      <c r="G19" s="69">
        <f>SUM(LCTCBoard:NwLTCC!G19)</f>
        <v>0</v>
      </c>
      <c r="H19" s="227"/>
      <c r="K19" s="233"/>
    </row>
    <row r="20" spans="1:11" ht="15" customHeight="1" x14ac:dyDescent="0.25">
      <c r="A20" s="75" t="s">
        <v>24</v>
      </c>
      <c r="B20" s="69">
        <f>SUM(LCTCBoard:NwLTCC!B20)</f>
        <v>0</v>
      </c>
      <c r="C20" s="69">
        <f>SUM(LCTCBoard:NwLTCC!C20)</f>
        <v>0</v>
      </c>
      <c r="D20" s="69">
        <f>SUM(LCTCBoard:NwLTCC!D20)</f>
        <v>0</v>
      </c>
      <c r="E20" s="69">
        <f t="shared" si="1"/>
        <v>0</v>
      </c>
      <c r="F20" s="70">
        <f t="shared" si="0"/>
        <v>0</v>
      </c>
      <c r="G20" s="69">
        <f>SUM(LCTCBoard:NwLTCC!G20)</f>
        <v>0</v>
      </c>
      <c r="H20" s="227"/>
      <c r="K20" s="233"/>
    </row>
    <row r="21" spans="1:11" ht="15" customHeight="1" x14ac:dyDescent="0.25">
      <c r="A21" s="75" t="s">
        <v>25</v>
      </c>
      <c r="B21" s="69">
        <f>SUM(LCTCBoard:NwLTCC!B21)</f>
        <v>0</v>
      </c>
      <c r="C21" s="69">
        <f>SUM(LCTCBoard:NwLTCC!C21)</f>
        <v>0</v>
      </c>
      <c r="D21" s="69">
        <f>SUM(LCTCBoard:NwLTCC!D21)</f>
        <v>0</v>
      </c>
      <c r="E21" s="69">
        <f t="shared" si="1"/>
        <v>0</v>
      </c>
      <c r="F21" s="70">
        <f t="shared" si="0"/>
        <v>0</v>
      </c>
      <c r="G21" s="69">
        <f>SUM(LCTCBoard:NwLTCC!G21)</f>
        <v>0</v>
      </c>
      <c r="H21" s="227"/>
      <c r="K21" s="233"/>
    </row>
    <row r="22" spans="1:11" ht="15" customHeight="1" x14ac:dyDescent="0.25">
      <c r="A22" s="75" t="s">
        <v>26</v>
      </c>
      <c r="B22" s="69">
        <f>SUM(LCTCBoard:NwLTCC!B22)</f>
        <v>0</v>
      </c>
      <c r="C22" s="69">
        <f>SUM(LCTCBoard:NwLTCC!C22)</f>
        <v>0</v>
      </c>
      <c r="D22" s="69">
        <f>SUM(LCTCBoard:NwLTCC!D22)</f>
        <v>0</v>
      </c>
      <c r="E22" s="69">
        <f t="shared" si="1"/>
        <v>0</v>
      </c>
      <c r="F22" s="70">
        <f t="shared" si="0"/>
        <v>0</v>
      </c>
      <c r="G22" s="69">
        <f>SUM(LCTCBoard:NwLTCC!G22)</f>
        <v>0</v>
      </c>
      <c r="H22" s="227"/>
      <c r="K22" s="233"/>
    </row>
    <row r="23" spans="1:11" ht="15" customHeight="1" x14ac:dyDescent="0.25">
      <c r="A23" s="76" t="s">
        <v>27</v>
      </c>
      <c r="B23" s="69">
        <f>SUM(LCTCBoard:NwLTCC!B23)</f>
        <v>0</v>
      </c>
      <c r="C23" s="69">
        <f>SUM(LCTCBoard:NwLTCC!C23)</f>
        <v>0</v>
      </c>
      <c r="D23" s="69">
        <f>SUM(LCTCBoard:NwLTCC!D23)</f>
        <v>0</v>
      </c>
      <c r="E23" s="69">
        <f t="shared" si="1"/>
        <v>0</v>
      </c>
      <c r="F23" s="70">
        <f t="shared" si="0"/>
        <v>0</v>
      </c>
      <c r="G23" s="69">
        <f>SUM(LCTCBoard:NwLTCC!G23)</f>
        <v>0</v>
      </c>
      <c r="H23" s="227"/>
      <c r="K23" s="233"/>
    </row>
    <row r="24" spans="1:11" ht="15" customHeight="1" x14ac:dyDescent="0.25">
      <c r="A24" s="76" t="s">
        <v>28</v>
      </c>
      <c r="B24" s="69">
        <f>SUM(LCTCBoard:NwLTCC!B24)</f>
        <v>10000000</v>
      </c>
      <c r="C24" s="69">
        <f>SUM(LCTCBoard:NwLTCC!C24)</f>
        <v>10000000</v>
      </c>
      <c r="D24" s="69">
        <f>SUM(LCTCBoard:NwLTCC!D24)</f>
        <v>10000000</v>
      </c>
      <c r="E24" s="69">
        <f t="shared" si="1"/>
        <v>0</v>
      </c>
      <c r="F24" s="70">
        <f t="shared" si="0"/>
        <v>0</v>
      </c>
      <c r="G24" s="69">
        <f>SUM(LCTCBoard:NwLTCC!G24)</f>
        <v>10000000</v>
      </c>
      <c r="H24" s="227"/>
      <c r="K24" s="233"/>
    </row>
    <row r="25" spans="1:11" ht="15" customHeight="1" x14ac:dyDescent="0.25">
      <c r="A25" s="76" t="s">
        <v>29</v>
      </c>
      <c r="B25" s="69">
        <f>SUM(LCTCBoard:NwLTCC!B25)</f>
        <v>0</v>
      </c>
      <c r="C25" s="69">
        <f>SUM(LCTCBoard:NwLTCC!C25)</f>
        <v>0</v>
      </c>
      <c r="D25" s="69">
        <f>SUM(LCTCBoard:NwLTCC!D25)</f>
        <v>0</v>
      </c>
      <c r="E25" s="69">
        <f t="shared" si="1"/>
        <v>0</v>
      </c>
      <c r="F25" s="70">
        <f t="shared" si="0"/>
        <v>0</v>
      </c>
      <c r="G25" s="69">
        <f>SUM(LCTCBoard:NwLTCC!G25)</f>
        <v>0</v>
      </c>
      <c r="H25" s="227"/>
      <c r="K25" s="233"/>
    </row>
    <row r="26" spans="1:11" ht="15" customHeight="1" x14ac:dyDescent="0.25">
      <c r="A26" s="76" t="s">
        <v>30</v>
      </c>
      <c r="B26" s="69">
        <f>SUM(LCTCBoard:NwLTCC!B26)</f>
        <v>312717</v>
      </c>
      <c r="C26" s="69">
        <f>SUM(LCTCBoard:NwLTCC!C26)</f>
        <v>349241</v>
      </c>
      <c r="D26" s="69">
        <f>SUM(LCTCBoard:NwLTCC!D26)</f>
        <v>211552</v>
      </c>
      <c r="E26" s="69">
        <f t="shared" si="1"/>
        <v>-137689</v>
      </c>
      <c r="F26" s="70">
        <f t="shared" si="0"/>
        <v>-0.39425210671141131</v>
      </c>
      <c r="G26" s="69">
        <f>SUM(LCTCBoard:NwLTCC!G26)</f>
        <v>211552</v>
      </c>
      <c r="H26" s="227"/>
      <c r="K26" s="233"/>
    </row>
    <row r="27" spans="1:11" ht="15" customHeight="1" x14ac:dyDescent="0.25">
      <c r="A27" s="76" t="s">
        <v>31</v>
      </c>
      <c r="B27" s="69">
        <f>SUM(LCTCBoard:NwLTCC!B27)</f>
        <v>0</v>
      </c>
      <c r="C27" s="69">
        <f>SUM(LCTCBoard:NwLTCC!C27)</f>
        <v>0</v>
      </c>
      <c r="D27" s="69">
        <f>SUM(LCTCBoard:NwLTCC!D27)</f>
        <v>0</v>
      </c>
      <c r="E27" s="69">
        <f t="shared" si="1"/>
        <v>0</v>
      </c>
      <c r="F27" s="70">
        <f t="shared" si="0"/>
        <v>0</v>
      </c>
      <c r="G27" s="69">
        <f>SUM(LCTCBoard:NwLTCC!G27)</f>
        <v>0</v>
      </c>
      <c r="H27" s="227"/>
      <c r="K27" s="233"/>
    </row>
    <row r="28" spans="1:11" ht="15" customHeight="1" x14ac:dyDescent="0.25">
      <c r="A28" s="76" t="s">
        <v>87</v>
      </c>
      <c r="B28" s="69">
        <f>SUM(LCTCBoard:NwLTCC!B28)</f>
        <v>0</v>
      </c>
      <c r="C28" s="69">
        <f>SUM(LCTCBoard:NwLTCC!C28)</f>
        <v>0</v>
      </c>
      <c r="D28" s="69">
        <f>SUM(LCTCBoard:NwLTCC!D28)</f>
        <v>0</v>
      </c>
      <c r="E28" s="69">
        <f t="shared" si="1"/>
        <v>0</v>
      </c>
      <c r="F28" s="70">
        <f t="shared" si="0"/>
        <v>0</v>
      </c>
      <c r="G28" s="69">
        <f>SUM(LCTCBoard:NwLTCC!G28)</f>
        <v>0</v>
      </c>
      <c r="H28" s="227"/>
      <c r="K28" s="233"/>
    </row>
    <row r="29" spans="1:11" ht="15" customHeight="1" x14ac:dyDescent="0.25">
      <c r="A29" s="76" t="s">
        <v>32</v>
      </c>
      <c r="B29" s="69">
        <f>SUM(LCTCBoard:NwLTCC!B29)</f>
        <v>0</v>
      </c>
      <c r="C29" s="69">
        <f>SUM(LCTCBoard:NwLTCC!C29)</f>
        <v>0</v>
      </c>
      <c r="D29" s="69">
        <f>SUM(LCTCBoard:NwLTCC!D29)</f>
        <v>0</v>
      </c>
      <c r="E29" s="69">
        <f t="shared" si="1"/>
        <v>0</v>
      </c>
      <c r="F29" s="70">
        <f t="shared" si="0"/>
        <v>0</v>
      </c>
      <c r="G29" s="69">
        <f>SUM(LCTCBoard:NwLTCC!G29)</f>
        <v>0</v>
      </c>
      <c r="H29" s="227"/>
      <c r="K29" s="233"/>
    </row>
    <row r="30" spans="1:11" ht="15" customHeight="1" x14ac:dyDescent="0.25">
      <c r="A30" s="217" t="s">
        <v>201</v>
      </c>
      <c r="B30" s="69">
        <f>SUM(LCTCBoard:NwLTCC!B30)</f>
        <v>0</v>
      </c>
      <c r="C30" s="69">
        <f>SUM(LCTCBoard:NwLTCC!C30)</f>
        <v>0</v>
      </c>
      <c r="D30" s="69">
        <f>SUM(LCTCBoard:NwLTCC!D30)</f>
        <v>0</v>
      </c>
      <c r="E30" s="69">
        <f t="shared" si="1"/>
        <v>0</v>
      </c>
      <c r="F30" s="70">
        <f t="shared" si="0"/>
        <v>0</v>
      </c>
      <c r="G30" s="69">
        <f>SUM(LCTCBoard:NwLTCC!G30)</f>
        <v>0</v>
      </c>
      <c r="H30" s="227"/>
      <c r="K30" s="233"/>
    </row>
    <row r="31" spans="1:11" ht="15" customHeight="1" x14ac:dyDescent="0.25">
      <c r="A31" s="76" t="s">
        <v>202</v>
      </c>
      <c r="B31" s="69">
        <f>SUM(LCTCBoard:NwLTCC!B31)</f>
        <v>0</v>
      </c>
      <c r="C31" s="69">
        <f>SUM(LCTCBoard:NwLTCC!C31)</f>
        <v>0</v>
      </c>
      <c r="D31" s="69">
        <f>SUM(LCTCBoard:NwLTCC!D31)</f>
        <v>0</v>
      </c>
      <c r="E31" s="69">
        <f t="shared" si="1"/>
        <v>0</v>
      </c>
      <c r="F31" s="70">
        <f t="shared" si="0"/>
        <v>0</v>
      </c>
      <c r="G31" s="69">
        <f>SUM(LCTCBoard:NwLTCC!G31)</f>
        <v>0</v>
      </c>
      <c r="H31" s="227"/>
      <c r="K31" s="233"/>
    </row>
    <row r="32" spans="1:11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  <c r="K32" s="233"/>
    </row>
    <row r="33" spans="1:13" ht="15" customHeight="1" x14ac:dyDescent="0.25">
      <c r="A33" s="73" t="s">
        <v>34</v>
      </c>
      <c r="B33" s="69">
        <f>SUM(LCTCBoard:NwLTCC!B33)</f>
        <v>0</v>
      </c>
      <c r="C33" s="69">
        <f>SUM(LCTCBoard:NwLTCC!C33)</f>
        <v>0</v>
      </c>
      <c r="D33" s="69">
        <f>SUM(LCTCBoard:NwLTCC!D33)</f>
        <v>0</v>
      </c>
      <c r="E33" s="69">
        <f>D33-C33</f>
        <v>0</v>
      </c>
      <c r="F33" s="70">
        <f>IF(ISBLANK(E33),"  ",IF(C33&gt;0,E33/C33,IF(E33&gt;0,1,0)))</f>
        <v>0</v>
      </c>
      <c r="G33" s="69">
        <f>SUM(LCTCBoard:NwLTCC!G33)</f>
        <v>0</v>
      </c>
      <c r="H33" s="227"/>
      <c r="K33" s="233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9">
        <f>SUM(LCTCBoard:NwLTCC!B35)</f>
        <v>0</v>
      </c>
      <c r="C35" s="69">
        <f>SUM(LCTCBoard:NwLTCC!C35)</f>
        <v>0</v>
      </c>
      <c r="D35" s="69">
        <f>SUM(LCTCBoard:NwLTCC!D35)</f>
        <v>0</v>
      </c>
      <c r="E35" s="69">
        <f>D35-C35</f>
        <v>0</v>
      </c>
      <c r="F35" s="70">
        <f>IF(ISBLANK(E35),"  ",IF(C35&gt;0,E35/C35,IF(E35&gt;0,1,0)))</f>
        <v>0</v>
      </c>
      <c r="G35" s="69">
        <f>SUM(LCTCBoard:NwLTCC!G35)</f>
        <v>0</v>
      </c>
      <c r="H35" s="227"/>
    </row>
    <row r="36" spans="1:13" ht="15" customHeight="1" x14ac:dyDescent="0.25">
      <c r="A36" s="75" t="s">
        <v>36</v>
      </c>
      <c r="B36" s="112"/>
      <c r="C36" s="112"/>
      <c r="D36" s="112"/>
      <c r="E36" s="72"/>
      <c r="F36" s="70" t="s">
        <v>37</v>
      </c>
      <c r="G36" s="112"/>
      <c r="H36" s="227"/>
    </row>
    <row r="37" spans="1:13" s="124" customFormat="1" ht="15" customHeight="1" x14ac:dyDescent="0.25">
      <c r="A37" s="79" t="s">
        <v>38</v>
      </c>
      <c r="B37" s="87">
        <f>SUM(LCTCBoard:NwLTCC!B37)</f>
        <v>138862957.78</v>
      </c>
      <c r="C37" s="87">
        <f>SUM(LCTCBoard:NwLTCC!C37)</f>
        <v>139833350</v>
      </c>
      <c r="D37" s="87">
        <f>SUM(LCTCBoard:NwLTCC!D37)</f>
        <v>117434677</v>
      </c>
      <c r="E37" s="87">
        <f>D37-C37</f>
        <v>-22398673</v>
      </c>
      <c r="F37" s="81">
        <f>IF(ISBLANK(E37),"  ",IF(C37&gt;0,E37/C37,IF(E37&gt;0,1,0)))</f>
        <v>-0.16018119425730701</v>
      </c>
      <c r="G37" s="87">
        <f>SUM(LCTCBoard:NwLTCC!G37)</f>
        <v>117434677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f>SUM(LCTCBoard:NwLTCC!B39)</f>
        <v>0</v>
      </c>
      <c r="C39" s="69">
        <f>SUM(LCTCBoard:NwLTCC!C39)</f>
        <v>0</v>
      </c>
      <c r="D39" s="69">
        <f>SUM(LCTCBoard:NwLTCC!D39)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SUM(LCTCBoard:NwLTCC!G39)</f>
        <v>0</v>
      </c>
      <c r="H39" s="227"/>
    </row>
    <row r="40" spans="1:13" ht="15" customHeight="1" x14ac:dyDescent="0.25">
      <c r="A40" s="83" t="s">
        <v>41</v>
      </c>
      <c r="B40" s="69">
        <f>SUM(LCTCBoard:NwLTCC!B40)</f>
        <v>0</v>
      </c>
      <c r="C40" s="69">
        <f>SUM(LCTCBoard:NwLTCC!C40)</f>
        <v>0</v>
      </c>
      <c r="D40" s="69">
        <f>SUM(LCTCBoard:NwLTCC!D40)</f>
        <v>0</v>
      </c>
      <c r="E40" s="69">
        <f>D40-C40</f>
        <v>0</v>
      </c>
      <c r="F40" s="70">
        <f t="shared" si="2"/>
        <v>0</v>
      </c>
      <c r="G40" s="69">
        <f>SUM(LCTCBoard:NwLTCC!G40)</f>
        <v>0</v>
      </c>
      <c r="H40" s="227"/>
    </row>
    <row r="41" spans="1:13" ht="15" customHeight="1" x14ac:dyDescent="0.25">
      <c r="A41" s="83" t="s">
        <v>42</v>
      </c>
      <c r="B41" s="69">
        <f>SUM(LCTCBoard:NwLTCC!B41)</f>
        <v>25897750</v>
      </c>
      <c r="C41" s="69">
        <f>SUM(LCTCBoard:NwLTCC!C41)</f>
        <v>15954000</v>
      </c>
      <c r="D41" s="69">
        <f>SUM(LCTCBoard:NwLTCC!D41)</f>
        <v>0</v>
      </c>
      <c r="E41" s="69">
        <f t="shared" ref="E41:E44" si="3">D41-C41</f>
        <v>-15954000</v>
      </c>
      <c r="F41" s="70">
        <f t="shared" si="2"/>
        <v>-1</v>
      </c>
      <c r="G41" s="69">
        <f>SUM(LCTCBoard:NwLTCC!G41)</f>
        <v>0</v>
      </c>
      <c r="H41" s="227"/>
    </row>
    <row r="42" spans="1:13" ht="15" customHeight="1" x14ac:dyDescent="0.25">
      <c r="A42" s="83" t="s">
        <v>43</v>
      </c>
      <c r="B42" s="69">
        <f>SUM(LCTCBoard:NwLTCC!B42)</f>
        <v>0</v>
      </c>
      <c r="C42" s="69">
        <f>SUM(LCTCBoard:NwLTCC!C42)</f>
        <v>0</v>
      </c>
      <c r="D42" s="69">
        <f>SUM(LCTCBoard:NwLTCC!D42)</f>
        <v>0</v>
      </c>
      <c r="E42" s="69">
        <f t="shared" si="3"/>
        <v>0</v>
      </c>
      <c r="F42" s="70">
        <f t="shared" si="2"/>
        <v>0</v>
      </c>
      <c r="G42" s="69">
        <f>SUM(LCTCBoard:NwLTCC!G42)</f>
        <v>0</v>
      </c>
      <c r="H42" s="227"/>
    </row>
    <row r="43" spans="1:13" ht="15" customHeight="1" x14ac:dyDescent="0.25">
      <c r="A43" s="84" t="s">
        <v>44</v>
      </c>
      <c r="B43" s="69">
        <f>SUM(LCTCBoard:NwLTCC!B43)</f>
        <v>0</v>
      </c>
      <c r="C43" s="69">
        <f>SUM(LCTCBoard:NwLTCC!C43)</f>
        <v>0</v>
      </c>
      <c r="D43" s="69">
        <f>SUM(LCTCBoard:NwLTCC!D43)</f>
        <v>0</v>
      </c>
      <c r="E43" s="69">
        <f t="shared" si="3"/>
        <v>0</v>
      </c>
      <c r="F43" s="70">
        <f t="shared" si="2"/>
        <v>0</v>
      </c>
      <c r="G43" s="69">
        <f>SUM(LCTCBoard:NwLTCC!G43)</f>
        <v>0</v>
      </c>
      <c r="H43" s="227"/>
    </row>
    <row r="44" spans="1:13" s="124" customFormat="1" ht="15" customHeight="1" x14ac:dyDescent="0.25">
      <c r="A44" s="77" t="s">
        <v>45</v>
      </c>
      <c r="B44" s="87">
        <f>SUM(LCTCBoard:NwLTCC!B44)</f>
        <v>25897750</v>
      </c>
      <c r="C44" s="87">
        <f>SUM(LCTCBoard:NwLTCC!C44)</f>
        <v>15954000</v>
      </c>
      <c r="D44" s="87">
        <f>SUM(LCTCBoard:NwLTCC!D44)</f>
        <v>0</v>
      </c>
      <c r="E44" s="87">
        <f t="shared" si="3"/>
        <v>-15954000</v>
      </c>
      <c r="F44" s="81">
        <f t="shared" si="2"/>
        <v>-1</v>
      </c>
      <c r="G44" s="87">
        <f>SUM(LCTCBoard:NwLTCC!G44)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f>SUM(LCTCBoard:NwLTCC!B46)</f>
        <v>0</v>
      </c>
      <c r="C46" s="87">
        <f>SUM(LCTCBoard:NwLTCC!C46)</f>
        <v>0</v>
      </c>
      <c r="D46" s="87">
        <f>SUM(LCTCBoard:NwLTCC!D46)</f>
        <v>0</v>
      </c>
      <c r="E46" s="87">
        <f>D46-C46</f>
        <v>0</v>
      </c>
      <c r="F46" s="81">
        <f>IF(ISBLANK(E46),"  ",IF(C46&gt;0,E46/C46,IF(E46&gt;0,1,0)))</f>
        <v>0</v>
      </c>
      <c r="G46" s="87">
        <f>SUM(LCTCBoard:NwLTCC!G46)</f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f>SUM(LCTCBoard:NwLTCC!B48)</f>
        <v>15954000</v>
      </c>
      <c r="C48" s="87">
        <f>SUM(LCTCBoard:NwLTCC!C48)</f>
        <v>15954000</v>
      </c>
      <c r="D48" s="87">
        <f>SUM(LCTCBoard:NwLTCC!D48)</f>
        <v>0</v>
      </c>
      <c r="E48" s="87">
        <f>D48-C48</f>
        <v>-15954000</v>
      </c>
      <c r="F48" s="81">
        <f>IF(ISBLANK(E48)," ",IF(C48&gt;0,E48/C48,IF(E48&gt;0,1,0)))</f>
        <v>-1</v>
      </c>
      <c r="G48" s="87">
        <f>SUM(LCTCBoard:NwLTCC!G48)</f>
        <v>15954000</v>
      </c>
      <c r="H48" s="228"/>
    </row>
    <row r="49" spans="1:9" ht="15" customHeight="1" x14ac:dyDescent="0.25">
      <c r="A49" s="73"/>
      <c r="B49" s="80"/>
      <c r="C49" s="80"/>
      <c r="D49" s="80"/>
      <c r="E49" s="65"/>
      <c r="F49" s="67"/>
      <c r="G49" s="80"/>
      <c r="H49" s="228"/>
    </row>
    <row r="50" spans="1:9" s="124" customFormat="1" ht="15" customHeight="1" x14ac:dyDescent="0.25">
      <c r="A50" s="86" t="s">
        <v>48</v>
      </c>
      <c r="B50" s="87">
        <f>SUM(LCTCBoard:NwLTCC!B50)</f>
        <v>691758</v>
      </c>
      <c r="C50" s="87">
        <f>SUM(LCTCBoard:NwLTCC!C50)</f>
        <v>0</v>
      </c>
      <c r="D50" s="87">
        <f>SUM(LCTCBoard:NwLTCC!D50)</f>
        <v>0</v>
      </c>
      <c r="E50" s="87">
        <f>D50-C50</f>
        <v>0</v>
      </c>
      <c r="F50" s="81">
        <f>IF(ISBLANK(E50),"  ",IF(C50&gt;0,E50/C50,IF(E50&gt;0,1,0)))</f>
        <v>0</v>
      </c>
      <c r="G50" s="87">
        <f>SUM(LCTCBoard:NwLTCC!G50)</f>
        <v>0</v>
      </c>
      <c r="H50" s="228"/>
    </row>
    <row r="51" spans="1:9" ht="15" customHeight="1" x14ac:dyDescent="0.25">
      <c r="A51" s="75" t="s">
        <v>46</v>
      </c>
      <c r="B51" s="80"/>
      <c r="C51" s="80"/>
      <c r="D51" s="80"/>
      <c r="E51" s="74"/>
      <c r="F51" s="66"/>
      <c r="G51" s="80"/>
      <c r="H51" s="228"/>
    </row>
    <row r="52" spans="1:9" s="124" customFormat="1" ht="15" customHeight="1" x14ac:dyDescent="0.25">
      <c r="A52" s="77" t="s">
        <v>49</v>
      </c>
      <c r="B52" s="87">
        <f>SUM(LCTCBoard:NwLTCC!B52)</f>
        <v>168275209.03000003</v>
      </c>
      <c r="C52" s="87">
        <f>SUM(LCTCBoard:NwLTCC!C52)</f>
        <v>173150000</v>
      </c>
      <c r="D52" s="87">
        <f>SUM(LCTCBoard:NwLTCC!D52)</f>
        <v>174930000</v>
      </c>
      <c r="E52" s="87">
        <f>D52-C52</f>
        <v>1780000</v>
      </c>
      <c r="F52" s="81">
        <f>IF(ISBLANK(E52),"  ",IF(C52&gt;0,E52/C52,IF(E52&gt;0,1,0)))</f>
        <v>1.0280103956107421E-2</v>
      </c>
      <c r="G52" s="87">
        <f>SUM(LCTCBoard:NwLTCC!G52)</f>
        <v>174930000</v>
      </c>
      <c r="H52" s="228"/>
      <c r="I52" s="189"/>
    </row>
    <row r="53" spans="1:9" ht="15" customHeight="1" x14ac:dyDescent="0.25">
      <c r="A53" s="75" t="s">
        <v>46</v>
      </c>
      <c r="B53" s="80"/>
      <c r="C53" s="80"/>
      <c r="D53" s="80"/>
      <c r="E53" s="74"/>
      <c r="F53" s="66"/>
      <c r="G53" s="80"/>
      <c r="H53" s="228"/>
    </row>
    <row r="54" spans="1:9" s="124" customFormat="1" ht="15" customHeight="1" x14ac:dyDescent="0.25">
      <c r="A54" s="88" t="s">
        <v>50</v>
      </c>
      <c r="B54" s="87">
        <f>SUM(LCTCBoard:NwLTCC!B54)</f>
        <v>0</v>
      </c>
      <c r="C54" s="87">
        <f>SUM(LCTCBoard:NwLTCC!C54)</f>
        <v>0</v>
      </c>
      <c r="D54" s="87">
        <f>SUM(LCTCBoard:NwLTCC!D54)</f>
        <v>0</v>
      </c>
      <c r="E54" s="87">
        <f>D54-C54</f>
        <v>0</v>
      </c>
      <c r="F54" s="81">
        <f>IF(ISBLANK(E54),"  ",IF(C54&gt;0,E54/C54,IF(E54&gt;0,1,0)))</f>
        <v>0</v>
      </c>
      <c r="G54" s="87">
        <f>SUM(LCTCBoard:NwLTCC!G54)</f>
        <v>0</v>
      </c>
      <c r="H54" s="228"/>
    </row>
    <row r="55" spans="1:9" ht="15" customHeight="1" x14ac:dyDescent="0.25">
      <c r="A55" s="77"/>
      <c r="B55" s="80"/>
      <c r="C55" s="80"/>
      <c r="D55" s="80"/>
      <c r="E55" s="65"/>
      <c r="F55" s="90"/>
      <c r="G55" s="80"/>
      <c r="H55" s="228"/>
    </row>
    <row r="56" spans="1:9" s="124" customFormat="1" ht="15" customHeight="1" x14ac:dyDescent="0.25">
      <c r="A56" s="77" t="s">
        <v>51</v>
      </c>
      <c r="B56" s="87">
        <f>SUM(LCTCBoard:NwLTCC!B56)</f>
        <v>0</v>
      </c>
      <c r="C56" s="87">
        <f>SUM(LCTCBoard:NwLTCC!C56)</f>
        <v>0</v>
      </c>
      <c r="D56" s="87">
        <f>SUM(LCTCBoard:NwLTCC!D56)</f>
        <v>0</v>
      </c>
      <c r="E56" s="87">
        <f>D56-C56</f>
        <v>0</v>
      </c>
      <c r="F56" s="81">
        <f>IF(ISBLANK(E56),"  ",IF(C56&gt;0,E56/C56,IF(E56&gt;0,1,0)))</f>
        <v>0</v>
      </c>
      <c r="G56" s="87">
        <f>SUM(LCTCBoard:NwLTCC!G56)</f>
        <v>0</v>
      </c>
      <c r="H56" s="228"/>
    </row>
    <row r="57" spans="1:9" ht="15" customHeight="1" x14ac:dyDescent="0.25">
      <c r="A57" s="75"/>
      <c r="B57" s="80"/>
      <c r="C57" s="80"/>
      <c r="D57" s="80"/>
      <c r="E57" s="74"/>
      <c r="F57" s="66"/>
      <c r="G57" s="80"/>
      <c r="H57" s="228"/>
    </row>
    <row r="58" spans="1:9" s="124" customFormat="1" ht="15" customHeight="1" x14ac:dyDescent="0.25">
      <c r="A58" s="91" t="s">
        <v>52</v>
      </c>
      <c r="B58" s="87">
        <f>SUM(B37,B46,B48,B50,B52,B54,B56)-B44</f>
        <v>297886174.81000006</v>
      </c>
      <c r="C58" s="87">
        <f t="shared" ref="C58:D58" si="4">SUM(C37,C46,C48,C50,C52,C54,C56)-C44</f>
        <v>312983350</v>
      </c>
      <c r="D58" s="87">
        <f t="shared" si="4"/>
        <v>292364677</v>
      </c>
      <c r="E58" s="87">
        <f>D58-C58</f>
        <v>-20618673</v>
      </c>
      <c r="F58" s="81">
        <f>IF(ISBLANK(E58),"  ",IF(C58&gt;0,E58/C58,IF(E58&gt;0,1,0)))</f>
        <v>-6.5877858997930722E-2</v>
      </c>
      <c r="G58" s="87">
        <f>SUM(G37,G46,G48,G50,G52,G54,G56)-G44</f>
        <v>308318677</v>
      </c>
      <c r="H58" s="228"/>
    </row>
    <row r="59" spans="1:9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9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9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9" ht="15" customHeight="1" x14ac:dyDescent="0.25">
      <c r="A62" s="73" t="s">
        <v>54</v>
      </c>
      <c r="B62" s="69">
        <f>SUM(LCTCBoard:NwLTCC!B62)</f>
        <v>129906937.65000001</v>
      </c>
      <c r="C62" s="69">
        <f>SUM(LCTCBoard:NwLTCC!C62)</f>
        <v>137951254.00600863</v>
      </c>
      <c r="D62" s="69">
        <f>SUM(LCTCBoard:NwLTCC!D62)</f>
        <v>122026719.502</v>
      </c>
      <c r="E62" s="69">
        <f>D62-C62</f>
        <v>-15924534.504008621</v>
      </c>
      <c r="F62" s="70">
        <f t="shared" ref="F62:F75" si="5">IF(ISBLANK(E62),"  ",IF(C62&gt;0,E62/C62,IF(E62&gt;0,1,0)))</f>
        <v>-0.11543595321949744</v>
      </c>
      <c r="G62" s="69">
        <f>SUM(LCTCBoard:NwLTCC!G62)</f>
        <v>136761607.89199999</v>
      </c>
      <c r="H62" s="227"/>
    </row>
    <row r="63" spans="1:9" ht="15" customHeight="1" x14ac:dyDescent="0.25">
      <c r="A63" s="75" t="s">
        <v>55</v>
      </c>
      <c r="B63" s="69">
        <f>SUM(LCTCBoard:NwLTCC!B63)</f>
        <v>0</v>
      </c>
      <c r="C63" s="69">
        <f>SUM(LCTCBoard:NwLTCC!C63)</f>
        <v>0</v>
      </c>
      <c r="D63" s="69">
        <f>SUM(LCTCBoard:NwLTCC!D63)</f>
        <v>0</v>
      </c>
      <c r="E63" s="69">
        <f>D63-C63</f>
        <v>0</v>
      </c>
      <c r="F63" s="70">
        <f t="shared" si="5"/>
        <v>0</v>
      </c>
      <c r="G63" s="69">
        <f>SUM(LCTCBoard:NwLTCC!G63)</f>
        <v>0</v>
      </c>
      <c r="H63" s="227"/>
    </row>
    <row r="64" spans="1:9" ht="15" customHeight="1" x14ac:dyDescent="0.25">
      <c r="A64" s="75" t="s">
        <v>56</v>
      </c>
      <c r="B64" s="69">
        <f>SUM(LCTCBoard:NwLTCC!B64)</f>
        <v>228406.92999999996</v>
      </c>
      <c r="C64" s="69">
        <f>SUM(LCTCBoard:NwLTCC!C64)</f>
        <v>240532</v>
      </c>
      <c r="D64" s="69">
        <f>SUM(LCTCBoard:NwLTCC!D64)</f>
        <v>244342.55</v>
      </c>
      <c r="E64" s="69">
        <f t="shared" ref="E64:E75" si="6">D64-C64</f>
        <v>3810.5499999999884</v>
      </c>
      <c r="F64" s="70">
        <f t="shared" si="5"/>
        <v>1.5842174845758519E-2</v>
      </c>
      <c r="G64" s="69">
        <f>SUM(LCTCBoard:NwLTCC!G64)</f>
        <v>244342.55</v>
      </c>
      <c r="H64" s="227"/>
    </row>
    <row r="65" spans="1:8" ht="15" customHeight="1" x14ac:dyDescent="0.25">
      <c r="A65" s="75" t="s">
        <v>57</v>
      </c>
      <c r="B65" s="69">
        <f>SUM(LCTCBoard:NwLTCC!B65)</f>
        <v>32104559.670000002</v>
      </c>
      <c r="C65" s="69">
        <f>SUM(LCTCBoard:NwLTCC!C65)</f>
        <v>33668025.210000001</v>
      </c>
      <c r="D65" s="69">
        <f>SUM(LCTCBoard:NwLTCC!D65)</f>
        <v>31563030.422999997</v>
      </c>
      <c r="E65" s="69">
        <f t="shared" si="6"/>
        <v>-2104994.7870000042</v>
      </c>
      <c r="F65" s="70">
        <f t="shared" si="5"/>
        <v>-6.2522074694621038E-2</v>
      </c>
      <c r="G65" s="69">
        <f>SUM(LCTCBoard:NwLTCC!G65)</f>
        <v>32118767.712999996</v>
      </c>
      <c r="H65" s="227"/>
    </row>
    <row r="66" spans="1:8" ht="15" customHeight="1" x14ac:dyDescent="0.25">
      <c r="A66" s="75" t="s">
        <v>58</v>
      </c>
      <c r="B66" s="69">
        <f>SUM(LCTCBoard:NwLTCC!B66)</f>
        <v>25062642.280000001</v>
      </c>
      <c r="C66" s="69">
        <f>SUM(LCTCBoard:NwLTCC!C66)</f>
        <v>25777585.301245015</v>
      </c>
      <c r="D66" s="69">
        <f>SUM(LCTCBoard:NwLTCC!D66)</f>
        <v>27064977.493999999</v>
      </c>
      <c r="E66" s="69">
        <f t="shared" si="6"/>
        <v>1287392.1927549839</v>
      </c>
      <c r="F66" s="70">
        <f t="shared" si="5"/>
        <v>4.9942311419402224E-2</v>
      </c>
      <c r="G66" s="69">
        <f>SUM(LCTCBoard:NwLTCC!G66)</f>
        <v>27307278.784000002</v>
      </c>
      <c r="H66" s="227"/>
    </row>
    <row r="67" spans="1:8" ht="15" customHeight="1" x14ac:dyDescent="0.25">
      <c r="A67" s="75" t="s">
        <v>59</v>
      </c>
      <c r="B67" s="69">
        <f>SUM(LCTCBoard:NwLTCC!B67)</f>
        <v>57484418.230000004</v>
      </c>
      <c r="C67" s="69">
        <f>SUM(LCTCBoard:NwLTCC!C67)</f>
        <v>58425971.440536037</v>
      </c>
      <c r="D67" s="69">
        <f>SUM(LCTCBoard:NwLTCC!D67)</f>
        <v>57310483.269000001</v>
      </c>
      <c r="E67" s="69">
        <f t="shared" si="6"/>
        <v>-1115488.1715360358</v>
      </c>
      <c r="F67" s="70">
        <f t="shared" si="5"/>
        <v>-1.9092334180037411E-2</v>
      </c>
      <c r="G67" s="69">
        <f>SUM(LCTCBoard:NwLTCC!G67)</f>
        <v>57818991.619000003</v>
      </c>
      <c r="H67" s="227"/>
    </row>
    <row r="68" spans="1:8" ht="15" customHeight="1" x14ac:dyDescent="0.25">
      <c r="A68" s="75" t="s">
        <v>60</v>
      </c>
      <c r="B68" s="69">
        <f>SUM(LCTCBoard:NwLTCC!B68)</f>
        <v>321567.95999999996</v>
      </c>
      <c r="C68" s="69">
        <f>SUM(LCTCBoard:NwLTCC!C68)</f>
        <v>526572.6</v>
      </c>
      <c r="D68" s="69">
        <f>SUM(LCTCBoard:NwLTCC!D68)</f>
        <v>495513.95999999996</v>
      </c>
      <c r="E68" s="69">
        <f t="shared" si="6"/>
        <v>-31058.640000000014</v>
      </c>
      <c r="F68" s="70">
        <f t="shared" si="5"/>
        <v>-5.898263601258405E-2</v>
      </c>
      <c r="G68" s="69">
        <f>SUM(LCTCBoard:NwLTCC!G68)</f>
        <v>495513.95999999996</v>
      </c>
      <c r="H68" s="227"/>
    </row>
    <row r="69" spans="1:8" ht="15" customHeight="1" x14ac:dyDescent="0.25">
      <c r="A69" s="75" t="s">
        <v>61</v>
      </c>
      <c r="B69" s="69">
        <f>SUM(LCTCBoard:NwLTCC!B69)</f>
        <v>34498689.410000004</v>
      </c>
      <c r="C69" s="69">
        <f>SUM(LCTCBoard:NwLTCC!C69)</f>
        <v>37505269</v>
      </c>
      <c r="D69" s="69">
        <f>SUM(LCTCBoard:NwLTCC!D69)</f>
        <v>32842521.051999997</v>
      </c>
      <c r="E69" s="69">
        <f t="shared" si="6"/>
        <v>-4662747.9480000027</v>
      </c>
      <c r="F69" s="70">
        <f t="shared" si="5"/>
        <v>-0.12432247714314494</v>
      </c>
      <c r="G69" s="69">
        <f>SUM(LCTCBoard:NwLTCC!G69)</f>
        <v>33057159.481999997</v>
      </c>
      <c r="H69" s="227"/>
    </row>
    <row r="70" spans="1:8" s="124" customFormat="1" ht="15" customHeight="1" x14ac:dyDescent="0.25">
      <c r="A70" s="94" t="s">
        <v>62</v>
      </c>
      <c r="B70" s="87">
        <f>SUM(LCTCBoard:NwLTCC!B70)</f>
        <v>279607222.13</v>
      </c>
      <c r="C70" s="87">
        <f>SUM(LCTCBoard:NwLTCC!C70)</f>
        <v>294095209.55778968</v>
      </c>
      <c r="D70" s="87">
        <f>SUM(LCTCBoard:NwLTCC!D70)</f>
        <v>271547588.25</v>
      </c>
      <c r="E70" s="87">
        <f t="shared" si="6"/>
        <v>-22547621.307789683</v>
      </c>
      <c r="F70" s="81">
        <f t="shared" si="5"/>
        <v>-7.6667761238589899E-2</v>
      </c>
      <c r="G70" s="87">
        <f>SUM(LCTCBoard:NwLTCC!G70)</f>
        <v>287803662.00000006</v>
      </c>
      <c r="H70" s="228"/>
    </row>
    <row r="71" spans="1:8" ht="15" customHeight="1" x14ac:dyDescent="0.25">
      <c r="A71" s="75" t="s">
        <v>63</v>
      </c>
      <c r="B71" s="69">
        <f>SUM(LCTCBoard:NwLTCC!B71)</f>
        <v>0</v>
      </c>
      <c r="C71" s="69">
        <f>SUM(LCTCBoard:NwLTCC!C71)</f>
        <v>0</v>
      </c>
      <c r="D71" s="69">
        <f>SUM(LCTCBoard:NwLTCC!D71)</f>
        <v>0</v>
      </c>
      <c r="E71" s="69">
        <f t="shared" si="6"/>
        <v>0</v>
      </c>
      <c r="F71" s="70">
        <f t="shared" si="5"/>
        <v>0</v>
      </c>
      <c r="G71" s="69">
        <f>SUM(LCTCBoard:NwLTCC!G71)</f>
        <v>0</v>
      </c>
      <c r="H71" s="227"/>
    </row>
    <row r="72" spans="1:8" ht="15" customHeight="1" x14ac:dyDescent="0.25">
      <c r="A72" s="75" t="s">
        <v>64</v>
      </c>
      <c r="B72" s="69">
        <f>SUM(LCTCBoard:NwLTCC!B72)</f>
        <v>7215115.8799999999</v>
      </c>
      <c r="C72" s="69">
        <f>SUM(LCTCBoard:NwLTCC!C72)</f>
        <v>7409048</v>
      </c>
      <c r="D72" s="69">
        <f>SUM(LCTCBoard:NwLTCC!D72)</f>
        <v>8674901</v>
      </c>
      <c r="E72" s="69">
        <f t="shared" si="6"/>
        <v>1265853</v>
      </c>
      <c r="F72" s="70">
        <f t="shared" si="5"/>
        <v>0.17085231462935588</v>
      </c>
      <c r="G72" s="69">
        <f>SUM(LCTCBoard:NwLTCC!G72)</f>
        <v>8372827</v>
      </c>
      <c r="H72" s="227"/>
    </row>
    <row r="73" spans="1:8" ht="15" customHeight="1" x14ac:dyDescent="0.25">
      <c r="A73" s="75" t="s">
        <v>65</v>
      </c>
      <c r="B73" s="69">
        <f>SUM(LCTCBoard:NwLTCC!B73)</f>
        <v>751118.98</v>
      </c>
      <c r="C73" s="69">
        <f>SUM(LCTCBoard:NwLTCC!C73)</f>
        <v>825821</v>
      </c>
      <c r="D73" s="69">
        <f>SUM(LCTCBoard:NwLTCC!D73)</f>
        <v>825954</v>
      </c>
      <c r="E73" s="69">
        <f t="shared" si="6"/>
        <v>133</v>
      </c>
      <c r="F73" s="70">
        <f t="shared" si="5"/>
        <v>1.6105185021935746E-4</v>
      </c>
      <c r="G73" s="69">
        <f>SUM(LCTCBoard:NwLTCC!G73)</f>
        <v>825954</v>
      </c>
      <c r="H73" s="227"/>
    </row>
    <row r="74" spans="1:8" ht="15" customHeight="1" x14ac:dyDescent="0.25">
      <c r="A74" s="75" t="s">
        <v>66</v>
      </c>
      <c r="B74" s="69">
        <f>SUM(LCTCBoard:NwLTCC!B74)</f>
        <v>10312717</v>
      </c>
      <c r="C74" s="69">
        <f>SUM(LCTCBoard:NwLTCC!C74)</f>
        <v>10653271</v>
      </c>
      <c r="D74" s="69">
        <f>SUM(LCTCBoard:NwLTCC!D74)</f>
        <v>11316234</v>
      </c>
      <c r="E74" s="69">
        <f t="shared" si="6"/>
        <v>662963</v>
      </c>
      <c r="F74" s="70">
        <f t="shared" si="5"/>
        <v>6.2230933578991843E-2</v>
      </c>
      <c r="G74" s="69">
        <f>SUM(LCTCBoard:NwLTCC!G74)</f>
        <v>11316234</v>
      </c>
      <c r="H74" s="227"/>
    </row>
    <row r="75" spans="1:8" s="124" customFormat="1" ht="15" customHeight="1" x14ac:dyDescent="0.25">
      <c r="A75" s="95" t="s">
        <v>67</v>
      </c>
      <c r="B75" s="87">
        <f>SUM(LCTCBoard:NwLTCC!B75)</f>
        <v>297886174.99000001</v>
      </c>
      <c r="C75" s="87">
        <f>SUM(LCTCBoard:NwLTCC!C75)</f>
        <v>312983349.55778968</v>
      </c>
      <c r="D75" s="87">
        <f>SUM(LCTCBoard:NwLTCC!D75)</f>
        <v>292364677.25000006</v>
      </c>
      <c r="E75" s="87">
        <f t="shared" si="6"/>
        <v>-20618672.307789624</v>
      </c>
      <c r="F75" s="81">
        <f t="shared" si="5"/>
        <v>-6.5877856879356336E-2</v>
      </c>
      <c r="G75" s="87">
        <f>SUM(LCTCBoard:NwLTCC!G75)</f>
        <v>308318677.00000006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f>SUM(LCTCBoard:NwLTCC!B78)</f>
        <v>154365665.86000001</v>
      </c>
      <c r="C78" s="69">
        <f>SUM(LCTCBoard:NwLTCC!C78)</f>
        <v>162441880.27000001</v>
      </c>
      <c r="D78" s="69">
        <f>SUM(LCTCBoard:NwLTCC!D78)</f>
        <v>150433075.20873961</v>
      </c>
      <c r="E78" s="69">
        <f>D78-C78</f>
        <v>-12008805.061260402</v>
      </c>
      <c r="F78" s="70">
        <f t="shared" ref="F78:F96" si="7">IF(ISBLANK(E78),"  ",IF(C78&gt;0,E78/C78,IF(E78&gt;0,1,0)))</f>
        <v>-7.3926779481376173E-2</v>
      </c>
      <c r="G78" s="69">
        <f>SUM(LCTCBoard:NwLTCC!G78)</f>
        <v>162000575</v>
      </c>
      <c r="H78" s="227"/>
    </row>
    <row r="79" spans="1:8" ht="15" customHeight="1" x14ac:dyDescent="0.25">
      <c r="A79" s="75" t="s">
        <v>70</v>
      </c>
      <c r="B79" s="69">
        <f>SUM(LCTCBoard:NwLTCC!B79)</f>
        <v>1331200.2400000002</v>
      </c>
      <c r="C79" s="69">
        <f>SUM(LCTCBoard:NwLTCC!C79)</f>
        <v>1512283</v>
      </c>
      <c r="D79" s="69">
        <f>SUM(LCTCBoard:NwLTCC!D79)</f>
        <v>1336467.24</v>
      </c>
      <c r="E79" s="69">
        <f>D79-C79</f>
        <v>-175815.76</v>
      </c>
      <c r="F79" s="70">
        <f t="shared" si="7"/>
        <v>-0.1162585045259386</v>
      </c>
      <c r="G79" s="69">
        <f>SUM(LCTCBoard:NwLTCC!G79)</f>
        <v>1336467.24</v>
      </c>
      <c r="H79" s="227"/>
    </row>
    <row r="80" spans="1:8" ht="15" customHeight="1" x14ac:dyDescent="0.25">
      <c r="A80" s="75" t="s">
        <v>71</v>
      </c>
      <c r="B80" s="69">
        <f>SUM(LCTCBoard:NwLTCC!B80)</f>
        <v>67208220.510000005</v>
      </c>
      <c r="C80" s="69">
        <f>SUM(LCTCBoard:NwLTCC!C80)</f>
        <v>68983530.687789679</v>
      </c>
      <c r="D80" s="69">
        <f>SUM(LCTCBoard:NwLTCC!D80)</f>
        <v>67379775.461260378</v>
      </c>
      <c r="E80" s="69">
        <f>D80-C80</f>
        <v>-1603755.2265293002</v>
      </c>
      <c r="F80" s="70">
        <f t="shared" si="7"/>
        <v>-2.3248378425100968E-2</v>
      </c>
      <c r="G80" s="69">
        <f>SUM(LCTCBoard:NwLTCC!G80)</f>
        <v>71766275.419999987</v>
      </c>
      <c r="H80" s="227"/>
    </row>
    <row r="81" spans="1:8" s="124" customFormat="1" ht="15" customHeight="1" x14ac:dyDescent="0.25">
      <c r="A81" s="94" t="s">
        <v>72</v>
      </c>
      <c r="B81" s="87">
        <f>SUM(LCTCBoard:NwLTCC!B81)</f>
        <v>222905086.60999998</v>
      </c>
      <c r="C81" s="87">
        <f>SUM(LCTCBoard:NwLTCC!C81)</f>
        <v>232937693.95778969</v>
      </c>
      <c r="D81" s="87">
        <f>SUM(LCTCBoard:NwLTCC!D81)</f>
        <v>219149317.91</v>
      </c>
      <c r="E81" s="69">
        <f t="shared" ref="E81:E95" si="8">D81-C81</f>
        <v>-13788376.047789693</v>
      </c>
      <c r="F81" s="81">
        <f t="shared" si="7"/>
        <v>-5.9193408389662625E-2</v>
      </c>
      <c r="G81" s="87">
        <f>SUM(LCTCBoard:NwLTCC!G81)</f>
        <v>235103317.66</v>
      </c>
      <c r="H81" s="227"/>
    </row>
    <row r="82" spans="1:8" ht="15" customHeight="1" x14ac:dyDescent="0.25">
      <c r="A82" s="75" t="s">
        <v>73</v>
      </c>
      <c r="B82" s="69">
        <f>SUM(LCTCBoard:NwLTCC!B82)</f>
        <v>965440.05000000016</v>
      </c>
      <c r="C82" s="69">
        <f>SUM(LCTCBoard:NwLTCC!C82)</f>
        <v>1430501</v>
      </c>
      <c r="D82" s="69">
        <f>SUM(LCTCBoard:NwLTCC!D82)</f>
        <v>887972.91</v>
      </c>
      <c r="E82" s="69">
        <f t="shared" si="8"/>
        <v>-542528.09</v>
      </c>
      <c r="F82" s="70">
        <f t="shared" si="7"/>
        <v>-0.37925740002977976</v>
      </c>
      <c r="G82" s="69">
        <f>SUM(LCTCBoard:NwLTCC!G82)</f>
        <v>887972.91</v>
      </c>
      <c r="H82" s="227"/>
    </row>
    <row r="83" spans="1:8" ht="15" customHeight="1" x14ac:dyDescent="0.25">
      <c r="A83" s="75" t="s">
        <v>74</v>
      </c>
      <c r="B83" s="69">
        <f>SUM(LCTCBoard:NwLTCC!B83)</f>
        <v>31440072.520000003</v>
      </c>
      <c r="C83" s="69">
        <f>SUM(LCTCBoard:NwLTCC!C83)</f>
        <v>33996124</v>
      </c>
      <c r="D83" s="69">
        <f>SUM(LCTCBoard:NwLTCC!D83)</f>
        <v>32246411.529999997</v>
      </c>
      <c r="E83" s="69">
        <f t="shared" si="8"/>
        <v>-1749712.4700000025</v>
      </c>
      <c r="F83" s="70">
        <f t="shared" si="7"/>
        <v>-5.1467998822454071E-2</v>
      </c>
      <c r="G83" s="69">
        <f>SUM(LCTCBoard:NwLTCC!G83)</f>
        <v>32246411.529999997</v>
      </c>
      <c r="H83" s="227"/>
    </row>
    <row r="84" spans="1:8" ht="15" customHeight="1" x14ac:dyDescent="0.25">
      <c r="A84" s="75" t="s">
        <v>75</v>
      </c>
      <c r="B84" s="69">
        <f>SUM(LCTCBoard:NwLTCC!B84)</f>
        <v>4469305.5199999996</v>
      </c>
      <c r="C84" s="69">
        <f>SUM(LCTCBoard:NwLTCC!C84)</f>
        <v>5408335</v>
      </c>
      <c r="D84" s="69">
        <f>SUM(LCTCBoard:NwLTCC!D84)</f>
        <v>5444569.9100000001</v>
      </c>
      <c r="E84" s="69">
        <f t="shared" si="8"/>
        <v>36234.910000000149</v>
      </c>
      <c r="F84" s="70">
        <f t="shared" si="7"/>
        <v>6.6998272111472657E-3</v>
      </c>
      <c r="G84" s="69">
        <f>SUM(LCTCBoard:NwLTCC!G84)</f>
        <v>5444569.9100000001</v>
      </c>
      <c r="H84" s="227"/>
    </row>
    <row r="85" spans="1:8" s="124" customFormat="1" ht="15" customHeight="1" x14ac:dyDescent="0.25">
      <c r="A85" s="78" t="s">
        <v>76</v>
      </c>
      <c r="B85" s="87">
        <f>SUM(LCTCBoard:NwLTCC!B85)</f>
        <v>36874818.090000004</v>
      </c>
      <c r="C85" s="87">
        <f>SUM(LCTCBoard:NwLTCC!C85)</f>
        <v>40834960</v>
      </c>
      <c r="D85" s="87">
        <f>SUM(LCTCBoard:NwLTCC!D85)</f>
        <v>38578954.350000001</v>
      </c>
      <c r="E85" s="69">
        <f t="shared" si="8"/>
        <v>-2256005.6499999985</v>
      </c>
      <c r="F85" s="81">
        <f t="shared" si="7"/>
        <v>-5.5246917102404376E-2</v>
      </c>
      <c r="G85" s="87">
        <f>SUM(LCTCBoard:NwLTCC!G85)</f>
        <v>38578954.350000001</v>
      </c>
      <c r="H85" s="227"/>
    </row>
    <row r="86" spans="1:8" ht="15" customHeight="1" x14ac:dyDescent="0.25">
      <c r="A86" s="75" t="s">
        <v>77</v>
      </c>
      <c r="B86" s="69">
        <f>SUM(LCTCBoard:NwLTCC!B86)</f>
        <v>4503420.92</v>
      </c>
      <c r="C86" s="69">
        <f>SUM(LCTCBoard:NwLTCC!C86)</f>
        <v>4724780.5999999996</v>
      </c>
      <c r="D86" s="69">
        <f>SUM(LCTCBoard:NwLTCC!D86)</f>
        <v>5860403.9800000004</v>
      </c>
      <c r="E86" s="69">
        <f t="shared" si="8"/>
        <v>1135623.3800000008</v>
      </c>
      <c r="F86" s="70">
        <f t="shared" si="7"/>
        <v>0.2403547330853841</v>
      </c>
      <c r="G86" s="69">
        <f>SUM(LCTCBoard:NwLTCC!G86)</f>
        <v>6162477.9800000004</v>
      </c>
      <c r="H86" s="227"/>
    </row>
    <row r="87" spans="1:8" ht="15" customHeight="1" x14ac:dyDescent="0.25">
      <c r="A87" s="75" t="s">
        <v>78</v>
      </c>
      <c r="B87" s="69">
        <f>SUM(LCTCBoard:NwLTCC!B87)</f>
        <v>15707892.689999999</v>
      </c>
      <c r="C87" s="69">
        <f>SUM(LCTCBoard:NwLTCC!C87)</f>
        <v>18133264</v>
      </c>
      <c r="D87" s="69">
        <f>SUM(LCTCBoard:NwLTCC!D87)</f>
        <v>12853472.960000001</v>
      </c>
      <c r="E87" s="69">
        <f t="shared" si="8"/>
        <v>-5279791.0399999991</v>
      </c>
      <c r="F87" s="70">
        <f t="shared" si="7"/>
        <v>-0.29116606034081888</v>
      </c>
      <c r="G87" s="69">
        <f>SUM(LCTCBoard:NwLTCC!G87)</f>
        <v>12853472.960000001</v>
      </c>
      <c r="H87" s="227"/>
    </row>
    <row r="88" spans="1:8" ht="15" customHeight="1" x14ac:dyDescent="0.25">
      <c r="A88" s="75" t="s">
        <v>79</v>
      </c>
      <c r="B88" s="69">
        <f>SUM(LCTCBoard:NwLTCC!B88)</f>
        <v>0</v>
      </c>
      <c r="C88" s="69">
        <f>SUM(LCTCBoard:NwLTCC!C88)</f>
        <v>0</v>
      </c>
      <c r="D88" s="69">
        <f>SUM(LCTCBoard:NwLTCC!D88)</f>
        <v>0</v>
      </c>
      <c r="E88" s="69">
        <f t="shared" si="8"/>
        <v>0</v>
      </c>
      <c r="F88" s="70">
        <f t="shared" si="7"/>
        <v>0</v>
      </c>
      <c r="G88" s="69">
        <f>SUM(LCTCBoard:NwLTCC!G88)</f>
        <v>0</v>
      </c>
      <c r="H88" s="227"/>
    </row>
    <row r="89" spans="1:8" ht="15" customHeight="1" x14ac:dyDescent="0.25">
      <c r="A89" s="75" t="s">
        <v>80</v>
      </c>
      <c r="B89" s="69">
        <f>SUM(LCTCBoard:NwLTCC!B89)</f>
        <v>11252958.879999999</v>
      </c>
      <c r="C89" s="69">
        <f>SUM(LCTCBoard:NwLTCC!C89)</f>
        <v>11717285</v>
      </c>
      <c r="D89" s="69">
        <f>SUM(LCTCBoard:NwLTCC!D89)</f>
        <v>12751992.6</v>
      </c>
      <c r="E89" s="69">
        <f t="shared" si="8"/>
        <v>1034707.5999999996</v>
      </c>
      <c r="F89" s="70">
        <f t="shared" si="7"/>
        <v>8.8306087971744274E-2</v>
      </c>
      <c r="G89" s="69">
        <f>SUM(LCTCBoard:NwLTCC!G89)</f>
        <v>12449918.6</v>
      </c>
      <c r="H89" s="227"/>
    </row>
    <row r="90" spans="1:8" s="124" customFormat="1" ht="15" customHeight="1" x14ac:dyDescent="0.25">
      <c r="A90" s="78" t="s">
        <v>81</v>
      </c>
      <c r="B90" s="87">
        <f>SUM(LCTCBoard:NwLTCC!B90)</f>
        <v>31464272.490000002</v>
      </c>
      <c r="C90" s="87">
        <f>SUM(LCTCBoard:NwLTCC!C90)</f>
        <v>34575329.600000001</v>
      </c>
      <c r="D90" s="87">
        <f>SUM(LCTCBoard:NwLTCC!D90)</f>
        <v>31465869.539999999</v>
      </c>
      <c r="E90" s="69">
        <f t="shared" si="8"/>
        <v>-3109460.0600000024</v>
      </c>
      <c r="F90" s="81">
        <f t="shared" si="7"/>
        <v>-8.9932911586763364E-2</v>
      </c>
      <c r="G90" s="87">
        <f>SUM(LCTCBoard:NwLTCC!G90)</f>
        <v>31465869.539999999</v>
      </c>
      <c r="H90" s="227"/>
    </row>
    <row r="91" spans="1:8" ht="15" customHeight="1" x14ac:dyDescent="0.25">
      <c r="A91" s="75" t="s">
        <v>82</v>
      </c>
      <c r="B91" s="69">
        <f>SUM(LCTCBoard:NwLTCC!B91)</f>
        <v>4261357.18</v>
      </c>
      <c r="C91" s="69">
        <f>SUM(LCTCBoard:NwLTCC!C91)</f>
        <v>4280160</v>
      </c>
      <c r="D91" s="69">
        <f>SUM(LCTCBoard:NwLTCC!D91)</f>
        <v>1760014.45</v>
      </c>
      <c r="E91" s="69">
        <f t="shared" si="8"/>
        <v>-2520145.5499999998</v>
      </c>
      <c r="F91" s="70">
        <f t="shared" si="7"/>
        <v>-0.58879704263392019</v>
      </c>
      <c r="G91" s="69">
        <f>SUM(LCTCBoard:NwLTCC!G91)</f>
        <v>1760014.45</v>
      </c>
      <c r="H91" s="227"/>
    </row>
    <row r="92" spans="1:8" ht="15" customHeight="1" x14ac:dyDescent="0.25">
      <c r="A92" s="75" t="s">
        <v>83</v>
      </c>
      <c r="B92" s="69">
        <f>SUM(LCTCBoard:NwLTCC!B92)</f>
        <v>214289.02</v>
      </c>
      <c r="C92" s="69">
        <f>SUM(LCTCBoard:NwLTCC!C92)</f>
        <v>267206</v>
      </c>
      <c r="D92" s="69">
        <f>SUM(LCTCBoard:NwLTCC!D92)</f>
        <v>217839</v>
      </c>
      <c r="E92" s="69">
        <f t="shared" si="8"/>
        <v>-49367</v>
      </c>
      <c r="F92" s="70">
        <f t="shared" si="7"/>
        <v>-0.18475258789099047</v>
      </c>
      <c r="G92" s="69">
        <f>SUM(LCTCBoard:NwLTCC!G92)</f>
        <v>217839</v>
      </c>
      <c r="H92" s="227"/>
    </row>
    <row r="93" spans="1:8" ht="15" customHeight="1" x14ac:dyDescent="0.25">
      <c r="A93" s="83" t="s">
        <v>84</v>
      </c>
      <c r="B93" s="69">
        <f>SUM(LCTCBoard:NwLTCC!B93)</f>
        <v>2166350</v>
      </c>
      <c r="C93" s="69">
        <f>SUM(LCTCBoard:NwLTCC!C93)</f>
        <v>88000</v>
      </c>
      <c r="D93" s="69">
        <f>SUM(LCTCBoard:NwLTCC!D93)</f>
        <v>88000</v>
      </c>
      <c r="E93" s="69">
        <f t="shared" si="8"/>
        <v>0</v>
      </c>
      <c r="F93" s="70">
        <f t="shared" si="7"/>
        <v>0</v>
      </c>
      <c r="G93" s="69">
        <f>SUM(LCTCBoard:NwLTCC!G93)</f>
        <v>88000</v>
      </c>
      <c r="H93" s="227"/>
    </row>
    <row r="94" spans="1:8" s="124" customFormat="1" ht="15" customHeight="1" x14ac:dyDescent="0.25">
      <c r="A94" s="97" t="s">
        <v>85</v>
      </c>
      <c r="B94" s="87">
        <f>SUM(LCTCBoard:NwLTCC!B94)</f>
        <v>6641996.2000000002</v>
      </c>
      <c r="C94" s="87">
        <f>SUM(LCTCBoard:NwLTCC!C94)</f>
        <v>4635366</v>
      </c>
      <c r="D94" s="87">
        <f>SUM(LCTCBoard:NwLTCC!D94)</f>
        <v>2065853.45</v>
      </c>
      <c r="E94" s="69">
        <f t="shared" si="8"/>
        <v>-2569512.5499999998</v>
      </c>
      <c r="F94" s="81">
        <f t="shared" si="7"/>
        <v>-0.55432786752977004</v>
      </c>
      <c r="G94" s="87">
        <f>SUM(LCTCBoard:NwLTCC!G94)</f>
        <v>2065853.45</v>
      </c>
      <c r="H94" s="227"/>
    </row>
    <row r="95" spans="1:8" ht="15" customHeight="1" x14ac:dyDescent="0.25">
      <c r="A95" s="83" t="s">
        <v>86</v>
      </c>
      <c r="B95" s="69">
        <f>SUM(LCTCBoard:NwLTCC!B95)</f>
        <v>0</v>
      </c>
      <c r="C95" s="69">
        <f>SUM(LCTCBoard:NwLTCC!C95)</f>
        <v>0</v>
      </c>
      <c r="D95" s="69">
        <f>SUM(LCTCBoard:NwLTCC!D95)</f>
        <v>1104682</v>
      </c>
      <c r="E95" s="69">
        <f t="shared" si="8"/>
        <v>1104682</v>
      </c>
      <c r="F95" s="70">
        <f t="shared" si="7"/>
        <v>1</v>
      </c>
      <c r="G95" s="69">
        <f>SUM(LCTCBoard:NwLTCC!G95)</f>
        <v>1104682</v>
      </c>
      <c r="H95" s="227"/>
    </row>
    <row r="96" spans="1:8" s="124" customFormat="1" ht="15" customHeight="1" thickBot="1" x14ac:dyDescent="0.3">
      <c r="A96" s="195" t="s">
        <v>67</v>
      </c>
      <c r="B96" s="196">
        <f>SUM(LCTCBoard:NwLTCC!B96)+1</f>
        <v>297886175.38999999</v>
      </c>
      <c r="C96" s="196">
        <f>SUM(LCTCBoard:NwLTCC!C96)</f>
        <v>312983349.55778968</v>
      </c>
      <c r="D96" s="196">
        <f>SUM(LCTCBoard:NwLTCC!D96)</f>
        <v>292364677.25</v>
      </c>
      <c r="E96" s="197">
        <f>D96-C96</f>
        <v>-20618672.307789683</v>
      </c>
      <c r="F96" s="198">
        <f t="shared" si="7"/>
        <v>-6.5877856879356531E-2</v>
      </c>
      <c r="G96" s="196">
        <f>SUM(LCTCBoard:NwLTCC!G96)</f>
        <v>308318677</v>
      </c>
      <c r="H96" s="227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" t="s">
        <v>197</v>
      </c>
    </row>
    <row r="99" spans="1:9" x14ac:dyDescent="0.25">
      <c r="A99" s="1" t="s">
        <v>190</v>
      </c>
    </row>
  </sheetData>
  <mergeCells count="1">
    <mergeCell ref="G2:G3"/>
  </mergeCells>
  <hyperlinks>
    <hyperlink ref="I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0" sqref="B30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3.7109375" style="12" customWidth="1"/>
    <col min="5" max="5" width="23.7109375" style="2" customWidth="1"/>
    <col min="6" max="6" width="23.7109375" style="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5"/>
      <c r="D1" s="32" t="s">
        <v>1</v>
      </c>
      <c r="E1" s="29" t="s">
        <v>94</v>
      </c>
      <c r="F1" s="40"/>
    </row>
    <row r="2" spans="1:9" ht="19.5" customHeight="1" thickBot="1" x14ac:dyDescent="0.35">
      <c r="A2" s="30" t="s">
        <v>2</v>
      </c>
      <c r="B2" s="31"/>
      <c r="C2" s="36"/>
      <c r="D2" s="36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221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ULSummary!B8-ULBoard!B8+LSU!B8+LSUA!B8+LSUS!B8+SUBR!B8+SUNO!B8</f>
        <v>381585757.5</v>
      </c>
      <c r="C8" s="69">
        <f>ULSummary!C8-ULBoard!C8+LSU!C8+LSUA!C8+LSUS!C8+SUBR!C8+SUNO!C8</f>
        <v>381585757</v>
      </c>
      <c r="D8" s="69">
        <f>ULSummary!D8-ULBoard!D8+LSU!D8+LSUA!D8+LSUS!D8+SUBR!D8+SUNO!D8</f>
        <v>312454745.83000004</v>
      </c>
      <c r="E8" s="69">
        <f>D8-C8</f>
        <v>-69131011.169999957</v>
      </c>
      <c r="F8" s="70">
        <f t="shared" ref="F8:F31" si="0">IF(ISBLANK(E8),"  ",IF(C8&gt;0,E8/C8,IF(E8&gt;0,1,0)))</f>
        <v>-0.18116769271867755</v>
      </c>
      <c r="G8" s="69">
        <f>ULSummary!G8-ULBoard!G8+LSU!G8+LSUA!G8+LSUS!G8+SUBR!G8+SUNO!G8</f>
        <v>312454745.83000004</v>
      </c>
      <c r="H8" s="227"/>
    </row>
    <row r="9" spans="1:9" ht="15" customHeight="1" x14ac:dyDescent="0.25">
      <c r="A9" s="68" t="s">
        <v>13</v>
      </c>
      <c r="B9" s="69">
        <f>ULSummary!B9-ULBoard!B9+LSU!B9+LSUA!B9+LSUS!B9+SUBR!B9+SUNO!B9</f>
        <v>0</v>
      </c>
      <c r="C9" s="69">
        <f>ULSummary!C9-ULBoard!C9+LSU!C9+LSUA!C9+LSUS!C9+SUBR!C9+SUNO!C9</f>
        <v>0</v>
      </c>
      <c r="D9" s="69">
        <f>ULSummary!D9-ULBoard!D9+LSU!D9+LSUA!D9+LSUS!D9+SUBR!D9+SUNO!D9</f>
        <v>0</v>
      </c>
      <c r="E9" s="69">
        <f>D9-C9</f>
        <v>0</v>
      </c>
      <c r="F9" s="70">
        <f t="shared" si="0"/>
        <v>0</v>
      </c>
      <c r="G9" s="69">
        <f>ULSummary!G9-ULBoard!G9+LSU!G9+LSUA!G9+LSUS!G9+SUBR!G9+SUNO!G9</f>
        <v>0</v>
      </c>
      <c r="H9" s="227"/>
    </row>
    <row r="10" spans="1:9" ht="15" customHeight="1" x14ac:dyDescent="0.25">
      <c r="A10" s="71" t="s">
        <v>14</v>
      </c>
      <c r="B10" s="69">
        <f>ULSummary!B10-ULBoard!B10+LSU!B10+LSUA!B10+LSUS!B10+SUBR!B10+SUNO!B10</f>
        <v>29725271.439999998</v>
      </c>
      <c r="C10" s="69">
        <f>ULSummary!C10-ULBoard!C10+LSU!C10+LSUA!C10+LSUS!C10+SUBR!C10+SUNO!C10</f>
        <v>34236553</v>
      </c>
      <c r="D10" s="69">
        <f>ULSummary!D10-ULBoard!D10+LSU!D10+LSUA!D10+LSUS!D10+SUBR!D10+SUNO!D10</f>
        <v>30220082</v>
      </c>
      <c r="E10" s="69">
        <f t="shared" ref="E10:E31" si="1">D10-C10</f>
        <v>-4016471</v>
      </c>
      <c r="F10" s="70">
        <f t="shared" si="0"/>
        <v>-0.11731528579994605</v>
      </c>
      <c r="G10" s="69">
        <f>ULSummary!G10-ULBoard!G10+LSU!G10+LSUA!G10+LSUS!G10+SUBR!G10+SUNO!G10</f>
        <v>30220082</v>
      </c>
      <c r="H10" s="227"/>
    </row>
    <row r="11" spans="1:9" ht="15" customHeight="1" x14ac:dyDescent="0.25">
      <c r="A11" s="73" t="s">
        <v>15</v>
      </c>
      <c r="B11" s="69">
        <f>ULSummary!B11-ULBoard!B11+LSU!B11+LSUA!B11+LSUS!B11+SUBR!B11+SUNO!B11</f>
        <v>0</v>
      </c>
      <c r="C11" s="69">
        <f>ULSummary!C11-ULBoard!C11+LSU!C11+LSUA!C11+LSUS!C11+SUBR!C11+SUNO!C11</f>
        <v>0</v>
      </c>
      <c r="D11" s="69">
        <f>ULSummary!D11-ULBoard!D11+LSU!D11+LSUA!D11+LSUS!D11+SUBR!D11+SUNO!D11</f>
        <v>0</v>
      </c>
      <c r="E11" s="69">
        <f t="shared" si="1"/>
        <v>0</v>
      </c>
      <c r="F11" s="70">
        <f t="shared" si="0"/>
        <v>0</v>
      </c>
      <c r="G11" s="69">
        <f>ULSummary!G11-ULBoard!G11+LSU!G11+LSUA!G11+LSUS!G11+SUBR!G11+SUNO!G11</f>
        <v>0</v>
      </c>
      <c r="H11" s="227"/>
    </row>
    <row r="12" spans="1:9" ht="15" customHeight="1" x14ac:dyDescent="0.25">
      <c r="A12" s="75" t="s">
        <v>16</v>
      </c>
      <c r="B12" s="69">
        <f>ULSummary!B12-ULBoard!B12+LSU!B12+LSUA!B12+LSUS!B12+SUBR!B12+SUNO!B12</f>
        <v>23353023.710000001</v>
      </c>
      <c r="C12" s="69">
        <f>ULSummary!C12-ULBoard!C12+LSU!C12+LSUA!C12+LSUS!C12+SUBR!C12+SUNO!C12</f>
        <v>27750412</v>
      </c>
      <c r="D12" s="69">
        <f>ULSummary!D12-ULBoard!D12+LSU!D12+LSUA!D12+LSUS!D12+SUBR!D12+SUNO!D12</f>
        <v>23781161</v>
      </c>
      <c r="E12" s="69">
        <f t="shared" si="1"/>
        <v>-3969251</v>
      </c>
      <c r="F12" s="70">
        <f t="shared" si="0"/>
        <v>-0.14303394846894527</v>
      </c>
      <c r="G12" s="69">
        <f>ULSummary!G12-ULBoard!G12+LSU!G12+LSUA!G12+LSUS!G12+SUBR!G12+SUNO!G12</f>
        <v>23781161</v>
      </c>
      <c r="H12" s="227"/>
    </row>
    <row r="13" spans="1:9" ht="15" customHeight="1" x14ac:dyDescent="0.25">
      <c r="A13" s="75" t="s">
        <v>17</v>
      </c>
      <c r="B13" s="69">
        <f>ULSummary!B13-ULBoard!B13+LSU!B13+LSUA!B13+LSUS!B13+SUBR!B13+SUNO!B13</f>
        <v>0</v>
      </c>
      <c r="C13" s="69">
        <f>ULSummary!C13-ULBoard!C13+LSU!C13+LSUA!C13+LSUS!C13+SUBR!C13+SUNO!C13</f>
        <v>0</v>
      </c>
      <c r="D13" s="69">
        <f>ULSummary!D13-ULBoard!D13+LSU!D13+LSUA!D13+LSUS!D13+SUBR!D13+SUNO!D13</f>
        <v>0</v>
      </c>
      <c r="E13" s="69">
        <f t="shared" si="1"/>
        <v>0</v>
      </c>
      <c r="F13" s="70">
        <f t="shared" si="0"/>
        <v>0</v>
      </c>
      <c r="G13" s="69">
        <f>ULSummary!G13-ULBoard!G13+LSU!G13+LSUA!G13+LSUS!G13+SUBR!G13+SUNO!G13</f>
        <v>0</v>
      </c>
      <c r="H13" s="227"/>
    </row>
    <row r="14" spans="1:9" ht="15" customHeight="1" x14ac:dyDescent="0.25">
      <c r="A14" s="75" t="s">
        <v>18</v>
      </c>
      <c r="B14" s="69">
        <f>ULSummary!B14-ULBoard!B14+LSU!B14+LSUA!B14+LSUS!B14+SUBR!B14+SUNO!B14</f>
        <v>428916.25999999995</v>
      </c>
      <c r="C14" s="69">
        <f>ULSummary!C14-ULBoard!C14+LSU!C14+LSUA!C14+LSUS!C14+SUBR!C14+SUNO!C14</f>
        <v>491870</v>
      </c>
      <c r="D14" s="69">
        <f>ULSummary!D14-ULBoard!D14+LSU!D14+LSUA!D14+LSUS!D14+SUBR!D14+SUNO!D14</f>
        <v>236138</v>
      </c>
      <c r="E14" s="69">
        <f t="shared" si="1"/>
        <v>-255732</v>
      </c>
      <c r="F14" s="70">
        <f t="shared" si="0"/>
        <v>-0.51991786447638599</v>
      </c>
      <c r="G14" s="69">
        <f>ULSummary!G14-ULBoard!G14+LSU!G14+LSUA!G14+LSUS!G14+SUBR!G14+SUNO!G14</f>
        <v>236138</v>
      </c>
      <c r="H14" s="227"/>
    </row>
    <row r="15" spans="1:9" ht="15" customHeight="1" x14ac:dyDescent="0.25">
      <c r="A15" s="75" t="s">
        <v>19</v>
      </c>
      <c r="B15" s="69">
        <f>ULSummary!B15-ULBoard!B15+LSU!B15+LSUA!B15+LSUS!B15+SUBR!B15+SUNO!B15</f>
        <v>1591874</v>
      </c>
      <c r="C15" s="69">
        <f>ULSummary!C15-ULBoard!C15+LSU!C15+LSUA!C15+LSUS!C15+SUBR!C15+SUNO!C15</f>
        <v>1591874</v>
      </c>
      <c r="D15" s="69">
        <f>ULSummary!D15-ULBoard!D15+LSU!D15+LSUA!D15+LSUS!D15+SUBR!D15+SUNO!D15</f>
        <v>1634127</v>
      </c>
      <c r="E15" s="69">
        <f t="shared" si="1"/>
        <v>42253</v>
      </c>
      <c r="F15" s="70">
        <f t="shared" si="0"/>
        <v>2.6542929905256321E-2</v>
      </c>
      <c r="G15" s="69">
        <f>ULSummary!G15-ULBoard!G15+LSU!G15+LSUA!G15+LSUS!G15+SUBR!G15+SUNO!G15</f>
        <v>1634127</v>
      </c>
      <c r="H15" s="227"/>
    </row>
    <row r="16" spans="1:9" ht="15" customHeight="1" x14ac:dyDescent="0.25">
      <c r="A16" s="75" t="s">
        <v>20</v>
      </c>
      <c r="B16" s="69">
        <f>ULSummary!B16-ULBoard!B16+LSU!B16+LSUA!B16+LSUS!B16+SUBR!B16+SUNO!B16</f>
        <v>50000</v>
      </c>
      <c r="C16" s="69">
        <f>ULSummary!C16-ULBoard!C16+LSU!C16+LSUA!C16+LSUS!C16+SUBR!C16+SUNO!C16</f>
        <v>50000</v>
      </c>
      <c r="D16" s="69">
        <f>ULSummary!D16-ULBoard!D16+LSU!D16+LSUA!D16+LSUS!D16+SUBR!D16+SUNO!D16</f>
        <v>50000</v>
      </c>
      <c r="E16" s="69">
        <f t="shared" si="1"/>
        <v>0</v>
      </c>
      <c r="F16" s="70">
        <f t="shared" si="0"/>
        <v>0</v>
      </c>
      <c r="G16" s="69">
        <f>ULSummary!G16-ULBoard!G16+LSU!G16+LSUA!G16+LSUS!G16+SUBR!G16+SUNO!G16</f>
        <v>50000</v>
      </c>
      <c r="H16" s="227"/>
    </row>
    <row r="17" spans="1:8" ht="15" customHeight="1" x14ac:dyDescent="0.25">
      <c r="A17" s="75" t="s">
        <v>21</v>
      </c>
      <c r="B17" s="69">
        <f>ULSummary!B17-ULBoard!B17+LSU!B17+LSUA!B17+LSUS!B17+SUBR!B17+SUNO!B17</f>
        <v>0</v>
      </c>
      <c r="C17" s="69">
        <f>ULSummary!C17-ULBoard!C17+LSU!C17+LSUA!C17+LSUS!C17+SUBR!C17+SUNO!C17</f>
        <v>0</v>
      </c>
      <c r="D17" s="69">
        <f>ULSummary!D17-ULBoard!D17+LSU!D17+LSUA!D17+LSUS!D17+SUBR!D17+SUNO!D17</f>
        <v>0</v>
      </c>
      <c r="E17" s="69">
        <f t="shared" si="1"/>
        <v>0</v>
      </c>
      <c r="F17" s="70">
        <f t="shared" si="0"/>
        <v>0</v>
      </c>
      <c r="G17" s="69">
        <f>ULSummary!G17-ULBoard!G17+LSU!G17+LSUA!G17+LSUS!G17+SUBR!G17+SUNO!G17</f>
        <v>0</v>
      </c>
      <c r="H17" s="227"/>
    </row>
    <row r="18" spans="1:8" ht="15" customHeight="1" x14ac:dyDescent="0.25">
      <c r="A18" s="75" t="s">
        <v>22</v>
      </c>
      <c r="B18" s="69">
        <f>ULSummary!B18-ULBoard!B18+LSU!B18+LSUA!B18+LSUS!B18+SUBR!B18+SUNO!B18</f>
        <v>750000</v>
      </c>
      <c r="C18" s="69">
        <f>ULSummary!C18-ULBoard!C18+LSU!C18+LSUA!C18+LSUS!C18+SUBR!C18+SUNO!C18</f>
        <v>750000</v>
      </c>
      <c r="D18" s="69">
        <f>ULSummary!D18-ULBoard!D18+LSU!D18+LSUA!D18+LSUS!D18+SUBR!D18+SUNO!D18</f>
        <v>750000</v>
      </c>
      <c r="E18" s="69">
        <f t="shared" si="1"/>
        <v>0</v>
      </c>
      <c r="F18" s="70">
        <f t="shared" si="0"/>
        <v>0</v>
      </c>
      <c r="G18" s="69">
        <f>ULSummary!G18-ULBoard!G18+LSU!G18+LSUA!G18+LSUS!G18+SUBR!G18+SUNO!G18</f>
        <v>750000</v>
      </c>
      <c r="H18" s="227"/>
    </row>
    <row r="19" spans="1:8" ht="15" customHeight="1" x14ac:dyDescent="0.25">
      <c r="A19" s="75" t="s">
        <v>23</v>
      </c>
      <c r="B19" s="69">
        <f>ULSummary!B19-ULBoard!B19+LSU!B19+LSUA!B19+LSUS!B19+SUBR!B19+SUNO!B19</f>
        <v>3332132.64</v>
      </c>
      <c r="C19" s="69">
        <f>ULSummary!C19-ULBoard!C19+LSU!C19+LSUA!C19+LSUS!C19+SUBR!C19+SUNO!C19</f>
        <v>3357261</v>
      </c>
      <c r="D19" s="69">
        <f>ULSummary!D19-ULBoard!D19+LSU!D19+LSUA!D19+LSUS!D19+SUBR!D19+SUNO!D19</f>
        <v>3533359</v>
      </c>
      <c r="E19" s="69">
        <f t="shared" si="1"/>
        <v>176098</v>
      </c>
      <c r="F19" s="70">
        <f t="shared" si="0"/>
        <v>5.2452877509374454E-2</v>
      </c>
      <c r="G19" s="69">
        <f>ULSummary!G19-ULBoard!G19+LSU!G19+LSUA!G19+LSUS!G19+SUBR!G19+SUNO!G19</f>
        <v>3533359</v>
      </c>
      <c r="H19" s="227"/>
    </row>
    <row r="20" spans="1:8" ht="15" customHeight="1" x14ac:dyDescent="0.25">
      <c r="A20" s="75" t="s">
        <v>24</v>
      </c>
      <c r="B20" s="69">
        <f>ULSummary!B20-ULBoard!B20+LSU!B20+LSUA!B20+LSUS!B20+SUBR!B20+SUNO!B20</f>
        <v>210000</v>
      </c>
      <c r="C20" s="69">
        <f>ULSummary!C20-ULBoard!C20+LSU!C20+LSUA!C20+LSUS!C20+SUBR!C20+SUNO!C20</f>
        <v>210000</v>
      </c>
      <c r="D20" s="69">
        <f>ULSummary!D20-ULBoard!D20+LSU!D20+LSUA!D20+LSUS!D20+SUBR!D20+SUNO!D20</f>
        <v>210000</v>
      </c>
      <c r="E20" s="69">
        <f t="shared" si="1"/>
        <v>0</v>
      </c>
      <c r="F20" s="70">
        <f t="shared" si="0"/>
        <v>0</v>
      </c>
      <c r="G20" s="69">
        <f>ULSummary!G20-ULBoard!G20+LSU!G20+LSUA!G20+LSUS!G20+SUBR!G20+SUNO!G20</f>
        <v>210000</v>
      </c>
      <c r="H20" s="227"/>
    </row>
    <row r="21" spans="1:8" ht="15" customHeight="1" x14ac:dyDescent="0.25">
      <c r="A21" s="75" t="s">
        <v>25</v>
      </c>
      <c r="B21" s="69">
        <f>ULSummary!B21-ULBoard!B21+LSU!B21+LSUA!B21+LSUS!B21+SUBR!B21+SUNO!B21</f>
        <v>0</v>
      </c>
      <c r="C21" s="69">
        <f>ULSummary!C21-ULBoard!C21+LSU!C21+LSUA!C21+LSUS!C21+SUBR!C21+SUNO!C21</f>
        <v>0</v>
      </c>
      <c r="D21" s="69">
        <f>ULSummary!D21-ULBoard!D21+LSU!D21+LSUA!D21+LSUS!D21+SUBR!D21+SUNO!D21</f>
        <v>0</v>
      </c>
      <c r="E21" s="69">
        <f t="shared" si="1"/>
        <v>0</v>
      </c>
      <c r="F21" s="70">
        <f t="shared" si="0"/>
        <v>0</v>
      </c>
      <c r="G21" s="69">
        <f>ULSummary!G21-ULBoard!G21+LSU!G21+LSUA!G21+LSUS!G21+SUBR!G21+SUNO!G21</f>
        <v>0</v>
      </c>
      <c r="H21" s="227"/>
    </row>
    <row r="22" spans="1:8" ht="15" customHeight="1" x14ac:dyDescent="0.25">
      <c r="A22" s="75" t="s">
        <v>26</v>
      </c>
      <c r="B22" s="69">
        <f>ULSummary!B22-ULBoard!B22+LSU!B22+LSUA!B22+LSUS!B22+SUBR!B22+SUNO!B22</f>
        <v>0</v>
      </c>
      <c r="C22" s="69">
        <f>ULSummary!C22-ULBoard!C22+LSU!C22+LSUA!C22+LSUS!C22+SUBR!C22+SUNO!C22</f>
        <v>0</v>
      </c>
      <c r="D22" s="69">
        <f>ULSummary!D22-ULBoard!D22+LSU!D22+LSUA!D22+LSUS!D22+SUBR!D22+SUNO!D22</f>
        <v>0</v>
      </c>
      <c r="E22" s="69">
        <f t="shared" si="1"/>
        <v>0</v>
      </c>
      <c r="F22" s="70">
        <f t="shared" si="0"/>
        <v>0</v>
      </c>
      <c r="G22" s="69">
        <f>ULSummary!G22-ULBoard!G22+LSU!G22+LSUA!G22+LSUS!G22+SUBR!G22+SUNO!G22</f>
        <v>0</v>
      </c>
      <c r="H22" s="227"/>
    </row>
    <row r="23" spans="1:8" ht="15" customHeight="1" x14ac:dyDescent="0.25">
      <c r="A23" s="76" t="s">
        <v>27</v>
      </c>
      <c r="B23" s="69">
        <f>ULSummary!B23-ULBoard!B23+LSU!B23+LSUA!B23+LSUS!B23+SUBR!B23+SUNO!B23</f>
        <v>0</v>
      </c>
      <c r="C23" s="69">
        <f>ULSummary!C23-ULBoard!C23+LSU!C23+LSUA!C23+LSUS!C23+SUBR!C23+SUNO!C23</f>
        <v>0</v>
      </c>
      <c r="D23" s="69">
        <f>ULSummary!D23-ULBoard!D23+LSU!D23+LSUA!D23+LSUS!D23+SUBR!D23+SUNO!D23</f>
        <v>0</v>
      </c>
      <c r="E23" s="69">
        <f t="shared" si="1"/>
        <v>0</v>
      </c>
      <c r="F23" s="70">
        <f t="shared" si="0"/>
        <v>0</v>
      </c>
      <c r="G23" s="69">
        <f>ULSummary!G23-ULBoard!G23+LSU!G23+LSUA!G23+LSUS!G23+SUBR!G23+SUNO!G23</f>
        <v>0</v>
      </c>
      <c r="H23" s="227"/>
    </row>
    <row r="24" spans="1:8" ht="15" customHeight="1" x14ac:dyDescent="0.25">
      <c r="A24" s="76" t="s">
        <v>28</v>
      </c>
      <c r="B24" s="69">
        <f>ULSummary!B24-ULBoard!B24+LSU!B24+LSUA!B24+LSUS!B24+SUBR!B24+SUNO!B24</f>
        <v>0</v>
      </c>
      <c r="C24" s="69">
        <f>ULSummary!C24-ULBoard!C24+LSU!C24+LSUA!C24+LSUS!C24+SUBR!C24+SUNO!C24</f>
        <v>0</v>
      </c>
      <c r="D24" s="69">
        <f>ULSummary!D24-ULBoard!D24+LSU!D24+LSUA!D24+LSUS!D24+SUBR!D24+SUNO!D24</f>
        <v>0</v>
      </c>
      <c r="E24" s="69">
        <f t="shared" si="1"/>
        <v>0</v>
      </c>
      <c r="F24" s="70">
        <f t="shared" si="0"/>
        <v>0</v>
      </c>
      <c r="G24" s="69">
        <f>ULSummary!G24-ULBoard!G24+LSU!G24+LSUA!G24+LSUS!G24+SUBR!G24+SUNO!G24</f>
        <v>0</v>
      </c>
      <c r="H24" s="227"/>
    </row>
    <row r="25" spans="1:8" ht="15" customHeight="1" x14ac:dyDescent="0.25">
      <c r="A25" s="76" t="s">
        <v>29</v>
      </c>
      <c r="B25" s="69">
        <f>ULSummary!B25-ULBoard!B25+LSU!B25+LSUA!B25+LSUS!B25+SUBR!B25+SUNO!B25</f>
        <v>0</v>
      </c>
      <c r="C25" s="69">
        <f>ULSummary!C25-ULBoard!C25+LSU!C25+LSUA!C25+LSUS!C25+SUBR!C25+SUNO!C25</f>
        <v>0</v>
      </c>
      <c r="D25" s="69">
        <f>ULSummary!D25-ULBoard!D25+LSU!D25+LSUA!D25+LSUS!D25+SUBR!D25+SUNO!D25</f>
        <v>0</v>
      </c>
      <c r="E25" s="69">
        <f t="shared" si="1"/>
        <v>0</v>
      </c>
      <c r="F25" s="70">
        <f t="shared" si="0"/>
        <v>0</v>
      </c>
      <c r="G25" s="69">
        <f>ULSummary!G25-ULBoard!G25+LSU!G25+LSUA!G25+LSUS!G25+SUBR!G25+SUNO!G25</f>
        <v>0</v>
      </c>
      <c r="H25" s="227"/>
    </row>
    <row r="26" spans="1:8" ht="15" customHeight="1" x14ac:dyDescent="0.25">
      <c r="A26" s="76" t="s">
        <v>30</v>
      </c>
      <c r="B26" s="69">
        <f>ULSummary!B26-ULBoard!B26+LSU!B26+LSUA!B26+LSUS!B26+SUBR!B26+SUNO!B26</f>
        <v>0</v>
      </c>
      <c r="C26" s="69">
        <f>ULSummary!C26-ULBoard!C26+LSU!C26+LSUA!C26+LSUS!C26+SUBR!C26+SUNO!C26</f>
        <v>0</v>
      </c>
      <c r="D26" s="69">
        <f>ULSummary!D26-ULBoard!D26+LSU!D26+LSUA!D26+LSUS!D26+SUBR!D26+SUNO!D26</f>
        <v>0</v>
      </c>
      <c r="E26" s="69">
        <f t="shared" si="1"/>
        <v>0</v>
      </c>
      <c r="F26" s="70">
        <f t="shared" si="0"/>
        <v>0</v>
      </c>
      <c r="G26" s="69">
        <f>ULSummary!G26-ULBoard!G26+LSU!G26+LSUA!G26+LSUS!G26+SUBR!G26+SUNO!G26</f>
        <v>0</v>
      </c>
      <c r="H26" s="227"/>
    </row>
    <row r="27" spans="1:8" ht="15" customHeight="1" x14ac:dyDescent="0.25">
      <c r="A27" s="76" t="s">
        <v>31</v>
      </c>
      <c r="B27" s="69">
        <f>ULSummary!B27-ULBoard!B27+LSU!B27+LSUA!B27+LSUS!B27+SUBR!B27+SUNO!B27</f>
        <v>0</v>
      </c>
      <c r="C27" s="69">
        <f>ULSummary!C27-ULBoard!C27+LSU!C27+LSUA!C27+LSUS!C27+SUBR!C27+SUNO!C27</f>
        <v>0</v>
      </c>
      <c r="D27" s="69">
        <f>ULSummary!D27-ULBoard!D27+LSU!D27+LSUA!D27+LSUS!D27+SUBR!D27+SUNO!D27</f>
        <v>0</v>
      </c>
      <c r="E27" s="69">
        <f t="shared" si="1"/>
        <v>0</v>
      </c>
      <c r="F27" s="70">
        <f t="shared" si="0"/>
        <v>0</v>
      </c>
      <c r="G27" s="69">
        <f>ULSummary!G27-ULBoard!G27+LSU!G27+LSUA!G27+LSUS!G27+SUBR!G27+SUNO!G27</f>
        <v>0</v>
      </c>
      <c r="H27" s="227"/>
    </row>
    <row r="28" spans="1:8" ht="15" customHeight="1" x14ac:dyDescent="0.25">
      <c r="A28" s="76" t="s">
        <v>87</v>
      </c>
      <c r="B28" s="69">
        <f>ULSummary!B28-ULBoard!B28+LSU!B28+LSUA!B28+LSUS!B28+SUBR!B28+SUNO!B28</f>
        <v>0</v>
      </c>
      <c r="C28" s="69">
        <f>ULSummary!C28-ULBoard!C28+LSU!C28+LSUA!C28+LSUS!C28+SUBR!C28+SUNO!C28</f>
        <v>0</v>
      </c>
      <c r="D28" s="69">
        <f>ULSummary!D28-ULBoard!D28+LSU!D28+LSUA!D28+LSUS!D28+SUBR!D28+SUNO!D28</f>
        <v>0</v>
      </c>
      <c r="E28" s="69">
        <f t="shared" si="1"/>
        <v>0</v>
      </c>
      <c r="F28" s="70">
        <f t="shared" si="0"/>
        <v>0</v>
      </c>
      <c r="G28" s="69">
        <f>ULSummary!G28-ULBoard!G28+LSU!G28+LSUA!G28+LSUS!G28+SUBR!G28+SUNO!G28</f>
        <v>0</v>
      </c>
      <c r="H28" s="227"/>
    </row>
    <row r="29" spans="1:8" ht="15" customHeight="1" x14ac:dyDescent="0.25">
      <c r="A29" s="76" t="s">
        <v>32</v>
      </c>
      <c r="B29" s="69">
        <f>ULSummary!B29-ULBoard!B29+LSU!B29+LSUA!B29+LSUS!B29+SUBR!B29+SUNO!B29</f>
        <v>0</v>
      </c>
      <c r="C29" s="69">
        <f>ULSummary!C29-ULBoard!C29+LSU!C29+LSUA!C29+LSUS!C29+SUBR!C29+SUNO!C29</f>
        <v>0</v>
      </c>
      <c r="D29" s="69">
        <f>ULSummary!D29-ULBoard!D29+LSU!D29+LSUA!D29+LSUS!D29+SUBR!D29+SUNO!D29</f>
        <v>0</v>
      </c>
      <c r="E29" s="69">
        <f t="shared" si="1"/>
        <v>0</v>
      </c>
      <c r="F29" s="70">
        <f t="shared" si="0"/>
        <v>0</v>
      </c>
      <c r="G29" s="69">
        <f>ULSummary!G29-ULBoard!G29+LSU!G29+LSUA!G29+LSUS!G29+SUBR!G29+SUNO!G29</f>
        <v>0</v>
      </c>
      <c r="H29" s="227"/>
    </row>
    <row r="30" spans="1:8" ht="15" customHeight="1" x14ac:dyDescent="0.25">
      <c r="A30" s="217" t="s">
        <v>201</v>
      </c>
      <c r="B30" s="69">
        <f>ULSummary!B30-ULBoard!B30+LSU!B30+LSUA!B30+LSUS!B30+SUBR!B30+SUNO!B30</f>
        <v>9325</v>
      </c>
      <c r="C30" s="69">
        <f>ULSummary!C30-ULBoard!C30+LSU!C30+LSUA!C30+LSUS!C30+SUBR!C30+SUNO!C30</f>
        <v>35136</v>
      </c>
      <c r="D30" s="69">
        <f>ULSummary!D30-ULBoard!D30+LSU!D30+LSUA!D30+LSUS!D30+SUBR!D30+SUNO!D30</f>
        <v>25297</v>
      </c>
      <c r="E30" s="69">
        <f t="shared" si="1"/>
        <v>-9839</v>
      </c>
      <c r="F30" s="70">
        <f t="shared" si="0"/>
        <v>-0.2800261839708561</v>
      </c>
      <c r="G30" s="69">
        <f>ULSummary!G30-ULBoard!G30+LSU!G30+LSUA!G30+LSUS!G30+SUBR!G30+SUNO!G30</f>
        <v>25297</v>
      </c>
      <c r="H30" s="227"/>
    </row>
    <row r="31" spans="1:8" ht="15" customHeight="1" x14ac:dyDescent="0.25">
      <c r="A31" s="76" t="s">
        <v>202</v>
      </c>
      <c r="B31" s="69">
        <f>ULSummary!B31-ULBoard!B31+LSU!B31+LSUA!B31+LSUS!B31+SUBR!B31+SUNO!B31</f>
        <v>0</v>
      </c>
      <c r="C31" s="69">
        <f>ULSummary!C31-ULBoard!C31+LSU!C31+LSUA!C31+LSUS!C31+SUBR!C31+SUNO!C31</f>
        <v>0</v>
      </c>
      <c r="D31" s="69">
        <f>ULSummary!D31-ULBoard!D31+LSU!D31+LSUA!D31+LSUS!D31+SUBR!D31+SUNO!D31</f>
        <v>0</v>
      </c>
      <c r="E31" s="69">
        <f t="shared" si="1"/>
        <v>0</v>
      </c>
      <c r="F31" s="70">
        <f t="shared" si="0"/>
        <v>0</v>
      </c>
      <c r="G31" s="69">
        <f>ULSummary!G31-ULBoard!G31+LSU!G31+LSUA!G31+LSUS!G31+SUBR!G31+SUNO!G31</f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9" ht="15" customHeight="1" x14ac:dyDescent="0.25">
      <c r="A33" s="73" t="s">
        <v>34</v>
      </c>
      <c r="B33" s="69">
        <f>ULSummary!B33-ULBoard!B33+LSU!B33+LSUA!B33+LSUS!B33+SUBR!B33+SUNO!B33</f>
        <v>0</v>
      </c>
      <c r="C33" s="69">
        <f>ULSummary!C33-ULBoard!C33+LSU!C33+LSUA!C33+LSUS!C33+SUBR!C33+SUNO!C33</f>
        <v>0</v>
      </c>
      <c r="D33" s="69">
        <f>ULSummary!D33-ULBoard!D33+LSU!D33+LSUA!D33+LSUS!D33+SUBR!D33+SUNO!D33</f>
        <v>0</v>
      </c>
      <c r="E33" s="69">
        <f>D33-C33</f>
        <v>0</v>
      </c>
      <c r="F33" s="70">
        <f>IF(ISBLANK(E33),"  ",IF(C33&gt;0,E33/C33,IF(E33&gt;0,1,0)))</f>
        <v>0</v>
      </c>
      <c r="G33" s="69">
        <f>ULSummary!G33-ULBoard!G33+LSU!G33+LSUA!G33+LSUS!G33+SUBR!G33+SUNO!G33</f>
        <v>0</v>
      </c>
      <c r="H33" s="227"/>
    </row>
    <row r="34" spans="1:9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9" ht="15" customHeight="1" x14ac:dyDescent="0.25">
      <c r="A35" s="73" t="s">
        <v>34</v>
      </c>
      <c r="B35" s="69">
        <f>ULSummary!B35-ULBoard!B35+LSU!B35+LSUA!B35+LSUS!B35+SUBR!B35+SUNO!B35</f>
        <v>0</v>
      </c>
      <c r="C35" s="69">
        <f>ULSummary!C35-ULBoard!C35+LSU!C35+LSUA!C35+LSUS!C35+SUBR!C35+SUNO!C35</f>
        <v>0</v>
      </c>
      <c r="D35" s="69">
        <f>ULSummary!D35-ULBoard!D35+LSU!D35+LSUA!D35+LSUS!D35+SUBR!D35+SUNO!D35</f>
        <v>0</v>
      </c>
      <c r="E35" s="69">
        <f>D35-C35</f>
        <v>0</v>
      </c>
      <c r="F35" s="70">
        <f>IF(ISBLANK(E35),"  ",IF(C35&gt;0,E35/C35,IF(E35&gt;0,1,0)))</f>
        <v>0</v>
      </c>
      <c r="G35" s="69">
        <f>ULSummary!G35-ULBoard!G35+LSU!G35+LSUA!G35+LSUS!G35+SUBR!G35+SUNO!G35</f>
        <v>0</v>
      </c>
      <c r="H35" s="227"/>
    </row>
    <row r="36" spans="1:9" ht="15" customHeight="1" x14ac:dyDescent="0.25">
      <c r="A36" s="75" t="s">
        <v>36</v>
      </c>
      <c r="B36" s="122"/>
      <c r="C36" s="122"/>
      <c r="D36" s="122"/>
      <c r="E36" s="72"/>
      <c r="F36" s="70" t="s">
        <v>37</v>
      </c>
      <c r="G36" s="122"/>
      <c r="H36" s="227"/>
    </row>
    <row r="37" spans="1:9" s="124" customFormat="1" ht="15" customHeight="1" x14ac:dyDescent="0.25">
      <c r="A37" s="79" t="s">
        <v>38</v>
      </c>
      <c r="B37" s="123">
        <f>B35+B33+B10+B9+B8</f>
        <v>411311028.94</v>
      </c>
      <c r="C37" s="123">
        <f>C35+C33+C10+C9+C8</f>
        <v>415822310</v>
      </c>
      <c r="D37" s="123">
        <f>D35+D33+D10+D9+D8</f>
        <v>342674827.83000004</v>
      </c>
      <c r="E37" s="87">
        <f>D37-C37</f>
        <v>-73147482.169999957</v>
      </c>
      <c r="F37" s="81">
        <f>IF(ISBLANK(E37),"  ",IF(C37&gt;0,E37/C37,IF(E37&gt;0,1,0)))</f>
        <v>-0.17591043195830439</v>
      </c>
      <c r="G37" s="123">
        <f>G35+G33+G10+G9+G8</f>
        <v>342674827.83000004</v>
      </c>
      <c r="H37" s="228"/>
    </row>
    <row r="38" spans="1:9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9" ht="15" customHeight="1" x14ac:dyDescent="0.25">
      <c r="A39" s="82" t="s">
        <v>40</v>
      </c>
      <c r="B39" s="69">
        <f>ULSummary!B39-ULBoard!B39+LSU!B39+LSUA!B39+LSUS!B39+SUBR!B39+SUNO!B39</f>
        <v>0</v>
      </c>
      <c r="C39" s="69">
        <f>ULSummary!C39-ULBoard!C39+LSU!C39+LSUA!C39+LSUS!C39+SUBR!C39+SUNO!C39</f>
        <v>0</v>
      </c>
      <c r="D39" s="69">
        <f>ULSummary!D39-ULBoard!D39+LSU!D39+LSUA!D39+LSUS!D39+SUBR!D39+SUNO!D39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ULSummary!G39-ULBoard!G39+LSU!G39+LSUA!G39+LSUS!G39+SUBR!G39+SUNO!G39</f>
        <v>0</v>
      </c>
      <c r="H39" s="227"/>
    </row>
    <row r="40" spans="1:9" ht="15" customHeight="1" x14ac:dyDescent="0.25">
      <c r="A40" s="83" t="s">
        <v>41</v>
      </c>
      <c r="B40" s="69">
        <f>ULSummary!B40-ULBoard!B40+LSU!B40+LSUA!B40+LSUS!B40+SUBR!B40+SUNO!B40</f>
        <v>0</v>
      </c>
      <c r="C40" s="69">
        <f>ULSummary!C40-ULBoard!C40+LSU!C40+LSUA!C40+LSUS!C40+SUBR!C40+SUNO!C40</f>
        <v>0</v>
      </c>
      <c r="D40" s="69">
        <f>ULSummary!D40-ULBoard!D40+LSU!D40+LSUA!D40+LSUS!D40+SUBR!D40+SUNO!D40</f>
        <v>0</v>
      </c>
      <c r="E40" s="69">
        <f>D40-C40</f>
        <v>0</v>
      </c>
      <c r="F40" s="70">
        <f t="shared" si="2"/>
        <v>0</v>
      </c>
      <c r="G40" s="69">
        <f>ULSummary!G40-ULBoard!G40+LSU!G40+LSUA!G40+LSUS!G40+SUBR!G40+SUNO!G40</f>
        <v>0</v>
      </c>
      <c r="H40" s="227"/>
    </row>
    <row r="41" spans="1:9" ht="15" customHeight="1" x14ac:dyDescent="0.25">
      <c r="A41" s="83" t="s">
        <v>42</v>
      </c>
      <c r="B41" s="69">
        <f>ULSummary!B41-ULBoard!B41+LSU!B41+LSUA!B41+LSUS!B41+SUBR!B41+SUNO!B41</f>
        <v>47927353</v>
      </c>
      <c r="C41" s="69">
        <f>ULSummary!C41-ULBoard!C41+LSU!C41+LSUA!C41+LSUS!C41+SUBR!C41+SUNO!C41</f>
        <v>0</v>
      </c>
      <c r="D41" s="69">
        <f>ULSummary!D41-ULBoard!D41+LSU!D41+LSUA!D41+LSUS!D41+SUBR!D41+SUNO!D41</f>
        <v>0</v>
      </c>
      <c r="E41" s="69">
        <f t="shared" ref="E41:E44" si="3">D41-C41</f>
        <v>0</v>
      </c>
      <c r="F41" s="70">
        <f t="shared" si="2"/>
        <v>0</v>
      </c>
      <c r="G41" s="69">
        <f>ULSummary!G41-ULBoard!G41+LSU!G41+LSUA!G41+LSUS!G41+SUBR!G41+SUNO!G41</f>
        <v>0</v>
      </c>
      <c r="H41" s="227"/>
    </row>
    <row r="42" spans="1:9" ht="15" customHeight="1" x14ac:dyDescent="0.25">
      <c r="A42" s="83" t="s">
        <v>43</v>
      </c>
      <c r="B42" s="69">
        <f>ULSummary!B42-ULBoard!B42+LSU!B42+LSUA!B42+LSUS!B42+SUBR!B42+SUNO!B42</f>
        <v>0</v>
      </c>
      <c r="C42" s="69">
        <f>ULSummary!C42-ULBoard!C42+LSU!C42+LSUA!C42+LSUS!C42+SUBR!C42+SUNO!C42</f>
        <v>0</v>
      </c>
      <c r="D42" s="69">
        <f>ULSummary!D42-ULBoard!D42+LSU!D42+LSUA!D42+LSUS!D42+SUBR!D42+SUNO!D42</f>
        <v>0</v>
      </c>
      <c r="E42" s="69">
        <f t="shared" si="3"/>
        <v>0</v>
      </c>
      <c r="F42" s="70">
        <f t="shared" si="2"/>
        <v>0</v>
      </c>
      <c r="G42" s="69">
        <f>ULSummary!G42-ULBoard!G42+LSU!G42+LSUA!G42+LSUS!G42+SUBR!G42+SUNO!G42</f>
        <v>0</v>
      </c>
      <c r="H42" s="227"/>
    </row>
    <row r="43" spans="1:9" ht="15" customHeight="1" x14ac:dyDescent="0.25">
      <c r="A43" s="84" t="s">
        <v>44</v>
      </c>
      <c r="B43" s="69">
        <f>ULSummary!B43-ULBoard!B43+LSU!B43+LSUA!B43+LSUS!B43+SUBR!B43+SUNO!B43</f>
        <v>0</v>
      </c>
      <c r="C43" s="69">
        <f>ULSummary!C43-ULBoard!C43+LSU!C43+LSUA!C43+LSUS!C43+SUBR!C43+SUNO!C43</f>
        <v>0</v>
      </c>
      <c r="D43" s="69">
        <f>ULSummary!D43-ULBoard!D43+LSU!D43+LSUA!D43+LSUS!D43+SUBR!D43+SUNO!D43</f>
        <v>0</v>
      </c>
      <c r="E43" s="69">
        <f t="shared" si="3"/>
        <v>0</v>
      </c>
      <c r="F43" s="70">
        <f t="shared" si="2"/>
        <v>0</v>
      </c>
      <c r="G43" s="69">
        <f>ULSummary!G43-ULBoard!G43+LSU!G43+LSUA!G43+LSUS!G43+SUBR!G43+SUNO!G43</f>
        <v>0</v>
      </c>
      <c r="H43" s="227"/>
    </row>
    <row r="44" spans="1:9" s="124" customFormat="1" ht="15" customHeight="1" x14ac:dyDescent="0.25">
      <c r="A44" s="77" t="s">
        <v>45</v>
      </c>
      <c r="B44" s="87">
        <f>ULSummary!B44-ULBoard!B44+LSU!B44+LSUA!B44+LSUS!B44+SUBR!B44+SUNO!B44</f>
        <v>47927353</v>
      </c>
      <c r="C44" s="87">
        <f>ULSummary!C44-ULBoard!C44+LSU!C44+LSUA!C44+LSUS!C44+SUBR!C44+SUNO!C44</f>
        <v>0</v>
      </c>
      <c r="D44" s="87">
        <f>ULSummary!D44-ULBoard!D44+LSU!D44+LSUA!D44+LSUS!D44+SUBR!D44+SUNO!D44</f>
        <v>0</v>
      </c>
      <c r="E44" s="87">
        <f t="shared" si="3"/>
        <v>0</v>
      </c>
      <c r="F44" s="81">
        <f t="shared" si="2"/>
        <v>0</v>
      </c>
      <c r="G44" s="87">
        <f>ULSummary!G44-ULBoard!G44+LSU!G44+LSUA!G44+LSUS!G44+SUBR!G44+SUNO!G44</f>
        <v>0</v>
      </c>
      <c r="H44" s="228"/>
    </row>
    <row r="45" spans="1:9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9" s="124" customFormat="1" ht="15" customHeight="1" x14ac:dyDescent="0.25">
      <c r="A46" s="86" t="s">
        <v>47</v>
      </c>
      <c r="B46" s="87">
        <f>ULSummary!B46-ULBoard!B46+LSU!B46+LSUA!B46+LSUS!B46+SUBR!B46+SUNO!B46</f>
        <v>10835846.01</v>
      </c>
      <c r="C46" s="87">
        <f>ULSummary!C46-ULBoard!C46+LSU!C46+LSUA!C46+LSUS!C46+SUBR!C46+SUNO!C46</f>
        <v>11100118</v>
      </c>
      <c r="D46" s="87">
        <f>ULSummary!D46-ULBoard!D46+LSU!D46+LSUA!D46+LSUS!D46+SUBR!D46+SUNO!D46</f>
        <v>10902554</v>
      </c>
      <c r="E46" s="87">
        <f>D46-C46</f>
        <v>-197564</v>
      </c>
      <c r="F46" s="81">
        <f>IF(ISBLANK(E46),"  ",IF(C46&gt;0,E46/C46,IF(E46&gt;0,1,0)))</f>
        <v>-1.7798369350668163E-2</v>
      </c>
      <c r="G46" s="87">
        <f>ULSummary!G46-ULBoard!G46+LSU!G46+LSUA!G46+LSUS!G46+SUBR!G46+SUNO!G46</f>
        <v>10902554</v>
      </c>
      <c r="H46" s="228"/>
    </row>
    <row r="47" spans="1:9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9" ht="15" customHeight="1" x14ac:dyDescent="0.25">
      <c r="A48" s="86" t="s">
        <v>200</v>
      </c>
      <c r="B48" s="87">
        <f>ULSummary!B48-ULBoard!B48+LSU!B48+LSUA!B48+LSUS!B48+SUBR!B48+SUNO!B48</f>
        <v>58969144</v>
      </c>
      <c r="C48" s="87">
        <f>ULSummary!C48-ULBoard!C48+LSU!C48+LSUA!C48+LSUS!C48+SUBR!C48+SUNO!C48</f>
        <v>59066274</v>
      </c>
      <c r="D48" s="87">
        <f>ULSummary!D48-ULBoard!D48+LSU!D48+LSUA!D48+LSUS!D48+SUBR!D48+SUNO!D48</f>
        <v>0</v>
      </c>
      <c r="E48" s="87">
        <f>D48-C48</f>
        <v>-59066274</v>
      </c>
      <c r="F48" s="81">
        <f>IF(ISBLANK(E48)," ",IF(C48&gt;0,E48/C48,IF(E48&gt;0,1,0)))</f>
        <v>-1</v>
      </c>
      <c r="G48" s="87">
        <f>ULSummary!G48-ULBoard!G48+LSU!G48+LSUA!G48+LSUS!G48+SUBR!G48+SUNO!G48</f>
        <v>59066274</v>
      </c>
      <c r="H48" s="228"/>
      <c r="I48" s="187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f>ULSummary!B50-ULBoard!B50+LSU!B50+LSUA!B50+LSUS!B50+SUBR!B50+SUNO!B50</f>
        <v>0</v>
      </c>
      <c r="C50" s="87">
        <f>ULSummary!C50-ULBoard!C50+LSU!C50+LSUA!C50+LSUS!C50+SUBR!C50+SUNO!C50</f>
        <v>0</v>
      </c>
      <c r="D50" s="87">
        <f>ULSummary!D50-ULBoard!D50+LSU!D50+LSUA!D50+LSUS!D50+SUBR!D50+SUNO!D50</f>
        <v>0</v>
      </c>
      <c r="E50" s="87">
        <f>D50-C50</f>
        <v>0</v>
      </c>
      <c r="F50" s="81">
        <f>IF(ISBLANK(E50),"  ",IF(C50&gt;0,E50/C50,IF(E50&gt;0,1,0)))</f>
        <v>0</v>
      </c>
      <c r="G50" s="87">
        <f>ULSummary!G50-ULBoard!G50+LSU!G50+LSUA!G50+LSUS!G50+SUBR!G50+SUNO!G50</f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7">
        <f>ULSummary!B52-ULBoard!B52+LSU!B52+LSUA!B52+LSUS!B52+SUBR!B52+SUNO!B52</f>
        <v>1202478984.3400002</v>
      </c>
      <c r="C52" s="87">
        <f>ULSummary!C52-ULBoard!C52+LSU!C52+LSUA!C52+LSUS!C52+SUBR!C52+SUNO!C52</f>
        <v>1251393487</v>
      </c>
      <c r="D52" s="87">
        <f>ULSummary!D52-ULBoard!D52+LSU!D52+LSUA!D52+LSUS!D52+SUBR!D52+SUNO!D52</f>
        <v>1257200296</v>
      </c>
      <c r="E52" s="87">
        <f>D52-C52</f>
        <v>5806809</v>
      </c>
      <c r="F52" s="81">
        <f>IF(ISBLANK(E52),"  ",IF(C52&gt;0,E52/C52,IF(E52&gt;0,1,0)))</f>
        <v>4.6402742705020971E-3</v>
      </c>
      <c r="G52" s="87">
        <f>ULSummary!G52-ULBoard!G52+LSU!G52+LSUA!G52+LSUS!G52+SUBR!G52+SUNO!G52</f>
        <v>1257200296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7">
        <f>ULSummary!B54-ULBoard!B54+LSU!B54+LSUA!B54+LSUS!B54+SUBR!B54+SUNO!B54</f>
        <v>0</v>
      </c>
      <c r="C54" s="87">
        <f>ULSummary!C54-ULBoard!C54+LSU!C54+LSUA!C54+LSUS!C54+SUBR!C54+SUNO!C54</f>
        <v>0</v>
      </c>
      <c r="D54" s="87">
        <f>ULSummary!D54-ULBoard!D54+LSU!D54+LSUA!D54+LSUS!D54+SUBR!D54+SUNO!D54</f>
        <v>0</v>
      </c>
      <c r="E54" s="87">
        <f>D54-C54</f>
        <v>0</v>
      </c>
      <c r="F54" s="81">
        <f>IF(ISBLANK(E54),"  ",IF(C54&gt;0,E54/C54,IF(E54&gt;0,1,0)))</f>
        <v>0</v>
      </c>
      <c r="G54" s="87">
        <f>ULSummary!G54-ULBoard!G54+LSU!G54+LSUA!G54+LSUS!G54+SUBR!G54+SUNO!G54</f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7">
        <f>ULSummary!B56-ULBoard!B56+LSU!B56+LSUA!B56+LSUS!B56+SUBR!B56+SUNO!B56</f>
        <v>0</v>
      </c>
      <c r="C56" s="87">
        <f>ULSummary!C56-ULBoard!C56+LSU!C56+LSUA!C56+LSUS!C56+SUBR!C56+SUNO!C56</f>
        <v>0</v>
      </c>
      <c r="D56" s="87">
        <f>ULSummary!D56-ULBoard!D56+LSU!D56+LSUA!D56+LSUS!D56+SUBR!D56+SUNO!D56</f>
        <v>0</v>
      </c>
      <c r="E56" s="87">
        <f>D56-C56</f>
        <v>0</v>
      </c>
      <c r="F56" s="81">
        <f>IF(ISBLANK(E56),"  ",IF(C56&gt;0,E56/C56,IF(E56&gt;0,1,0)))</f>
        <v>0</v>
      </c>
      <c r="G56" s="87">
        <f>ULSummary!G56-ULBoard!G56+LSU!G56+LSUA!G56+LSUS!G56+SUBR!G56+SUNO!G56</f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7">
        <f>ULSummary!B58-ULBoard!B58+LSU!B58+LSUA!B58+LSUS!B58+SUBR!B58+SUNO!B58</f>
        <v>1635667650.2900002</v>
      </c>
      <c r="C58" s="87">
        <f>ULSummary!C58-ULBoard!C58+LSU!C58+LSUA!C58+LSUS!C58+SUBR!C58+SUNO!C58</f>
        <v>1737382189</v>
      </c>
      <c r="D58" s="87">
        <f>ULSummary!D58-ULBoard!D58+LSU!D58+LSUA!D58+LSUS!D58+SUBR!D58+SUNO!D58</f>
        <v>1610777677.8299999</v>
      </c>
      <c r="E58" s="87">
        <f>D58-C58</f>
        <v>-126604511.17000008</v>
      </c>
      <c r="F58" s="81">
        <f>IF(ISBLANK(E58),"  ",IF(C58&gt;0,E58/C58,IF(E58&gt;0,1,0)))</f>
        <v>-7.2870846709249926E-2</v>
      </c>
      <c r="G58" s="87">
        <f>ULSummary!G58-ULBoard!G58+LSU!G58+LSUA!G58+LSUS!G58+SUBR!G58+SUNO!G58</f>
        <v>1669843951.8299999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9">
        <f>ULSummary!B62-ULBoard!B62+LSU!B62+LSUA!B62+LSUS!B62+SUBR!B62+SUNO!B62</f>
        <v>652277341.20999992</v>
      </c>
      <c r="C62" s="69">
        <f>ULSummary!C62-ULBoard!C62+LSU!C62+LSUA!C62+LSUS!C62+SUBR!C62+SUNO!C62</f>
        <v>732336519</v>
      </c>
      <c r="D62" s="69">
        <f>ULSummary!D62-ULBoard!D62+LSU!D62+LSUA!D62+LSUS!D62+SUBR!D62+SUNO!D62</f>
        <v>648942097.51800001</v>
      </c>
      <c r="E62" s="69">
        <f>D62-C62</f>
        <v>-83394421.481999993</v>
      </c>
      <c r="F62" s="70">
        <f t="shared" ref="F62:F75" si="4">IF(ISBLANK(E62),"  ",IF(C62&gt;0,E62/C62,IF(E62&gt;0,1,0)))</f>
        <v>-0.11387445432309513</v>
      </c>
      <c r="G62" s="69">
        <f>ULSummary!G62-ULBoard!G62+LSU!G62+LSUA!G62+LSUS!G62+SUBR!G62+SUNO!G62</f>
        <v>689091512.03799999</v>
      </c>
      <c r="H62" s="227"/>
    </row>
    <row r="63" spans="1:8" ht="15" customHeight="1" x14ac:dyDescent="0.25">
      <c r="A63" s="75" t="s">
        <v>55</v>
      </c>
      <c r="B63" s="69">
        <f>ULSummary!B63-ULBoard!B63+LSU!B63+LSUA!B63+LSUS!B63+SUBR!B63+SUNO!B63</f>
        <v>104849916.09999999</v>
      </c>
      <c r="C63" s="69">
        <f>ULSummary!C63-ULBoard!C63+LSU!C63+LSUA!C63+LSUS!C63+SUBR!C63+SUNO!C63</f>
        <v>105636389</v>
      </c>
      <c r="D63" s="69">
        <f>ULSummary!D63-ULBoard!D63+LSU!D63+LSUA!D63+LSUS!D63+SUBR!D63+SUNO!D63</f>
        <v>104803139.55000001</v>
      </c>
      <c r="E63" s="69">
        <f>D63-C63</f>
        <v>-833249.44999998808</v>
      </c>
      <c r="F63" s="70">
        <f t="shared" si="4"/>
        <v>-7.8879016775174702E-3</v>
      </c>
      <c r="G63" s="69">
        <f>ULSummary!G63-ULBoard!G63+LSU!G63+LSUA!G63+LSUS!G63+SUBR!G63+SUNO!G63</f>
        <v>104803139.55000001</v>
      </c>
      <c r="H63" s="227"/>
    </row>
    <row r="64" spans="1:8" ht="15" customHeight="1" x14ac:dyDescent="0.25">
      <c r="A64" s="75" t="s">
        <v>56</v>
      </c>
      <c r="B64" s="69">
        <f>ULSummary!B64-ULBoard!B64+LSU!B64+LSUA!B64+LSUS!B64+SUBR!B64+SUNO!B64</f>
        <v>8438384.9299999997</v>
      </c>
      <c r="C64" s="69">
        <f>ULSummary!C64-ULBoard!C64+LSU!C64+LSUA!C64+LSUS!C64+SUBR!C64+SUNO!C64</f>
        <v>6881952</v>
      </c>
      <c r="D64" s="69">
        <f>ULSummary!D64-ULBoard!D64+LSU!D64+LSUA!D64+LSUS!D64+SUBR!D64+SUNO!D64</f>
        <v>6859461.4359999998</v>
      </c>
      <c r="E64" s="69">
        <f t="shared" ref="E64:E75" si="5">D64-C64</f>
        <v>-22490.564000000246</v>
      </c>
      <c r="F64" s="70">
        <f t="shared" si="4"/>
        <v>-3.2680501113637882E-3</v>
      </c>
      <c r="G64" s="69">
        <f>ULSummary!G64-ULBoard!G64+LSU!G64+LSUA!G64+LSUS!G64+SUBR!G64+SUNO!G64</f>
        <v>6859461.4359999998</v>
      </c>
      <c r="H64" s="227"/>
    </row>
    <row r="65" spans="1:8" ht="15" customHeight="1" x14ac:dyDescent="0.25">
      <c r="A65" s="75" t="s">
        <v>57</v>
      </c>
      <c r="B65" s="69">
        <f>ULSummary!B65-ULBoard!B65+LSU!B65+LSUA!B65+LSUS!B65+SUBR!B65+SUNO!B65</f>
        <v>175749345.63999999</v>
      </c>
      <c r="C65" s="69">
        <f>ULSummary!C65-ULBoard!C65+LSU!C65+LSUA!C65+LSUS!C65+SUBR!C65+SUNO!C65</f>
        <v>176795355</v>
      </c>
      <c r="D65" s="69">
        <f>ULSummary!D65-ULBoard!D65+LSU!D65+LSUA!D65+LSUS!D65+SUBR!D65+SUNO!D65</f>
        <v>176581466.06</v>
      </c>
      <c r="E65" s="69">
        <f t="shared" si="5"/>
        <v>-213888.93999999762</v>
      </c>
      <c r="F65" s="70">
        <f t="shared" si="4"/>
        <v>-1.2098108573044672E-3</v>
      </c>
      <c r="G65" s="69">
        <f>ULSummary!G65-ULBoard!G65+LSU!G65+LSUA!G65+LSUS!G65+SUBR!G65+SUNO!G65</f>
        <v>176728189.80000001</v>
      </c>
      <c r="H65" s="227"/>
    </row>
    <row r="66" spans="1:8" ht="15" customHeight="1" x14ac:dyDescent="0.25">
      <c r="A66" s="75" t="s">
        <v>58</v>
      </c>
      <c r="B66" s="69">
        <f>ULSummary!B66-ULBoard!B66+LSU!B66+LSUA!B66+LSUS!B66+SUBR!B66+SUNO!B66</f>
        <v>74219917.739999995</v>
      </c>
      <c r="C66" s="69">
        <f>ULSummary!C66-ULBoard!C66+LSU!C66+LSUA!C66+LSUS!C66+SUBR!C66+SUNO!C66</f>
        <v>76230694</v>
      </c>
      <c r="D66" s="69">
        <f>ULSummary!D66-ULBoard!D66+LSU!D66+LSUA!D66+LSUS!D66+SUBR!D66+SUNO!D66</f>
        <v>76883003.262000009</v>
      </c>
      <c r="E66" s="69">
        <f t="shared" si="5"/>
        <v>652309.26200000942</v>
      </c>
      <c r="F66" s="70">
        <f t="shared" si="4"/>
        <v>8.5570421541749236E-3</v>
      </c>
      <c r="G66" s="69">
        <f>ULSummary!G66-ULBoard!G66+LSU!G66+LSUA!G66+LSUS!G66+SUBR!G66+SUNO!G66</f>
        <v>77170194.272000015</v>
      </c>
      <c r="H66" s="227"/>
    </row>
    <row r="67" spans="1:8" ht="15" customHeight="1" x14ac:dyDescent="0.25">
      <c r="A67" s="75" t="s">
        <v>59</v>
      </c>
      <c r="B67" s="69">
        <f>ULSummary!B67-ULBoard!B67+LSU!B67+LSUA!B67+LSUS!B67+SUBR!B67+SUNO!B67</f>
        <v>195852381.09999999</v>
      </c>
      <c r="C67" s="69">
        <f>ULSummary!C67-ULBoard!C67+LSU!C67+LSUA!C67+LSUS!C67+SUBR!C67+SUNO!C67</f>
        <v>208484482</v>
      </c>
      <c r="D67" s="69">
        <f>ULSummary!D67-ULBoard!D67+LSU!D67+LSUA!D67+LSUS!D67+SUBR!D67+SUNO!D67</f>
        <v>209647872.352</v>
      </c>
      <c r="E67" s="69">
        <f t="shared" si="5"/>
        <v>1163390.3519999981</v>
      </c>
      <c r="F67" s="70">
        <f t="shared" si="4"/>
        <v>5.5802251603550915E-3</v>
      </c>
      <c r="G67" s="69">
        <f>ULSummary!G67-ULBoard!G67+LSU!G67+LSUA!G67+LSUS!G67+SUBR!G67+SUNO!G67</f>
        <v>210207286.36199999</v>
      </c>
      <c r="H67" s="227"/>
    </row>
    <row r="68" spans="1:8" ht="15" customHeight="1" x14ac:dyDescent="0.25">
      <c r="A68" s="75" t="s">
        <v>60</v>
      </c>
      <c r="B68" s="69">
        <f>ULSummary!B68-ULBoard!B68+LSU!B68+LSUA!B68+LSUS!B68+SUBR!B68+SUNO!B68</f>
        <v>228404593.21000001</v>
      </c>
      <c r="C68" s="69">
        <f>ULSummary!C68-ULBoard!C68+LSU!C68+LSUA!C68+LSUS!C68+SUBR!C68+SUNO!C68</f>
        <v>232032840</v>
      </c>
      <c r="D68" s="69">
        <f>ULSummary!D68-ULBoard!D68+LSU!D68+LSUA!D68+LSUS!D68+SUBR!D68+SUNO!D68</f>
        <v>237436842.91</v>
      </c>
      <c r="E68" s="69">
        <f t="shared" si="5"/>
        <v>5404002.9099999964</v>
      </c>
      <c r="F68" s="70">
        <f t="shared" si="4"/>
        <v>2.328981927730573E-2</v>
      </c>
      <c r="G68" s="69">
        <f>ULSummary!G68-ULBoard!G68+LSU!G68+LSUA!G68+LSUS!G68+SUBR!G68+SUNO!G68</f>
        <v>248911047.91</v>
      </c>
      <c r="H68" s="227"/>
    </row>
    <row r="69" spans="1:8" ht="15" customHeight="1" x14ac:dyDescent="0.25">
      <c r="A69" s="75" t="s">
        <v>61</v>
      </c>
      <c r="B69" s="69">
        <f>ULSummary!B69-ULBoard!B69+LSU!B69+LSUA!B69+LSUS!B69+SUBR!B69+SUNO!B69</f>
        <v>159768617.93000001</v>
      </c>
      <c r="C69" s="69">
        <f>ULSummary!C69-ULBoard!C69+LSU!C69+LSUA!C69+LSUS!C69+SUBR!C69+SUNO!C69</f>
        <v>165765960</v>
      </c>
      <c r="D69" s="69">
        <f>ULSummary!D69-ULBoard!D69+LSU!D69+LSUA!D69+LSUS!D69+SUBR!D69+SUNO!D69</f>
        <v>159818379.10400003</v>
      </c>
      <c r="E69" s="69">
        <f t="shared" si="5"/>
        <v>-5947580.8959999681</v>
      </c>
      <c r="F69" s="70">
        <f t="shared" si="4"/>
        <v>-3.5879386190023378E-2</v>
      </c>
      <c r="G69" s="69">
        <f>ULSummary!G69-ULBoard!G69+LSU!G69+LSUA!G69+LSUS!G69+SUBR!G69+SUNO!G69</f>
        <v>162807447.82400003</v>
      </c>
      <c r="H69" s="227"/>
    </row>
    <row r="70" spans="1:8" s="124" customFormat="1" ht="15" customHeight="1" x14ac:dyDescent="0.25">
      <c r="A70" s="94" t="s">
        <v>62</v>
      </c>
      <c r="B70" s="87">
        <f>ULSummary!B70-ULBoard!B70+LSU!B70+LSUA!B70+LSUS!B70+SUBR!B70+SUNO!B70</f>
        <v>1599560497.8599997</v>
      </c>
      <c r="C70" s="87">
        <f>ULSummary!C70-ULBoard!C70+LSU!C70+LSUA!C70+LSUS!C70+SUBR!C70+SUNO!C70</f>
        <v>1704164191</v>
      </c>
      <c r="D70" s="87">
        <f>ULSummary!D70-ULBoard!D70+LSU!D70+LSUA!D70+LSUS!D70+SUBR!D70+SUNO!D70</f>
        <v>1620972262.1920002</v>
      </c>
      <c r="E70" s="87">
        <f t="shared" si="5"/>
        <v>-83191928.807999849</v>
      </c>
      <c r="F70" s="81">
        <f t="shared" si="4"/>
        <v>-4.8816850657554894E-2</v>
      </c>
      <c r="G70" s="87">
        <f>ULSummary!G70-ULBoard!G70+LSU!G70+LSUA!G70+LSUS!G70+SUBR!G70+SUNO!G70</f>
        <v>1676578279.1920002</v>
      </c>
      <c r="H70" s="228"/>
    </row>
    <row r="71" spans="1:8" ht="15" customHeight="1" x14ac:dyDescent="0.25">
      <c r="A71" s="75" t="s">
        <v>63</v>
      </c>
      <c r="B71" s="69">
        <f>ULSummary!B71-ULBoard!B71+LSU!B71+LSUA!B71+LSUS!B71+SUBR!B71+SUNO!B71</f>
        <v>0</v>
      </c>
      <c r="C71" s="69">
        <f>ULSummary!C71-ULBoard!C71+LSU!C71+LSUA!C71+LSUS!C71+SUBR!C71+SUNO!C71</f>
        <v>0</v>
      </c>
      <c r="D71" s="69">
        <f>ULSummary!D71-ULBoard!D71+LSU!D71+LSUA!D71+LSUS!D71+SUBR!D71+SUNO!D71</f>
        <v>0</v>
      </c>
      <c r="E71" s="69">
        <f t="shared" si="5"/>
        <v>0</v>
      </c>
      <c r="F71" s="70">
        <f t="shared" si="4"/>
        <v>0</v>
      </c>
      <c r="G71" s="69">
        <f>ULSummary!G71-ULBoard!G71+LSU!G71+LSUA!G71+LSUS!G71+SUBR!G71+SUNO!G71</f>
        <v>0</v>
      </c>
      <c r="H71" s="227"/>
    </row>
    <row r="72" spans="1:8" ht="15" customHeight="1" x14ac:dyDescent="0.25">
      <c r="A72" s="75" t="s">
        <v>64</v>
      </c>
      <c r="B72" s="69">
        <f>ULSummary!B72-ULBoard!B72+LSU!B72+LSUA!B72+LSUS!B72+SUBR!B72+SUNO!B72</f>
        <v>4878808.28</v>
      </c>
      <c r="C72" s="69">
        <f>ULSummary!C72-ULBoard!C72+LSU!C72+LSUA!C72+LSUS!C72+SUBR!C72+SUNO!C72</f>
        <v>3030640</v>
      </c>
      <c r="D72" s="69">
        <f>ULSummary!D72-ULBoard!D72+LSU!D72+LSUA!D72+LSUS!D72+SUBR!D72+SUNO!D72</f>
        <v>-34727022</v>
      </c>
      <c r="E72" s="69">
        <f t="shared" si="5"/>
        <v>-37757662</v>
      </c>
      <c r="F72" s="70">
        <f t="shared" si="4"/>
        <v>-12.458643058891852</v>
      </c>
      <c r="G72" s="69">
        <f>ULSummary!G72-ULBoard!G72+LSU!G72+LSUA!G72+LSUS!G72+SUBR!G72+SUNO!G72</f>
        <v>-34727022</v>
      </c>
      <c r="H72" s="227"/>
    </row>
    <row r="73" spans="1:8" ht="15" customHeight="1" x14ac:dyDescent="0.25">
      <c r="A73" s="75" t="s">
        <v>65</v>
      </c>
      <c r="B73" s="69">
        <f>ULSummary!B73-ULBoard!B73+LSU!B73+LSUA!B73+LSUS!B73+SUBR!B73+SUNO!B73</f>
        <v>28838521.420000002</v>
      </c>
      <c r="C73" s="69">
        <f>ULSummary!C73-ULBoard!C73+LSU!C73+LSUA!C73+LSUS!C73+SUBR!C73+SUNO!C73</f>
        <v>26829147</v>
      </c>
      <c r="D73" s="69">
        <f>ULSummary!D73-ULBoard!D73+LSU!D73+LSUA!D73+LSUS!D73+SUBR!D73+SUNO!D73</f>
        <v>22310292</v>
      </c>
      <c r="E73" s="69">
        <f t="shared" si="5"/>
        <v>-4518855</v>
      </c>
      <c r="F73" s="70">
        <f t="shared" si="4"/>
        <v>-0.16843081146038671</v>
      </c>
      <c r="G73" s="69">
        <f>ULSummary!G73-ULBoard!G73+LSU!G73+LSUA!G73+LSUS!G73+SUBR!G73+SUNO!G73</f>
        <v>22310292</v>
      </c>
      <c r="H73" s="227"/>
    </row>
    <row r="74" spans="1:8" ht="15" customHeight="1" x14ac:dyDescent="0.25">
      <c r="A74" s="75" t="s">
        <v>66</v>
      </c>
      <c r="B74" s="69">
        <f>ULSummary!B74-ULBoard!B74+LSU!B74+LSUA!B74+LSUS!B74+SUBR!B74+SUNO!B74</f>
        <v>2389822.9</v>
      </c>
      <c r="C74" s="69">
        <f>ULSummary!C74-ULBoard!C74+LSU!C74+LSUA!C74+LSUS!C74+SUBR!C74+SUNO!C74</f>
        <v>3358211</v>
      </c>
      <c r="D74" s="69">
        <f>ULSummary!D74-ULBoard!D74+LSU!D74+LSUA!D74+LSUS!D74+SUBR!D74+SUNO!D74</f>
        <v>2222145</v>
      </c>
      <c r="E74" s="69">
        <f t="shared" si="5"/>
        <v>-1136066</v>
      </c>
      <c r="F74" s="70">
        <f t="shared" si="4"/>
        <v>-0.33829500290482045</v>
      </c>
      <c r="G74" s="69">
        <f>ULSummary!G74-ULBoard!G74+LSU!G74+LSUA!G74+LSUS!G74+SUBR!G74+SUNO!G74</f>
        <v>5682402</v>
      </c>
      <c r="H74" s="227"/>
    </row>
    <row r="75" spans="1:8" s="124" customFormat="1" ht="15" customHeight="1" x14ac:dyDescent="0.25">
      <c r="A75" s="95" t="s">
        <v>67</v>
      </c>
      <c r="B75" s="87">
        <f>ULSummary!B75-ULBoard!B75+LSU!B75+LSUA!B75+LSUS!B75+SUBR!B75+SUNO!B75-1</f>
        <v>1635667649.46</v>
      </c>
      <c r="C75" s="87">
        <f>ULSummary!C75-ULBoard!C75+LSU!C75+LSUA!C75+LSUS!C75+SUBR!C75+SUNO!C75</f>
        <v>1737382189</v>
      </c>
      <c r="D75" s="87">
        <f>ULSummary!D75-ULBoard!D75+LSU!D75+LSUA!D75+LSUS!D75+SUBR!D75+SUNO!D75</f>
        <v>1610777677.1920002</v>
      </c>
      <c r="E75" s="87">
        <f t="shared" si="5"/>
        <v>-126604511.80799985</v>
      </c>
      <c r="F75" s="81">
        <f t="shared" si="4"/>
        <v>-7.2870847076468931E-2</v>
      </c>
      <c r="G75" s="87">
        <f>ULSummary!G75-ULBoard!G75+LSU!G75+LSUA!G75+LSUS!G75+SUBR!G75+SUNO!G75</f>
        <v>1669843951.1920002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f>ULSummary!B78-ULBoard!B78+LSU!B78+LSUA!B78+LSUS!B78+SUBR!B78+SUNO!B78</f>
        <v>772482873.42999983</v>
      </c>
      <c r="C78" s="69">
        <f>ULSummary!C78-ULBoard!C78+LSU!C78+LSUA!C78+LSUS!C78+SUBR!C78+SUNO!C78</f>
        <v>835989693</v>
      </c>
      <c r="D78" s="69">
        <f>ULSummary!D78-ULBoard!D78+LSU!D78+LSUA!D78+LSUS!D78+SUBR!D78+SUNO!D78</f>
        <v>783355932.49000001</v>
      </c>
      <c r="E78" s="69">
        <f>D78-C78</f>
        <v>-52633760.50999999</v>
      </c>
      <c r="F78" s="70">
        <f t="shared" ref="F78:F96" si="6">IF(ISBLANK(E78),"  ",IF(C78&gt;0,E78/C78,IF(E78&gt;0,1,0)))</f>
        <v>-6.2959819900554673E-2</v>
      </c>
      <c r="G78" s="69">
        <f>ULSummary!G78-ULBoard!G78+LSU!G78+LSUA!G78+LSUS!G78+SUBR!G78+SUNO!G78</f>
        <v>814642816.78999984</v>
      </c>
      <c r="H78" s="227"/>
    </row>
    <row r="79" spans="1:8" ht="15" customHeight="1" x14ac:dyDescent="0.25">
      <c r="A79" s="75" t="s">
        <v>70</v>
      </c>
      <c r="B79" s="69">
        <f>ULSummary!B79-ULBoard!B79+LSU!B79+LSUA!B79+LSUS!B79+SUBR!B79+SUNO!B79</f>
        <v>42453296.569999993</v>
      </c>
      <c r="C79" s="69">
        <f>ULSummary!C79-ULBoard!C79+LSU!C79+LSUA!C79+LSUS!C79+SUBR!C79+SUNO!C79</f>
        <v>42166698</v>
      </c>
      <c r="D79" s="69">
        <f>ULSummary!D79-ULBoard!D79+LSU!D79+LSUA!D79+LSUS!D79+SUBR!D79+SUNO!D79</f>
        <v>40196335.296000004</v>
      </c>
      <c r="E79" s="69">
        <f>D79-C79</f>
        <v>-1970362.7039999962</v>
      </c>
      <c r="F79" s="70">
        <f t="shared" si="6"/>
        <v>-4.6727934542088075E-2</v>
      </c>
      <c r="G79" s="69">
        <f>ULSummary!G79-ULBoard!G79+LSU!G79+LSUA!G79+LSUS!G79+SUBR!G79+SUNO!G79</f>
        <v>40196335.296000004</v>
      </c>
      <c r="H79" s="227"/>
    </row>
    <row r="80" spans="1:8" ht="15" customHeight="1" x14ac:dyDescent="0.25">
      <c r="A80" s="75" t="s">
        <v>71</v>
      </c>
      <c r="B80" s="69">
        <f>ULSummary!B80-ULBoard!B80+LSU!B80+LSUA!B80+LSUS!B80+SUBR!B80+SUNO!B80</f>
        <v>337811383.58999997</v>
      </c>
      <c r="C80" s="69">
        <f>ULSummary!C80-ULBoard!C80+LSU!C80+LSUA!C80+LSUS!C80+SUBR!C80+SUNO!C80</f>
        <v>361138919</v>
      </c>
      <c r="D80" s="69">
        <f>ULSummary!D80-ULBoard!D80+LSU!D80+LSUA!D80+LSUS!D80+SUBR!D80+SUNO!D80</f>
        <v>341185130.72600001</v>
      </c>
      <c r="E80" s="69">
        <f t="shared" ref="E80:E95" si="7">D80-C80</f>
        <v>-19953788.273999989</v>
      </c>
      <c r="F80" s="70">
        <f t="shared" si="6"/>
        <v>-5.5252389660057626E-2</v>
      </c>
      <c r="G80" s="69">
        <f>ULSummary!G80-ULBoard!G80+LSU!G80+LSUA!G80+LSUS!G80+SUBR!G80+SUNO!G80</f>
        <v>351262045.176</v>
      </c>
      <c r="H80" s="227"/>
    </row>
    <row r="81" spans="1:8" s="124" customFormat="1" ht="15" customHeight="1" x14ac:dyDescent="0.25">
      <c r="A81" s="94" t="s">
        <v>72</v>
      </c>
      <c r="B81" s="87">
        <f>ULSummary!B81-ULBoard!B81+LSU!B81+LSUA!B81+LSUS!B81+SUBR!B81+SUNO!B81</f>
        <v>1152747553.5900004</v>
      </c>
      <c r="C81" s="87">
        <f>ULSummary!C81-ULBoard!C81+LSU!C81+LSUA!C81+LSUS!C81+SUBR!C81+SUNO!C81</f>
        <v>1239295310</v>
      </c>
      <c r="D81" s="87">
        <f>ULSummary!D81-ULBoard!D81+LSU!D81+LSUA!D81+LSUS!D81+SUBR!D81+SUNO!D81</f>
        <v>1164737398.5120001</v>
      </c>
      <c r="E81" s="87">
        <f t="shared" si="7"/>
        <v>-74557911.487999916</v>
      </c>
      <c r="F81" s="81">
        <f t="shared" si="6"/>
        <v>-6.0161537679021729E-2</v>
      </c>
      <c r="G81" s="87">
        <f>ULSummary!G81-ULBoard!G81+LSU!G81+LSUA!G81+LSUS!G81+SUBR!G81+SUNO!G81</f>
        <v>1206101197.2620001</v>
      </c>
      <c r="H81" s="228"/>
    </row>
    <row r="82" spans="1:8" ht="15" customHeight="1" x14ac:dyDescent="0.25">
      <c r="A82" s="75" t="s">
        <v>73</v>
      </c>
      <c r="B82" s="69">
        <f>ULSummary!B82-ULBoard!B82+LSU!B82+LSUA!B82+LSUS!B82+SUBR!B82+SUNO!B82</f>
        <v>6153582.8899999997</v>
      </c>
      <c r="C82" s="69">
        <f>ULSummary!C82-ULBoard!C82+LSU!C82+LSUA!C82+LSUS!C82+SUBR!C82+SUNO!C82</f>
        <v>8143297</v>
      </c>
      <c r="D82" s="69">
        <f>ULSummary!D82-ULBoard!D82+LSU!D82+LSUA!D82+LSUS!D82+SUBR!D82+SUNO!D82</f>
        <v>6295235.4000000004</v>
      </c>
      <c r="E82" s="69">
        <f t="shared" si="7"/>
        <v>-1848061.5999999996</v>
      </c>
      <c r="F82" s="70">
        <f t="shared" si="6"/>
        <v>-0.22694267444746269</v>
      </c>
      <c r="G82" s="69">
        <f>ULSummary!G82-ULBoard!G82+LSU!G82+LSUA!G82+LSUS!G82+SUBR!G82+SUNO!G82</f>
        <v>6345235.4000000004</v>
      </c>
      <c r="H82" s="227"/>
    </row>
    <row r="83" spans="1:8" ht="15" customHeight="1" x14ac:dyDescent="0.25">
      <c r="A83" s="75" t="s">
        <v>74</v>
      </c>
      <c r="B83" s="69">
        <f>ULSummary!B83-ULBoard!B83+LSU!B83+LSUA!B83+LSUS!B83+SUBR!B83+SUNO!B83</f>
        <v>106106650.88000001</v>
      </c>
      <c r="C83" s="69">
        <f>ULSummary!C83-ULBoard!C83+LSU!C83+LSUA!C83+LSUS!C83+SUBR!C83+SUNO!C83</f>
        <v>121131511</v>
      </c>
      <c r="D83" s="69">
        <f>ULSummary!D83-ULBoard!D83+LSU!D83+LSUA!D83+LSUS!D83+SUBR!D83+SUNO!D83</f>
        <v>110350112.56</v>
      </c>
      <c r="E83" s="69">
        <f t="shared" si="7"/>
        <v>-10781398.439999998</v>
      </c>
      <c r="F83" s="70">
        <f t="shared" si="6"/>
        <v>-8.900572898822337E-2</v>
      </c>
      <c r="G83" s="69">
        <f>ULSummary!G83-ULBoard!G83+LSU!G83+LSUA!G83+LSUS!G83+SUBR!G83+SUNO!G83</f>
        <v>112772632.56</v>
      </c>
      <c r="H83" s="227"/>
    </row>
    <row r="84" spans="1:8" ht="15" customHeight="1" x14ac:dyDescent="0.25">
      <c r="A84" s="75" t="s">
        <v>75</v>
      </c>
      <c r="B84" s="69">
        <f>ULSummary!B84-ULBoard!B84+LSU!B84+LSUA!B84+LSUS!B84+SUBR!B84+SUNO!B84</f>
        <v>36445672.099999994</v>
      </c>
      <c r="C84" s="69">
        <f>ULSummary!C84-ULBoard!C84+LSU!C84+LSUA!C84+LSUS!C84+SUBR!C84+SUNO!C84</f>
        <v>30326057</v>
      </c>
      <c r="D84" s="69">
        <f>ULSummary!D84-ULBoard!D84+LSU!D84+LSUA!D84+LSUS!D84+SUBR!D84+SUNO!D84</f>
        <v>32068122.719999999</v>
      </c>
      <c r="E84" s="69">
        <f t="shared" si="7"/>
        <v>1742065.7199999988</v>
      </c>
      <c r="F84" s="70">
        <f t="shared" si="6"/>
        <v>5.7444517762398152E-2</v>
      </c>
      <c r="G84" s="69">
        <f>ULSummary!G84-ULBoard!G84+LSU!G84+LSUA!G84+LSUS!G84+SUBR!G84+SUNO!G84</f>
        <v>32068122.719999999</v>
      </c>
      <c r="H84" s="227"/>
    </row>
    <row r="85" spans="1:8" s="124" customFormat="1" ht="15" customHeight="1" x14ac:dyDescent="0.25">
      <c r="A85" s="78" t="s">
        <v>76</v>
      </c>
      <c r="B85" s="87">
        <f>ULSummary!B85-ULBoard!B85+LSU!B85+LSUA!B85+LSUS!B85+SUBR!B85+SUNO!B85</f>
        <v>148705905.87</v>
      </c>
      <c r="C85" s="87">
        <f>ULSummary!C85-ULBoard!C85+LSU!C85+LSUA!C85+LSUS!C85+SUBR!C85+SUNO!C85</f>
        <v>159600865</v>
      </c>
      <c r="D85" s="87">
        <f>ULSummary!D85-ULBoard!D85+LSU!D85+LSUA!D85+LSUS!D85+SUBR!D85+SUNO!D85</f>
        <v>148713470.68000001</v>
      </c>
      <c r="E85" s="87">
        <f t="shared" si="7"/>
        <v>-10887394.319999993</v>
      </c>
      <c r="F85" s="81">
        <f t="shared" si="6"/>
        <v>-6.8216386671839102E-2</v>
      </c>
      <c r="G85" s="87">
        <f>ULSummary!G85-ULBoard!G85+LSU!G85+LSUA!G85+LSUS!G85+SUBR!G85+SUNO!G85</f>
        <v>151185990.68000001</v>
      </c>
      <c r="H85" s="228"/>
    </row>
    <row r="86" spans="1:8" ht="15" customHeight="1" x14ac:dyDescent="0.25">
      <c r="A86" s="75" t="s">
        <v>77</v>
      </c>
      <c r="B86" s="69">
        <f>ULSummary!B86-ULBoard!B86+LSU!B86+LSUA!B86+LSUS!B86+SUBR!B86+SUNO!B86</f>
        <v>30702178.129999999</v>
      </c>
      <c r="C86" s="69">
        <f>ULSummary!C86-ULBoard!C86+LSU!C86+LSUA!C86+LSUS!C86+SUBR!C86+SUNO!C86</f>
        <v>31128437</v>
      </c>
      <c r="D86" s="69">
        <f>ULSummary!D86-ULBoard!D86+LSU!D86+LSUA!D86+LSUS!D86+SUBR!D86+SUNO!D86</f>
        <v>29906203.460000001</v>
      </c>
      <c r="E86" s="69">
        <f t="shared" si="7"/>
        <v>-1222233.5399999991</v>
      </c>
      <c r="F86" s="70">
        <f t="shared" si="6"/>
        <v>-3.9264211691708101E-2</v>
      </c>
      <c r="G86" s="69">
        <f>ULSummary!G86-ULBoard!G86+LSU!G86+LSUA!G86+LSUS!G86+SUBR!G86+SUNO!G86</f>
        <v>29956203.460000001</v>
      </c>
      <c r="H86" s="227"/>
    </row>
    <row r="87" spans="1:8" ht="15" customHeight="1" x14ac:dyDescent="0.25">
      <c r="A87" s="75" t="s">
        <v>78</v>
      </c>
      <c r="B87" s="69">
        <f>ULSummary!B87-ULBoard!B87+LSU!B87+LSUA!B87+LSUS!B87+SUBR!B87+SUNO!B87</f>
        <v>272204386.67999995</v>
      </c>
      <c r="C87" s="69">
        <f>ULSummary!C87-ULBoard!C87+LSU!C87+LSUA!C87+LSUS!C87+SUBR!C87+SUNO!C87</f>
        <v>277804357</v>
      </c>
      <c r="D87" s="69">
        <f>ULSummary!D87-ULBoard!D87+LSU!D87+LSUA!D87+LSUS!D87+SUBR!D87+SUNO!D87</f>
        <v>241038952.27000001</v>
      </c>
      <c r="E87" s="69">
        <f t="shared" si="7"/>
        <v>-36765404.729999989</v>
      </c>
      <c r="F87" s="70">
        <f t="shared" si="6"/>
        <v>-0.13234279378130845</v>
      </c>
      <c r="G87" s="69">
        <f>ULSummary!G87-ULBoard!G87+LSU!G87+LSUA!G87+LSUS!G87+SUBR!G87+SUNO!G87</f>
        <v>256165703.27000001</v>
      </c>
      <c r="H87" s="227"/>
    </row>
    <row r="88" spans="1:8" ht="15" customHeight="1" x14ac:dyDescent="0.25">
      <c r="A88" s="75" t="s">
        <v>79</v>
      </c>
      <c r="B88" s="69">
        <f>ULSummary!B88-ULBoard!B88+LSU!B88+LSUA!B88+LSUS!B88+SUBR!B88+SUNO!B88</f>
        <v>4804743</v>
      </c>
      <c r="C88" s="69">
        <f>ULSummary!C88-ULBoard!C88+LSU!C88+LSUA!C88+LSUS!C88+SUBR!C88+SUNO!C88</f>
        <v>0</v>
      </c>
      <c r="D88" s="69">
        <f>ULSummary!D88-ULBoard!D88+LSU!D88+LSUA!D88+LSUS!D88+SUBR!D88+SUNO!D88</f>
        <v>0</v>
      </c>
      <c r="E88" s="69">
        <f t="shared" si="7"/>
        <v>0</v>
      </c>
      <c r="F88" s="70">
        <f t="shared" si="6"/>
        <v>0</v>
      </c>
      <c r="G88" s="69">
        <f>ULSummary!G88-ULBoard!G88+LSU!G88+LSUA!G88+LSUS!G88+SUBR!G88+SUNO!G88</f>
        <v>0</v>
      </c>
      <c r="H88" s="227"/>
    </row>
    <row r="89" spans="1:8" ht="15" customHeight="1" x14ac:dyDescent="0.25">
      <c r="A89" s="75" t="s">
        <v>80</v>
      </c>
      <c r="B89" s="69">
        <f>ULSummary!B89-ULBoard!B89+LSU!B89+LSUA!B89+LSUS!B89+SUBR!B89+SUNO!B89</f>
        <v>7711927.9700000007</v>
      </c>
      <c r="C89" s="69">
        <f>ULSummary!C89-ULBoard!C89+LSU!C89+LSUA!C89+LSUS!C89+SUBR!C89+SUNO!C89</f>
        <v>11841603</v>
      </c>
      <c r="D89" s="69">
        <f>ULSummary!D89-ULBoard!D89+LSU!D89+LSUA!D89+LSUS!D89+SUBR!D89+SUNO!D89</f>
        <v>10391890</v>
      </c>
      <c r="E89" s="69">
        <f t="shared" si="7"/>
        <v>-1449713</v>
      </c>
      <c r="F89" s="70">
        <f t="shared" si="6"/>
        <v>-0.12242540135824516</v>
      </c>
      <c r="G89" s="69">
        <f>ULSummary!G89-ULBoard!G89+LSU!G89+LSUA!G89+LSUS!G89+SUBR!G89+SUNO!G89</f>
        <v>10391890</v>
      </c>
      <c r="H89" s="227"/>
    </row>
    <row r="90" spans="1:8" s="124" customFormat="1" ht="15" customHeight="1" x14ac:dyDescent="0.25">
      <c r="A90" s="78" t="s">
        <v>81</v>
      </c>
      <c r="B90" s="87">
        <f>ULSummary!B90-ULBoard!B90+LSU!B90+LSUA!B90+LSUS!B90+SUBR!B90+SUNO!B90</f>
        <v>315423235.77999997</v>
      </c>
      <c r="C90" s="87">
        <f>ULSummary!C90-ULBoard!C90+LSU!C90+LSUA!C90+LSUS!C90+SUBR!C90+SUNO!C90</f>
        <v>320774397</v>
      </c>
      <c r="D90" s="87">
        <f>ULSummary!D90-ULBoard!D90+LSU!D90+LSUA!D90+LSUS!D90+SUBR!D90+SUNO!D90</f>
        <v>281337045.73000002</v>
      </c>
      <c r="E90" s="87">
        <f t="shared" si="7"/>
        <v>-39437351.269999981</v>
      </c>
      <c r="F90" s="81">
        <f t="shared" si="6"/>
        <v>-0.12294419890998963</v>
      </c>
      <c r="G90" s="87">
        <f>ULSummary!G90-ULBoard!G90+LSU!G90+LSUA!G90+LSUS!G90+SUBR!G90+SUNO!G90</f>
        <v>296513796.73000002</v>
      </c>
      <c r="H90" s="228"/>
    </row>
    <row r="91" spans="1:8" ht="15" customHeight="1" x14ac:dyDescent="0.25">
      <c r="A91" s="75" t="s">
        <v>82</v>
      </c>
      <c r="B91" s="69">
        <f>ULSummary!B91-ULBoard!B91+LSU!B91+LSUA!B91+LSUS!B91+SUBR!B91+SUNO!B91</f>
        <v>13172150.15</v>
      </c>
      <c r="C91" s="69">
        <f>ULSummary!C91-ULBoard!C91+LSU!C91+LSUA!C91+LSUS!C91+SUBR!C91+SUNO!C91</f>
        <v>12421654</v>
      </c>
      <c r="D91" s="69">
        <f>ULSummary!D91-ULBoard!D91+LSU!D91+LSUA!D91+LSUS!D91+SUBR!D91+SUNO!D91</f>
        <v>9297955.6799999997</v>
      </c>
      <c r="E91" s="69">
        <f t="shared" si="7"/>
        <v>-3123698.3200000003</v>
      </c>
      <c r="F91" s="70">
        <f t="shared" si="6"/>
        <v>-0.25147201169828109</v>
      </c>
      <c r="G91" s="69">
        <f>ULSummary!G91-ULBoard!G91+LSU!G91+LSUA!G91+LSUS!G91+SUBR!G91+SUNO!G91</f>
        <v>9351160.9199999999</v>
      </c>
      <c r="H91" s="227"/>
    </row>
    <row r="92" spans="1:8" ht="15" customHeight="1" x14ac:dyDescent="0.25">
      <c r="A92" s="75" t="s">
        <v>83</v>
      </c>
      <c r="B92" s="69">
        <f>ULSummary!B92-ULBoard!B92+LSU!B92+LSUA!B92+LSUS!B92+SUBR!B92+SUNO!B92</f>
        <v>5308051.8400000008</v>
      </c>
      <c r="C92" s="69">
        <f>ULSummary!C92-ULBoard!C92+LSU!C92+LSUA!C92+LSUS!C92+SUBR!C92+SUNO!C92</f>
        <v>5108788</v>
      </c>
      <c r="D92" s="69">
        <f>ULSummary!D92-ULBoard!D92+LSU!D92+LSUA!D92+LSUS!D92+SUBR!D92+SUNO!D92</f>
        <v>4518240.21</v>
      </c>
      <c r="E92" s="69">
        <f t="shared" si="7"/>
        <v>-590547.79</v>
      </c>
      <c r="F92" s="70">
        <f t="shared" si="6"/>
        <v>-0.11559449912582007</v>
      </c>
      <c r="G92" s="69">
        <f>ULSummary!G92-ULBoard!G92+LSU!G92+LSUA!G92+LSUS!G92+SUBR!G92+SUNO!G92</f>
        <v>4518240.21</v>
      </c>
      <c r="H92" s="227"/>
    </row>
    <row r="93" spans="1:8" ht="15" customHeight="1" x14ac:dyDescent="0.25">
      <c r="A93" s="83" t="s">
        <v>84</v>
      </c>
      <c r="B93" s="69">
        <f>ULSummary!B93-ULBoard!B93+LSU!B93+LSUA!B93+LSUS!B93+SUBR!B93+SUNO!B93</f>
        <v>310753.23</v>
      </c>
      <c r="C93" s="69">
        <f>ULSummary!C93-ULBoard!C93+LSU!C93+LSUA!C93+LSUS!C93+SUBR!C93+SUNO!C93</f>
        <v>181175</v>
      </c>
      <c r="D93" s="69">
        <f>ULSummary!D93-ULBoard!D93+LSU!D93+LSUA!D93+LSUS!D93+SUBR!D93+SUNO!D93</f>
        <v>2173566</v>
      </c>
      <c r="E93" s="69">
        <f t="shared" si="7"/>
        <v>1992391</v>
      </c>
      <c r="F93" s="70">
        <f t="shared" si="6"/>
        <v>10.997052573478681</v>
      </c>
      <c r="G93" s="69">
        <f>ULSummary!G93-ULBoard!G93+LSU!G93+LSUA!G93+LSUS!G93+SUBR!G93+SUNO!G93</f>
        <v>2173566</v>
      </c>
      <c r="H93" s="227"/>
    </row>
    <row r="94" spans="1:8" s="124" customFormat="1" ht="15" customHeight="1" x14ac:dyDescent="0.25">
      <c r="A94" s="97" t="s">
        <v>85</v>
      </c>
      <c r="B94" s="87">
        <f>ULSummary!B94-ULBoard!B94+LSU!B94+LSUA!B94+LSUS!B94+SUBR!B94+SUNO!B94</f>
        <v>18790955.220000003</v>
      </c>
      <c r="C94" s="87">
        <f>ULSummary!C94-ULBoard!C94+LSU!C94+LSUA!C94+LSUS!C94+SUBR!C94+SUNO!C94</f>
        <v>17711617</v>
      </c>
      <c r="D94" s="87">
        <f>ULSummary!D94-ULBoard!D94+LSU!D94+LSUA!D94+LSUS!D94+SUBR!D94+SUNO!D94</f>
        <v>15989761.890000001</v>
      </c>
      <c r="E94" s="87">
        <f t="shared" si="7"/>
        <v>-1721855.1099999994</v>
      </c>
      <c r="F94" s="81">
        <f t="shared" si="6"/>
        <v>-9.7216144070865998E-2</v>
      </c>
      <c r="G94" s="87">
        <f>ULSummary!G94-ULBoard!G94+LSU!G94+LSUA!G94+LSUS!G94+SUBR!G94+SUNO!G94</f>
        <v>16042967.130000001</v>
      </c>
      <c r="H94" s="228"/>
    </row>
    <row r="95" spans="1:8" ht="15" customHeight="1" x14ac:dyDescent="0.25">
      <c r="A95" s="83" t="s">
        <v>86</v>
      </c>
      <c r="B95" s="69">
        <f>ULSummary!B95-ULBoard!B95+LSU!B95+LSUA!B95+LSUS!B95+SUBR!B95+SUNO!B95</f>
        <v>0</v>
      </c>
      <c r="C95" s="69">
        <f>ULSummary!C95-ULBoard!C95+LSU!C95+LSUA!C95+LSUS!C95+SUBR!C95+SUNO!C95</f>
        <v>0</v>
      </c>
      <c r="D95" s="69">
        <f>ULSummary!D95-ULBoard!D95+LSU!D95+LSUA!D95+LSUS!D95+SUBR!D95+SUNO!D95</f>
        <v>0</v>
      </c>
      <c r="E95" s="69">
        <f t="shared" si="7"/>
        <v>0</v>
      </c>
      <c r="F95" s="70">
        <f t="shared" si="6"/>
        <v>0</v>
      </c>
      <c r="G95" s="69">
        <f>ULSummary!G95-ULBoard!G95+LSU!G95+LSUA!G95+LSUS!G95+SUBR!G95+SUNO!G95</f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ULSummary!B96-ULBoard!B96+LSU!B96+LSUA!B96+LSUS!B96+SUBR!B96+SUNO!B96-1</f>
        <v>1635667649.46</v>
      </c>
      <c r="C96" s="196">
        <f>ULSummary!C96-ULBoard!C96+LSU!C96+LSUA!C96+LSUS!C96+SUBR!C96+SUNO!C96</f>
        <v>1737382189</v>
      </c>
      <c r="D96" s="196">
        <f>ULSummary!D96-ULBoard!D96+LSU!D96+LSUA!D96+LSUS!D96+SUBR!D96+SUNO!D96</f>
        <v>1610777676.812</v>
      </c>
      <c r="E96" s="197">
        <f>D96-C96</f>
        <v>-126604512.18799996</v>
      </c>
      <c r="F96" s="198">
        <f t="shared" si="6"/>
        <v>-7.2870847295188862E-2</v>
      </c>
      <c r="G96" s="196">
        <f>ULSummary!G96-ULBoard!G96+LSU!G96+LSUA!G96+LSUS!G96+SUBR!G96+SUNO!G96</f>
        <v>1669843951.802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" t="s">
        <v>197</v>
      </c>
    </row>
    <row r="99" spans="1:9" x14ac:dyDescent="0.25">
      <c r="A99" s="1" t="s">
        <v>190</v>
      </c>
    </row>
  </sheetData>
  <mergeCells count="1">
    <mergeCell ref="G2:G3"/>
  </mergeCells>
  <hyperlinks>
    <hyperlink ref="I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103</v>
      </c>
      <c r="F1" s="41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4329749</v>
      </c>
      <c r="C8" s="69">
        <v>4329749</v>
      </c>
      <c r="D8" s="69">
        <v>4301529</v>
      </c>
      <c r="E8" s="69">
        <f>D8-C8</f>
        <v>-28220</v>
      </c>
      <c r="F8" s="70">
        <f t="shared" ref="F8:F31" si="0">IF(ISBLANK(E8),"  ",IF(C8&gt;0,E8/C8,IF(E8&gt;0,1,0)))</f>
        <v>-6.5176988319646245E-3</v>
      </c>
      <c r="G8" s="69">
        <v>4301529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2000000</v>
      </c>
      <c r="C10" s="72">
        <f t="shared" ref="C10:D10" si="1">SUM(C11:C31)</f>
        <v>2000000</v>
      </c>
      <c r="D10" s="72">
        <f t="shared" si="1"/>
        <v>0</v>
      </c>
      <c r="E10" s="69">
        <f t="shared" ref="E10:E31" si="2">D10-C10</f>
        <v>-2000000</v>
      </c>
      <c r="F10" s="70">
        <f t="shared" si="0"/>
        <v>-1</v>
      </c>
      <c r="G10" s="72">
        <f>SUM(G11:G31)</f>
        <v>0</v>
      </c>
      <c r="H10" s="227"/>
    </row>
    <row r="11" spans="1:9" ht="15" customHeight="1" x14ac:dyDescent="0.25">
      <c r="A11" s="73" t="s">
        <v>15</v>
      </c>
      <c r="B11" s="74">
        <v>2000000</v>
      </c>
      <c r="C11" s="74">
        <v>2000000</v>
      </c>
      <c r="D11" s="74">
        <v>0</v>
      </c>
      <c r="E11" s="69">
        <f t="shared" si="2"/>
        <v>-2000000</v>
      </c>
      <c r="F11" s="70">
        <f t="shared" si="0"/>
        <v>-1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0</v>
      </c>
      <c r="C12" s="74">
        <v>0</v>
      </c>
      <c r="D12" s="74">
        <v>0</v>
      </c>
      <c r="E12" s="69">
        <f t="shared" si="2"/>
        <v>0</v>
      </c>
      <c r="F12" s="70">
        <f t="shared" si="0"/>
        <v>0</v>
      </c>
      <c r="G12" s="74">
        <v>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6329749</v>
      </c>
      <c r="C37" s="80">
        <f t="shared" ref="C37:D37" si="3">SUM(C8,C9,C10,C33,C35,C36)</f>
        <v>6329749</v>
      </c>
      <c r="D37" s="80">
        <f t="shared" si="3"/>
        <v>4301529</v>
      </c>
      <c r="E37" s="80">
        <f>D37-C37</f>
        <v>-2028220</v>
      </c>
      <c r="F37" s="81">
        <f>IF(ISBLANK(E37),"  ",IF(C37&gt;0,E37/C37,IF(E37&gt;0,1,0)))</f>
        <v>-0.32042660775332482</v>
      </c>
      <c r="G37" s="80">
        <f>SUM(G8,G9,G10,G33,G35,G36)</f>
        <v>4301529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69">
        <f t="shared" si="5"/>
        <v>0</v>
      </c>
      <c r="F41" s="70">
        <f t="shared" si="4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0</v>
      </c>
      <c r="C44" s="85">
        <f t="shared" ref="C44:D44" si="6">SUM(C39:C43)</f>
        <v>0</v>
      </c>
      <c r="D44" s="85">
        <f t="shared" si="6"/>
        <v>0</v>
      </c>
      <c r="E44" s="87">
        <f t="shared" si="5"/>
        <v>0</v>
      </c>
      <c r="F44" s="81">
        <f t="shared" si="4"/>
        <v>0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0</v>
      </c>
      <c r="C48" s="87">
        <v>0</v>
      </c>
      <c r="D48" s="87">
        <v>0</v>
      </c>
      <c r="E48" s="87">
        <f>D48-C48</f>
        <v>0</v>
      </c>
      <c r="F48" s="81">
        <f>IF(ISBLANK(E48)," ",IF(C48&gt;0,E48/C48,IF(E48&gt;0,1,0)))</f>
        <v>0</v>
      </c>
      <c r="G48" s="87">
        <v>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0</v>
      </c>
      <c r="C52" s="85">
        <v>0</v>
      </c>
      <c r="D52" s="85">
        <v>0</v>
      </c>
      <c r="E52" s="85">
        <f>D52-C52</f>
        <v>0</v>
      </c>
      <c r="F52" s="81">
        <f>IF(ISBLANK(E52),"  ",IF(C52&gt;0,E52/C52,IF(E52&gt;0,1,0)))</f>
        <v>0</v>
      </c>
      <c r="G52" s="85">
        <v>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6329749</v>
      </c>
      <c r="C58" s="85">
        <f t="shared" ref="C58:D58" si="7">SUM(C37,C46,C48,C50,C52,C54,C56)-C44</f>
        <v>6329749</v>
      </c>
      <c r="D58" s="85">
        <f t="shared" si="7"/>
        <v>4301529</v>
      </c>
      <c r="E58" s="85">
        <f>D58-C58</f>
        <v>-2028220</v>
      </c>
      <c r="F58" s="81">
        <f>IF(ISBLANK(E58),"  ",IF(C58&gt;0,E58/C58,IF(E58&gt;0,1,0)))</f>
        <v>-0.32042660775332482</v>
      </c>
      <c r="G58" s="85">
        <f>SUM(G37,G46,G48,G50,G52,G54,G56)-G44</f>
        <v>4301529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0</v>
      </c>
      <c r="C62" s="65">
        <v>0</v>
      </c>
      <c r="D62" s="65">
        <v>0</v>
      </c>
      <c r="E62" s="232">
        <f>D62-C62</f>
        <v>0</v>
      </c>
      <c r="F62" s="70">
        <f t="shared" ref="F62:F75" si="8">IF(ISBLANK(E62),"  ",IF(C62&gt;0,E62/C62,IF(E62&gt;0,1,0)))</f>
        <v>0</v>
      </c>
      <c r="G62" s="65">
        <v>0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2000000</v>
      </c>
      <c r="C65" s="74">
        <v>2000000</v>
      </c>
      <c r="D65" s="74">
        <v>0</v>
      </c>
      <c r="E65" s="232">
        <f t="shared" si="9"/>
        <v>-2000000</v>
      </c>
      <c r="F65" s="70">
        <f t="shared" si="8"/>
        <v>-1</v>
      </c>
      <c r="G65" s="74">
        <v>0</v>
      </c>
      <c r="H65" s="227"/>
    </row>
    <row r="66" spans="1:8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232">
        <f t="shared" si="9"/>
        <v>0</v>
      </c>
      <c r="F66" s="70">
        <f t="shared" si="8"/>
        <v>0</v>
      </c>
      <c r="G66" s="74">
        <v>0</v>
      </c>
      <c r="H66" s="227"/>
    </row>
    <row r="67" spans="1:8" ht="15" customHeight="1" x14ac:dyDescent="0.25">
      <c r="A67" s="75" t="s">
        <v>59</v>
      </c>
      <c r="B67" s="74">
        <v>3826077</v>
      </c>
      <c r="C67" s="74">
        <v>3826077</v>
      </c>
      <c r="D67" s="74">
        <v>3799305</v>
      </c>
      <c r="E67" s="232">
        <f t="shared" si="9"/>
        <v>-26772</v>
      </c>
      <c r="F67" s="70">
        <f t="shared" si="8"/>
        <v>-6.9972454814683548E-3</v>
      </c>
      <c r="G67" s="74">
        <v>3799305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232">
        <f t="shared" si="9"/>
        <v>0</v>
      </c>
      <c r="F68" s="70">
        <f t="shared" si="8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0</v>
      </c>
      <c r="C69" s="74">
        <v>0</v>
      </c>
      <c r="D69" s="74">
        <v>0</v>
      </c>
      <c r="E69" s="232">
        <f t="shared" si="9"/>
        <v>0</v>
      </c>
      <c r="F69" s="70">
        <f t="shared" si="8"/>
        <v>0</v>
      </c>
      <c r="G69" s="74">
        <v>0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5826077</v>
      </c>
      <c r="C70" s="80">
        <f t="shared" ref="C70:D70" si="10">SUM(C62:C69)</f>
        <v>5826077</v>
      </c>
      <c r="D70" s="80">
        <f t="shared" si="10"/>
        <v>3799305</v>
      </c>
      <c r="E70" s="89">
        <f t="shared" si="9"/>
        <v>-2026772</v>
      </c>
      <c r="F70" s="81">
        <f t="shared" si="8"/>
        <v>-0.34787937062967073</v>
      </c>
      <c r="G70" s="80">
        <f>SUM(G62:G69)</f>
        <v>3799305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503672</v>
      </c>
      <c r="C72" s="74">
        <v>503672</v>
      </c>
      <c r="D72" s="74">
        <v>502224</v>
      </c>
      <c r="E72" s="232">
        <f t="shared" si="9"/>
        <v>-1448</v>
      </c>
      <c r="F72" s="70">
        <f t="shared" si="8"/>
        <v>-2.874886831112311E-3</v>
      </c>
      <c r="G72" s="74">
        <v>502224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6329749</v>
      </c>
      <c r="C75" s="96">
        <f t="shared" ref="C75:D75" si="11">SUM(C70,C71:C74)</f>
        <v>6329749</v>
      </c>
      <c r="D75" s="96">
        <f t="shared" si="11"/>
        <v>4301529</v>
      </c>
      <c r="E75" s="89">
        <f t="shared" si="9"/>
        <v>-2028220</v>
      </c>
      <c r="F75" s="81">
        <f t="shared" si="8"/>
        <v>-0.32042660775332482</v>
      </c>
      <c r="G75" s="96">
        <f>SUM(G70,G71:G74)</f>
        <v>4301529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2716337.17</v>
      </c>
      <c r="C78" s="69">
        <v>2716337.17</v>
      </c>
      <c r="D78" s="69">
        <v>2697329.05</v>
      </c>
      <c r="E78" s="65">
        <f>D78-C78</f>
        <v>-19008.120000000112</v>
      </c>
      <c r="F78" s="70">
        <f t="shared" ref="F78:F96" si="12">IF(ISBLANK(E78),"  ",IF(C78&gt;0,E78/C78,IF(E78&gt;0,1,0)))</f>
        <v>-6.9977027189154547E-3</v>
      </c>
      <c r="G78" s="69">
        <v>2697329.05</v>
      </c>
      <c r="H78" s="227"/>
    </row>
    <row r="79" spans="1:8" ht="15" customHeight="1" x14ac:dyDescent="0.25">
      <c r="A79" s="75" t="s">
        <v>70</v>
      </c>
      <c r="B79" s="72">
        <v>250</v>
      </c>
      <c r="C79" s="72">
        <v>250</v>
      </c>
      <c r="D79" s="72">
        <v>250</v>
      </c>
      <c r="E79" s="74">
        <f>D79-C79</f>
        <v>0</v>
      </c>
      <c r="F79" s="70">
        <f t="shared" si="12"/>
        <v>0</v>
      </c>
      <c r="G79" s="72">
        <v>250</v>
      </c>
      <c r="H79" s="227"/>
    </row>
    <row r="80" spans="1:8" ht="15" customHeight="1" x14ac:dyDescent="0.25">
      <c r="A80" s="75" t="s">
        <v>71</v>
      </c>
      <c r="B80" s="65">
        <v>1109489.83</v>
      </c>
      <c r="C80" s="65">
        <v>1109489.83</v>
      </c>
      <c r="D80" s="65">
        <v>1101725.9500000002</v>
      </c>
      <c r="E80" s="74">
        <f t="shared" ref="E80:E95" si="13">D80-C80</f>
        <v>-7763.8799999998882</v>
      </c>
      <c r="F80" s="70">
        <f t="shared" si="12"/>
        <v>-6.9977027189153124E-3</v>
      </c>
      <c r="G80" s="65">
        <v>1101725.9500000002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3826077</v>
      </c>
      <c r="C81" s="96">
        <f t="shared" ref="C81:D81" si="14">SUM(C78:C80)</f>
        <v>3826077</v>
      </c>
      <c r="D81" s="96">
        <f t="shared" si="14"/>
        <v>3799305</v>
      </c>
      <c r="E81" s="80">
        <f t="shared" si="13"/>
        <v>-26772</v>
      </c>
      <c r="F81" s="81">
        <f t="shared" si="12"/>
        <v>-6.9972454814683548E-3</v>
      </c>
      <c r="G81" s="96">
        <f>SUM(G78:G80)</f>
        <v>3799305</v>
      </c>
      <c r="H81" s="228"/>
    </row>
    <row r="82" spans="1:8" ht="15" customHeight="1" x14ac:dyDescent="0.25">
      <c r="A82" s="75" t="s">
        <v>73</v>
      </c>
      <c r="B82" s="72">
        <v>0</v>
      </c>
      <c r="C82" s="72">
        <v>0</v>
      </c>
      <c r="D82" s="72">
        <v>0</v>
      </c>
      <c r="E82" s="74">
        <f t="shared" si="13"/>
        <v>0</v>
      </c>
      <c r="F82" s="70">
        <f t="shared" si="12"/>
        <v>0</v>
      </c>
      <c r="G82" s="72">
        <v>0</v>
      </c>
      <c r="H82" s="227"/>
    </row>
    <row r="83" spans="1:8" ht="15" customHeight="1" x14ac:dyDescent="0.25">
      <c r="A83" s="75" t="s">
        <v>74</v>
      </c>
      <c r="B83" s="69">
        <v>0</v>
      </c>
      <c r="C83" s="69">
        <v>0</v>
      </c>
      <c r="D83" s="69">
        <v>0</v>
      </c>
      <c r="E83" s="74">
        <f t="shared" si="13"/>
        <v>0</v>
      </c>
      <c r="F83" s="70">
        <f t="shared" si="12"/>
        <v>0</v>
      </c>
      <c r="G83" s="69">
        <v>0</v>
      </c>
      <c r="H83" s="227"/>
    </row>
    <row r="84" spans="1:8" ht="15" customHeight="1" x14ac:dyDescent="0.25">
      <c r="A84" s="75" t="s">
        <v>75</v>
      </c>
      <c r="B84" s="65">
        <v>0</v>
      </c>
      <c r="C84" s="65">
        <v>0</v>
      </c>
      <c r="D84" s="65">
        <v>0</v>
      </c>
      <c r="E84" s="74">
        <f t="shared" si="13"/>
        <v>0</v>
      </c>
      <c r="F84" s="70">
        <f t="shared" si="12"/>
        <v>0</v>
      </c>
      <c r="G84" s="65">
        <v>0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0</v>
      </c>
      <c r="C85" s="96">
        <f t="shared" ref="C85:D85" si="15">SUM(C82:C84)</f>
        <v>0</v>
      </c>
      <c r="D85" s="96">
        <f t="shared" si="15"/>
        <v>0</v>
      </c>
      <c r="E85" s="74">
        <f t="shared" si="13"/>
        <v>0</v>
      </c>
      <c r="F85" s="81">
        <f t="shared" si="12"/>
        <v>0</v>
      </c>
      <c r="G85" s="96">
        <f>SUM(G82:G84)</f>
        <v>0</v>
      </c>
      <c r="H85" s="228"/>
    </row>
    <row r="86" spans="1:8" ht="15" customHeight="1" x14ac:dyDescent="0.25">
      <c r="A86" s="75" t="s">
        <v>77</v>
      </c>
      <c r="B86" s="65">
        <v>0</v>
      </c>
      <c r="C86" s="65">
        <v>0</v>
      </c>
      <c r="D86" s="65">
        <v>0</v>
      </c>
      <c r="E86" s="74">
        <f t="shared" si="13"/>
        <v>0</v>
      </c>
      <c r="F86" s="70">
        <f t="shared" si="12"/>
        <v>0</v>
      </c>
      <c r="G86" s="65">
        <v>0</v>
      </c>
      <c r="H86" s="227"/>
    </row>
    <row r="87" spans="1:8" ht="15" customHeight="1" x14ac:dyDescent="0.25">
      <c r="A87" s="75" t="s">
        <v>78</v>
      </c>
      <c r="B87" s="74">
        <v>2000000</v>
      </c>
      <c r="C87" s="74">
        <v>2000000</v>
      </c>
      <c r="D87" s="74">
        <v>0</v>
      </c>
      <c r="E87" s="74">
        <f t="shared" si="13"/>
        <v>-2000000</v>
      </c>
      <c r="F87" s="70">
        <f t="shared" si="12"/>
        <v>-1</v>
      </c>
      <c r="G87" s="74">
        <v>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503672</v>
      </c>
      <c r="C89" s="74">
        <v>503672</v>
      </c>
      <c r="D89" s="74">
        <v>502224</v>
      </c>
      <c r="E89" s="74">
        <f t="shared" si="13"/>
        <v>-1448</v>
      </c>
      <c r="F89" s="70">
        <f t="shared" si="12"/>
        <v>-2.874886831112311E-3</v>
      </c>
      <c r="G89" s="74">
        <v>502224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2503672</v>
      </c>
      <c r="C90" s="80">
        <f t="shared" ref="C90:D90" si="16">SUM(C86:C89)</f>
        <v>2503672</v>
      </c>
      <c r="D90" s="80">
        <f t="shared" si="16"/>
        <v>502224</v>
      </c>
      <c r="E90" s="80">
        <f t="shared" si="13"/>
        <v>-2001448</v>
      </c>
      <c r="F90" s="81">
        <f t="shared" si="12"/>
        <v>-0.79940503388622786</v>
      </c>
      <c r="G90" s="80">
        <f>SUM(G86:G89)</f>
        <v>502224</v>
      </c>
      <c r="H90" s="228"/>
    </row>
    <row r="91" spans="1:8" ht="15" customHeight="1" x14ac:dyDescent="0.25">
      <c r="A91" s="75" t="s">
        <v>82</v>
      </c>
      <c r="B91" s="74">
        <v>0</v>
      </c>
      <c r="C91" s="74">
        <v>0</v>
      </c>
      <c r="D91" s="74">
        <v>0</v>
      </c>
      <c r="E91" s="74">
        <f t="shared" si="13"/>
        <v>0</v>
      </c>
      <c r="F91" s="70">
        <f t="shared" si="12"/>
        <v>0</v>
      </c>
      <c r="G91" s="74">
        <v>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0</v>
      </c>
      <c r="C94" s="96">
        <f t="shared" ref="C94:D94" si="17">SUM(C91:C93)</f>
        <v>0</v>
      </c>
      <c r="D94" s="96">
        <f t="shared" si="17"/>
        <v>0</v>
      </c>
      <c r="E94" s="74">
        <f t="shared" si="13"/>
        <v>0</v>
      </c>
      <c r="F94" s="81">
        <f t="shared" si="12"/>
        <v>0</v>
      </c>
      <c r="G94" s="96">
        <f>SUM(G91:G93)</f>
        <v>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6329749</v>
      </c>
      <c r="C96" s="196">
        <f t="shared" ref="C96:D96" si="18">SUM(C81,C85,C90,C94,C95)</f>
        <v>6329749</v>
      </c>
      <c r="D96" s="196">
        <f t="shared" si="18"/>
        <v>4301529</v>
      </c>
      <c r="E96" s="196">
        <f>D96-C96</f>
        <v>-2028220</v>
      </c>
      <c r="F96" s="198">
        <f t="shared" si="12"/>
        <v>-0.32042660775332482</v>
      </c>
      <c r="G96" s="196">
        <f>SUM(G81,G85,G90,G94,G95)</f>
        <v>4301529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pageSetUpPr fitToPage="1"/>
  </sheetPr>
  <dimension ref="A1:Q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8" t="s">
        <v>104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1286145</v>
      </c>
      <c r="C8" s="69">
        <v>1286145</v>
      </c>
      <c r="D8" s="69">
        <v>1245091</v>
      </c>
      <c r="E8" s="69">
        <f>D8-C8</f>
        <v>-41054</v>
      </c>
      <c r="F8" s="70">
        <f t="shared" ref="F8:F31" si="0">IF(ISBLANK(E8),"  ",IF(C8&gt;0,E8/C8,IF(E8&gt;0,1,0)))</f>
        <v>-3.1920195623355067E-2</v>
      </c>
      <c r="G8" s="69">
        <v>1245091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0</v>
      </c>
      <c r="C10" s="72">
        <f t="shared" ref="C10:D10" si="1">SUM(C11:C31)</f>
        <v>0</v>
      </c>
      <c r="D10" s="72">
        <f t="shared" si="1"/>
        <v>0</v>
      </c>
      <c r="E10" s="69">
        <f t="shared" ref="E10:E31" si="2">D10-C10</f>
        <v>0</v>
      </c>
      <c r="F10" s="70">
        <f t="shared" si="0"/>
        <v>0</v>
      </c>
      <c r="G10" s="72">
        <f>SUM(G11:G31)</f>
        <v>0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0</v>
      </c>
      <c r="C12" s="74">
        <v>0</v>
      </c>
      <c r="D12" s="74">
        <v>0</v>
      </c>
      <c r="E12" s="69">
        <f t="shared" si="2"/>
        <v>0</v>
      </c>
      <c r="F12" s="70">
        <f t="shared" si="0"/>
        <v>0</v>
      </c>
      <c r="G12" s="74">
        <v>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17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17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17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17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17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17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17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  <c r="Q23" s="139" t="s">
        <v>46</v>
      </c>
    </row>
    <row r="24" spans="1:17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17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17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17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17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17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17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17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17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1286145</v>
      </c>
      <c r="C37" s="80">
        <f t="shared" ref="C37:D37" si="3">SUM(C8,C9,C10,C33,C35,C36)</f>
        <v>1286145</v>
      </c>
      <c r="D37" s="80">
        <f t="shared" si="3"/>
        <v>1245091</v>
      </c>
      <c r="E37" s="80">
        <f>D37-C37</f>
        <v>-41054</v>
      </c>
      <c r="F37" s="81">
        <f>IF(ISBLANK(E37),"  ",IF(C37&gt;0,E37/C37,IF(E37&gt;0,1,0)))</f>
        <v>-3.1920195623355067E-2</v>
      </c>
      <c r="G37" s="80">
        <f>SUM(G8,G9,G10,G33,G35,G36)</f>
        <v>1245091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69">
        <f t="shared" si="5"/>
        <v>0</v>
      </c>
      <c r="F41" s="70">
        <f t="shared" si="4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0</v>
      </c>
      <c r="C44" s="85">
        <f t="shared" ref="C44:D44" si="6">SUM(C39:C43)</f>
        <v>0</v>
      </c>
      <c r="D44" s="85">
        <f t="shared" si="6"/>
        <v>0</v>
      </c>
      <c r="E44" s="87">
        <f t="shared" si="5"/>
        <v>0</v>
      </c>
      <c r="F44" s="81">
        <f t="shared" si="4"/>
        <v>0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0</v>
      </c>
      <c r="C48" s="87">
        <v>0</v>
      </c>
      <c r="D48" s="87">
        <v>0</v>
      </c>
      <c r="E48" s="87">
        <f>D48-C48</f>
        <v>0</v>
      </c>
      <c r="F48" s="81">
        <f>IF(ISBLANK(E48)," ",IF(C48&gt;0,E48/C48,IF(E48&gt;0,1,0)))</f>
        <v>0</v>
      </c>
      <c r="G48" s="87">
        <v>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0</v>
      </c>
      <c r="C52" s="85">
        <v>0</v>
      </c>
      <c r="D52" s="85">
        <v>0</v>
      </c>
      <c r="E52" s="85">
        <f>D52-C52</f>
        <v>0</v>
      </c>
      <c r="F52" s="81">
        <f>IF(ISBLANK(E52),"  ",IF(C52&gt;0,E52/C52,IF(E52&gt;0,1,0)))</f>
        <v>0</v>
      </c>
      <c r="G52" s="85">
        <v>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1286145</v>
      </c>
      <c r="C58" s="85">
        <f t="shared" ref="C58:D58" si="7">SUM(C37,C46,C48,C50,C52,C54,C56)-C44</f>
        <v>1286145</v>
      </c>
      <c r="D58" s="85">
        <f t="shared" si="7"/>
        <v>1245091</v>
      </c>
      <c r="E58" s="85">
        <f>D58-C58</f>
        <v>-41054</v>
      </c>
      <c r="F58" s="81">
        <f>IF(ISBLANK(E58),"  ",IF(C58&gt;0,E58/C58,IF(E58&gt;0,1,0)))</f>
        <v>-3.1920195623355067E-2</v>
      </c>
      <c r="G58" s="85">
        <f>SUM(G37,G46,G48,G50,G52,G54,G56)-G44</f>
        <v>1245091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0</v>
      </c>
      <c r="C62" s="65">
        <v>0</v>
      </c>
      <c r="D62" s="65">
        <v>0</v>
      </c>
      <c r="E62" s="232">
        <f>D62-C62</f>
        <v>0</v>
      </c>
      <c r="F62" s="70">
        <f t="shared" ref="F62:F75" si="8">IF(ISBLANK(E62),"  ",IF(C62&gt;0,E62/C62,IF(E62&gt;0,1,0)))</f>
        <v>0</v>
      </c>
      <c r="G62" s="65">
        <v>0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1283028</v>
      </c>
      <c r="C65" s="74">
        <v>1283028</v>
      </c>
      <c r="D65" s="74">
        <v>1241966</v>
      </c>
      <c r="E65" s="232">
        <f t="shared" si="9"/>
        <v>-41062</v>
      </c>
      <c r="F65" s="70">
        <f t="shared" si="8"/>
        <v>-3.2003978089332426E-2</v>
      </c>
      <c r="G65" s="74">
        <v>1241966</v>
      </c>
      <c r="H65" s="227"/>
    </row>
    <row r="66" spans="1:8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232">
        <f t="shared" si="9"/>
        <v>0</v>
      </c>
      <c r="F66" s="70">
        <f t="shared" si="8"/>
        <v>0</v>
      </c>
      <c r="G66" s="74">
        <v>0</v>
      </c>
      <c r="H66" s="227"/>
    </row>
    <row r="67" spans="1:8" ht="15" customHeight="1" x14ac:dyDescent="0.25">
      <c r="A67" s="75" t="s">
        <v>59</v>
      </c>
      <c r="B67" s="74">
        <v>3117</v>
      </c>
      <c r="C67" s="74">
        <v>3117</v>
      </c>
      <c r="D67" s="74">
        <v>3125</v>
      </c>
      <c r="E67" s="232">
        <f t="shared" si="9"/>
        <v>8</v>
      </c>
      <c r="F67" s="70">
        <f t="shared" si="8"/>
        <v>2.5665704202759063E-3</v>
      </c>
      <c r="G67" s="74">
        <v>3125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232">
        <f t="shared" si="9"/>
        <v>0</v>
      </c>
      <c r="F68" s="70">
        <f t="shared" si="8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0</v>
      </c>
      <c r="C69" s="74">
        <v>0</v>
      </c>
      <c r="D69" s="74">
        <v>0</v>
      </c>
      <c r="E69" s="232">
        <f t="shared" si="9"/>
        <v>0</v>
      </c>
      <c r="F69" s="70">
        <f t="shared" si="8"/>
        <v>0</v>
      </c>
      <c r="G69" s="74">
        <v>0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1286145</v>
      </c>
      <c r="C70" s="80">
        <f t="shared" ref="C70:D70" si="10">SUM(C62:C69)</f>
        <v>1286145</v>
      </c>
      <c r="D70" s="80">
        <f t="shared" si="10"/>
        <v>1245091</v>
      </c>
      <c r="E70" s="89">
        <f t="shared" si="9"/>
        <v>-41054</v>
      </c>
      <c r="F70" s="81">
        <f t="shared" si="8"/>
        <v>-3.1920195623355067E-2</v>
      </c>
      <c r="G70" s="80">
        <f>SUM(G62:G69)</f>
        <v>1245091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232">
        <f t="shared" si="9"/>
        <v>0</v>
      </c>
      <c r="F72" s="70">
        <f t="shared" si="8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1286145</v>
      </c>
      <c r="C75" s="96">
        <f t="shared" ref="C75:D75" si="11">SUM(C70,C71:C74)</f>
        <v>1286145</v>
      </c>
      <c r="D75" s="96">
        <f t="shared" si="11"/>
        <v>1245091</v>
      </c>
      <c r="E75" s="89">
        <f t="shared" si="9"/>
        <v>-41054</v>
      </c>
      <c r="F75" s="81">
        <f t="shared" si="8"/>
        <v>-3.1920195623355067E-2</v>
      </c>
      <c r="G75" s="96">
        <f>SUM(G70,G71:G74)</f>
        <v>1245091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0</v>
      </c>
      <c r="C78" s="69">
        <v>0</v>
      </c>
      <c r="D78" s="69">
        <v>0</v>
      </c>
      <c r="E78" s="65">
        <f>D78-C78</f>
        <v>0</v>
      </c>
      <c r="F78" s="70">
        <f t="shared" ref="F78:F96" si="12">IF(ISBLANK(E78),"  ",IF(C78&gt;0,E78/C78,IF(E78&gt;0,1,0)))</f>
        <v>0</v>
      </c>
      <c r="G78" s="69">
        <v>0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0</v>
      </c>
      <c r="C80" s="65">
        <v>0</v>
      </c>
      <c r="D80" s="65">
        <v>0</v>
      </c>
      <c r="E80" s="74">
        <f t="shared" ref="E80:E95" si="13">D80-C80</f>
        <v>0</v>
      </c>
      <c r="F80" s="70">
        <f t="shared" si="12"/>
        <v>0</v>
      </c>
      <c r="G80" s="65">
        <v>0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0</v>
      </c>
      <c r="C81" s="96">
        <f t="shared" ref="C81:D81" si="14">SUM(C78:C80)</f>
        <v>0</v>
      </c>
      <c r="D81" s="96">
        <f t="shared" si="14"/>
        <v>0</v>
      </c>
      <c r="E81" s="80">
        <f t="shared" si="13"/>
        <v>0</v>
      </c>
      <c r="F81" s="81">
        <f t="shared" si="12"/>
        <v>0</v>
      </c>
      <c r="G81" s="96">
        <f>SUM(G78:G80)</f>
        <v>0</v>
      </c>
      <c r="H81" s="228"/>
    </row>
    <row r="82" spans="1:8" ht="15" customHeight="1" x14ac:dyDescent="0.25">
      <c r="A82" s="75" t="s">
        <v>73</v>
      </c>
      <c r="B82" s="72">
        <v>2872</v>
      </c>
      <c r="C82" s="72">
        <v>2872</v>
      </c>
      <c r="D82" s="72">
        <v>2500</v>
      </c>
      <c r="E82" s="74">
        <f t="shared" si="13"/>
        <v>-372</v>
      </c>
      <c r="F82" s="70">
        <f t="shared" si="12"/>
        <v>-0.12952646239554316</v>
      </c>
      <c r="G82" s="72">
        <v>2500</v>
      </c>
      <c r="H82" s="227"/>
    </row>
    <row r="83" spans="1:8" ht="15" customHeight="1" x14ac:dyDescent="0.25">
      <c r="A83" s="75" t="s">
        <v>74</v>
      </c>
      <c r="B83" s="69">
        <v>781706</v>
      </c>
      <c r="C83" s="69">
        <v>781706</v>
      </c>
      <c r="D83" s="69">
        <v>780575</v>
      </c>
      <c r="E83" s="74">
        <f t="shared" si="13"/>
        <v>-1131</v>
      </c>
      <c r="F83" s="70">
        <f t="shared" si="12"/>
        <v>-1.4468355110489109E-3</v>
      </c>
      <c r="G83" s="69">
        <v>780575</v>
      </c>
      <c r="H83" s="227"/>
    </row>
    <row r="84" spans="1:8" ht="15" customHeight="1" x14ac:dyDescent="0.25">
      <c r="A84" s="75" t="s">
        <v>75</v>
      </c>
      <c r="B84" s="65">
        <v>298</v>
      </c>
      <c r="C84" s="65">
        <v>298</v>
      </c>
      <c r="D84" s="65">
        <v>298</v>
      </c>
      <c r="E84" s="74">
        <f t="shared" si="13"/>
        <v>0</v>
      </c>
      <c r="F84" s="70">
        <f t="shared" si="12"/>
        <v>0</v>
      </c>
      <c r="G84" s="65">
        <v>298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784876</v>
      </c>
      <c r="C85" s="96">
        <f t="shared" ref="C85:D85" si="15">SUM(C82:C84)</f>
        <v>784876</v>
      </c>
      <c r="D85" s="96">
        <f t="shared" si="15"/>
        <v>783373</v>
      </c>
      <c r="E85" s="74">
        <f t="shared" si="13"/>
        <v>-1503</v>
      </c>
      <c r="F85" s="81">
        <f t="shared" si="12"/>
        <v>-1.9149521707887615E-3</v>
      </c>
      <c r="G85" s="96">
        <f>SUM(G82:G84)</f>
        <v>783373</v>
      </c>
      <c r="H85" s="228"/>
    </row>
    <row r="86" spans="1:8" ht="15" customHeight="1" x14ac:dyDescent="0.25">
      <c r="A86" s="75" t="s">
        <v>77</v>
      </c>
      <c r="B86" s="65">
        <v>31275</v>
      </c>
      <c r="C86" s="65">
        <v>31275</v>
      </c>
      <c r="D86" s="65">
        <v>13275</v>
      </c>
      <c r="E86" s="74">
        <f t="shared" si="13"/>
        <v>-18000</v>
      </c>
      <c r="F86" s="70">
        <f t="shared" si="12"/>
        <v>-0.57553956834532372</v>
      </c>
      <c r="G86" s="65">
        <v>13275</v>
      </c>
      <c r="H86" s="227"/>
    </row>
    <row r="87" spans="1:8" ht="15" customHeight="1" x14ac:dyDescent="0.25">
      <c r="A87" s="75" t="s">
        <v>78</v>
      </c>
      <c r="B87" s="74">
        <v>180958</v>
      </c>
      <c r="C87" s="74">
        <v>180958</v>
      </c>
      <c r="D87" s="74">
        <v>180958</v>
      </c>
      <c r="E87" s="74">
        <f t="shared" si="13"/>
        <v>0</v>
      </c>
      <c r="F87" s="70">
        <f t="shared" si="12"/>
        <v>0</v>
      </c>
      <c r="G87" s="74">
        <v>180958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289036</v>
      </c>
      <c r="C89" s="74">
        <v>289036</v>
      </c>
      <c r="D89" s="74">
        <v>267485</v>
      </c>
      <c r="E89" s="74">
        <f t="shared" si="13"/>
        <v>-21551</v>
      </c>
      <c r="F89" s="70">
        <f t="shared" si="12"/>
        <v>-7.4561646300114859E-2</v>
      </c>
      <c r="G89" s="74">
        <v>267485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501269</v>
      </c>
      <c r="C90" s="80">
        <f t="shared" ref="C90:D90" si="16">SUM(C86:C89)</f>
        <v>501269</v>
      </c>
      <c r="D90" s="80">
        <f t="shared" si="16"/>
        <v>461718</v>
      </c>
      <c r="E90" s="80">
        <f t="shared" si="13"/>
        <v>-39551</v>
      </c>
      <c r="F90" s="81">
        <f t="shared" si="12"/>
        <v>-7.8901747365187153E-2</v>
      </c>
      <c r="G90" s="80">
        <f>SUM(G86:G89)</f>
        <v>461718</v>
      </c>
      <c r="H90" s="228"/>
    </row>
    <row r="91" spans="1:8" ht="15" customHeight="1" x14ac:dyDescent="0.25">
      <c r="A91" s="75" t="s">
        <v>82</v>
      </c>
      <c r="B91" s="74">
        <v>0</v>
      </c>
      <c r="C91" s="74">
        <v>0</v>
      </c>
      <c r="D91" s="74">
        <v>0</v>
      </c>
      <c r="E91" s="74">
        <f t="shared" si="13"/>
        <v>0</v>
      </c>
      <c r="F91" s="70">
        <f t="shared" si="12"/>
        <v>0</v>
      </c>
      <c r="G91" s="74">
        <v>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0</v>
      </c>
      <c r="C94" s="96">
        <f t="shared" ref="C94:D94" si="17">SUM(C91:C93)</f>
        <v>0</v>
      </c>
      <c r="D94" s="96">
        <f t="shared" si="17"/>
        <v>0</v>
      </c>
      <c r="E94" s="74">
        <f t="shared" si="13"/>
        <v>0</v>
      </c>
      <c r="F94" s="81">
        <f t="shared" si="12"/>
        <v>0</v>
      </c>
      <c r="G94" s="96">
        <f>SUM(G91:G93)</f>
        <v>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1286145</v>
      </c>
      <c r="C96" s="196">
        <f t="shared" ref="C96:D96" si="18">SUM(C81,C85,C90,C94,C95)</f>
        <v>1286145</v>
      </c>
      <c r="D96" s="196">
        <f t="shared" si="18"/>
        <v>1245091</v>
      </c>
      <c r="E96" s="196">
        <f>D96-C96</f>
        <v>-41054</v>
      </c>
      <c r="F96" s="198">
        <f t="shared" si="12"/>
        <v>-3.1920195623355067E-2</v>
      </c>
      <c r="G96" s="196">
        <f>SUM(G81,G85,G90,G94,G95)</f>
        <v>1245091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1248-1F62-41A9-9B50-14B8B49CF16A}">
  <sheetPr>
    <pageSetUpPr fitToPage="1"/>
  </sheetPr>
  <dimension ref="A1:Q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8" t="s">
        <v>203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2820000</v>
      </c>
      <c r="C8" s="69">
        <v>2820000</v>
      </c>
      <c r="D8" s="69">
        <v>2870000</v>
      </c>
      <c r="E8" s="69">
        <f>D8-C8</f>
        <v>50000</v>
      </c>
      <c r="F8" s="70">
        <f t="shared" ref="F8:F31" si="0">IF(ISBLANK(E8),"  ",IF(C8&gt;0,E8/C8,IF(E8&gt;0,1,0)))</f>
        <v>1.7730496453900711E-2</v>
      </c>
      <c r="G8" s="69">
        <v>2870000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0</v>
      </c>
      <c r="C10" s="72">
        <f t="shared" ref="C10:D10" si="1">SUM(C11:C31)</f>
        <v>0</v>
      </c>
      <c r="D10" s="72">
        <f t="shared" si="1"/>
        <v>0</v>
      </c>
      <c r="E10" s="69">
        <f t="shared" ref="E10:E31" si="2">D10-C10</f>
        <v>0</v>
      </c>
      <c r="F10" s="70">
        <f t="shared" si="0"/>
        <v>0</v>
      </c>
      <c r="G10" s="72">
        <f>SUM(G11:G31)</f>
        <v>0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0</v>
      </c>
      <c r="C12" s="74">
        <v>0</v>
      </c>
      <c r="D12" s="74">
        <v>0</v>
      </c>
      <c r="E12" s="69">
        <f t="shared" si="2"/>
        <v>0</v>
      </c>
      <c r="F12" s="70">
        <f t="shared" si="0"/>
        <v>0</v>
      </c>
      <c r="G12" s="74">
        <v>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17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17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17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17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17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17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17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  <c r="Q23" s="139" t="s">
        <v>46</v>
      </c>
    </row>
    <row r="24" spans="1:17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17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17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17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17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17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17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17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17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2820000</v>
      </c>
      <c r="C37" s="80">
        <f t="shared" ref="C37:D37" si="3">SUM(C8,C9,C10,C33,C35,C36)</f>
        <v>2820000</v>
      </c>
      <c r="D37" s="80">
        <f t="shared" si="3"/>
        <v>2870000</v>
      </c>
      <c r="E37" s="80">
        <f>D37-C37</f>
        <v>50000</v>
      </c>
      <c r="F37" s="81">
        <f>IF(ISBLANK(E37),"  ",IF(C37&gt;0,E37/C37,IF(E37&gt;0,1,0)))</f>
        <v>1.7730496453900711E-2</v>
      </c>
      <c r="G37" s="80">
        <f>SUM(G8,G9,G10,G33,G35,G36)</f>
        <v>2870000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69">
        <f t="shared" si="5"/>
        <v>0</v>
      </c>
      <c r="F41" s="70">
        <f t="shared" si="4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0</v>
      </c>
      <c r="C44" s="85">
        <f t="shared" ref="C44:D44" si="6">SUM(C39:C43)</f>
        <v>0</v>
      </c>
      <c r="D44" s="85">
        <f t="shared" si="6"/>
        <v>0</v>
      </c>
      <c r="E44" s="87">
        <f t="shared" si="5"/>
        <v>0</v>
      </c>
      <c r="F44" s="81">
        <f t="shared" si="4"/>
        <v>0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0</v>
      </c>
      <c r="C48" s="87">
        <v>0</v>
      </c>
      <c r="D48" s="87">
        <v>0</v>
      </c>
      <c r="E48" s="87">
        <f>D48-C48</f>
        <v>0</v>
      </c>
      <c r="F48" s="81">
        <f>IF(ISBLANK(E48)," ",IF(C48&gt;0,E48/C48,IF(E48&gt;0,1,0)))</f>
        <v>0</v>
      </c>
      <c r="G48" s="87">
        <v>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0</v>
      </c>
      <c r="C52" s="85">
        <v>0</v>
      </c>
      <c r="D52" s="85">
        <v>0</v>
      </c>
      <c r="E52" s="85">
        <f>D52-C52</f>
        <v>0</v>
      </c>
      <c r="F52" s="81">
        <f>IF(ISBLANK(E52),"  ",IF(C52&gt;0,E52/C52,IF(E52&gt;0,1,0)))</f>
        <v>0</v>
      </c>
      <c r="G52" s="85">
        <v>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2820000</v>
      </c>
      <c r="C58" s="85">
        <f t="shared" ref="C58:D58" si="7">SUM(C37,C46,C48,C50,C52,C54,C56)-C44</f>
        <v>2820000</v>
      </c>
      <c r="D58" s="85">
        <f t="shared" si="7"/>
        <v>2870000</v>
      </c>
      <c r="E58" s="85">
        <f>D58-C58</f>
        <v>50000</v>
      </c>
      <c r="F58" s="81">
        <f>IF(ISBLANK(E58),"  ",IF(C58&gt;0,E58/C58,IF(E58&gt;0,1,0)))</f>
        <v>1.7730496453900711E-2</v>
      </c>
      <c r="G58" s="85">
        <f>SUM(G37,G46,G48,G50,G52,G54,G56)-G44</f>
        <v>2870000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0</v>
      </c>
      <c r="C62" s="65">
        <v>0</v>
      </c>
      <c r="D62" s="65">
        <v>0</v>
      </c>
      <c r="E62" s="232">
        <f>D62-C62</f>
        <v>0</v>
      </c>
      <c r="F62" s="70">
        <f t="shared" ref="F62:F75" si="8">IF(ISBLANK(E62),"  ",IF(C62&gt;0,E62/C62,IF(E62&gt;0,1,0)))</f>
        <v>0</v>
      </c>
      <c r="G62" s="65">
        <v>0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2820000</v>
      </c>
      <c r="C65" s="74">
        <v>2820000</v>
      </c>
      <c r="D65" s="74">
        <v>2870000</v>
      </c>
      <c r="E65" s="232">
        <f t="shared" si="9"/>
        <v>50000</v>
      </c>
      <c r="F65" s="70">
        <f t="shared" si="8"/>
        <v>1.7730496453900711E-2</v>
      </c>
      <c r="G65" s="74">
        <v>2870000</v>
      </c>
      <c r="H65" s="227"/>
    </row>
    <row r="66" spans="1:8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232">
        <f t="shared" si="9"/>
        <v>0</v>
      </c>
      <c r="F66" s="70">
        <f t="shared" si="8"/>
        <v>0</v>
      </c>
      <c r="G66" s="74">
        <v>0</v>
      </c>
      <c r="H66" s="227"/>
    </row>
    <row r="67" spans="1:8" ht="15" customHeight="1" x14ac:dyDescent="0.25">
      <c r="A67" s="75" t="s">
        <v>59</v>
      </c>
      <c r="B67" s="74">
        <v>0</v>
      </c>
      <c r="C67" s="74">
        <v>0</v>
      </c>
      <c r="D67" s="74">
        <v>0</v>
      </c>
      <c r="E67" s="232">
        <f t="shared" si="9"/>
        <v>0</v>
      </c>
      <c r="F67" s="70">
        <f t="shared" si="8"/>
        <v>0</v>
      </c>
      <c r="G67" s="74">
        <v>0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232">
        <f t="shared" si="9"/>
        <v>0</v>
      </c>
      <c r="F68" s="70">
        <f t="shared" si="8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0</v>
      </c>
      <c r="C69" s="74">
        <v>0</v>
      </c>
      <c r="D69" s="74">
        <v>0</v>
      </c>
      <c r="E69" s="232">
        <f t="shared" si="9"/>
        <v>0</v>
      </c>
      <c r="F69" s="70">
        <f t="shared" si="8"/>
        <v>0</v>
      </c>
      <c r="G69" s="74">
        <v>0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2820000</v>
      </c>
      <c r="C70" s="80">
        <f t="shared" ref="C70:D70" si="10">SUM(C62:C69)</f>
        <v>2820000</v>
      </c>
      <c r="D70" s="80">
        <f t="shared" si="10"/>
        <v>2870000</v>
      </c>
      <c r="E70" s="89">
        <f t="shared" si="9"/>
        <v>50000</v>
      </c>
      <c r="F70" s="81">
        <f t="shared" si="8"/>
        <v>1.7730496453900711E-2</v>
      </c>
      <c r="G70" s="80">
        <f>SUM(G62:G69)</f>
        <v>2870000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232">
        <f t="shared" si="9"/>
        <v>0</v>
      </c>
      <c r="F72" s="70">
        <f t="shared" si="8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2820000</v>
      </c>
      <c r="C75" s="96">
        <f t="shared" ref="C75:D75" si="11">SUM(C70,C71:C74)</f>
        <v>2820000</v>
      </c>
      <c r="D75" s="96">
        <f t="shared" si="11"/>
        <v>2870000</v>
      </c>
      <c r="E75" s="89">
        <f t="shared" si="9"/>
        <v>50000</v>
      </c>
      <c r="F75" s="81">
        <f t="shared" si="8"/>
        <v>1.7730496453900711E-2</v>
      </c>
      <c r="G75" s="96">
        <f>SUM(G70,G71:G74)</f>
        <v>2870000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0</v>
      </c>
      <c r="C78" s="69">
        <v>0</v>
      </c>
      <c r="D78" s="69">
        <v>0</v>
      </c>
      <c r="E78" s="65">
        <f>D78-C78</f>
        <v>0</v>
      </c>
      <c r="F78" s="70">
        <f t="shared" ref="F78:F96" si="12">IF(ISBLANK(E78),"  ",IF(C78&gt;0,E78/C78,IF(E78&gt;0,1,0)))</f>
        <v>0</v>
      </c>
      <c r="G78" s="69">
        <v>0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0</v>
      </c>
      <c r="C80" s="65">
        <v>0</v>
      </c>
      <c r="D80" s="65">
        <v>0</v>
      </c>
      <c r="E80" s="74">
        <f t="shared" ref="E80:E95" si="13">D80-C80</f>
        <v>0</v>
      </c>
      <c r="F80" s="70">
        <f t="shared" si="12"/>
        <v>0</v>
      </c>
      <c r="G80" s="65">
        <v>0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0</v>
      </c>
      <c r="C81" s="96">
        <f t="shared" ref="C81:D81" si="14">SUM(C78:C80)</f>
        <v>0</v>
      </c>
      <c r="D81" s="96">
        <f t="shared" si="14"/>
        <v>0</v>
      </c>
      <c r="E81" s="80">
        <f t="shared" si="13"/>
        <v>0</v>
      </c>
      <c r="F81" s="81">
        <f t="shared" si="12"/>
        <v>0</v>
      </c>
      <c r="G81" s="96">
        <f>SUM(G78:G80)</f>
        <v>0</v>
      </c>
      <c r="H81" s="228"/>
    </row>
    <row r="82" spans="1:8" ht="15" customHeight="1" x14ac:dyDescent="0.25">
      <c r="A82" s="75" t="s">
        <v>73</v>
      </c>
      <c r="B82" s="72">
        <v>0</v>
      </c>
      <c r="C82" s="72">
        <v>0</v>
      </c>
      <c r="D82" s="72">
        <v>0</v>
      </c>
      <c r="E82" s="74">
        <f t="shared" si="13"/>
        <v>0</v>
      </c>
      <c r="F82" s="70">
        <f t="shared" si="12"/>
        <v>0</v>
      </c>
      <c r="G82" s="72">
        <v>0</v>
      </c>
      <c r="H82" s="227"/>
    </row>
    <row r="83" spans="1:8" ht="15" customHeight="1" x14ac:dyDescent="0.25">
      <c r="A83" s="75" t="s">
        <v>74</v>
      </c>
      <c r="B83" s="69">
        <v>0</v>
      </c>
      <c r="C83" s="69">
        <v>0</v>
      </c>
      <c r="D83" s="69">
        <v>0</v>
      </c>
      <c r="E83" s="74">
        <f t="shared" si="13"/>
        <v>0</v>
      </c>
      <c r="F83" s="70">
        <f t="shared" si="12"/>
        <v>0</v>
      </c>
      <c r="G83" s="69">
        <v>0</v>
      </c>
      <c r="H83" s="227"/>
    </row>
    <row r="84" spans="1:8" ht="15" customHeight="1" x14ac:dyDescent="0.25">
      <c r="A84" s="75" t="s">
        <v>75</v>
      </c>
      <c r="B84" s="65">
        <v>0</v>
      </c>
      <c r="C84" s="65">
        <v>0</v>
      </c>
      <c r="D84" s="65">
        <v>0</v>
      </c>
      <c r="E84" s="74">
        <f t="shared" si="13"/>
        <v>0</v>
      </c>
      <c r="F84" s="70">
        <f t="shared" si="12"/>
        <v>0</v>
      </c>
      <c r="G84" s="65">
        <v>0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0</v>
      </c>
      <c r="C85" s="96">
        <f t="shared" ref="C85:D85" si="15">SUM(C82:C84)</f>
        <v>0</v>
      </c>
      <c r="D85" s="96">
        <f t="shared" si="15"/>
        <v>0</v>
      </c>
      <c r="E85" s="74">
        <f t="shared" si="13"/>
        <v>0</v>
      </c>
      <c r="F85" s="81">
        <f t="shared" si="12"/>
        <v>0</v>
      </c>
      <c r="G85" s="96">
        <f>SUM(G82:G84)</f>
        <v>0</v>
      </c>
      <c r="H85" s="228"/>
    </row>
    <row r="86" spans="1:8" ht="15" customHeight="1" x14ac:dyDescent="0.25">
      <c r="A86" s="75" t="s">
        <v>77</v>
      </c>
      <c r="B86" s="65">
        <v>0</v>
      </c>
      <c r="C86" s="65">
        <v>0</v>
      </c>
      <c r="D86" s="65">
        <v>0</v>
      </c>
      <c r="E86" s="74">
        <f t="shared" si="13"/>
        <v>0</v>
      </c>
      <c r="F86" s="70">
        <f t="shared" si="12"/>
        <v>0</v>
      </c>
      <c r="G86" s="65">
        <v>0</v>
      </c>
      <c r="H86" s="227"/>
    </row>
    <row r="87" spans="1:8" ht="15" customHeight="1" x14ac:dyDescent="0.25">
      <c r="A87" s="75" t="s">
        <v>78</v>
      </c>
      <c r="B87" s="74">
        <v>0</v>
      </c>
      <c r="C87" s="74">
        <v>0</v>
      </c>
      <c r="D87" s="74">
        <v>0</v>
      </c>
      <c r="E87" s="74">
        <f t="shared" si="13"/>
        <v>0</v>
      </c>
      <c r="F87" s="70">
        <f t="shared" si="12"/>
        <v>0</v>
      </c>
      <c r="G87" s="74">
        <v>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2820000</v>
      </c>
      <c r="C89" s="74">
        <v>2820000</v>
      </c>
      <c r="D89" s="74">
        <v>2870000</v>
      </c>
      <c r="E89" s="74">
        <f t="shared" si="13"/>
        <v>50000</v>
      </c>
      <c r="F89" s="70">
        <f t="shared" si="12"/>
        <v>1.7730496453900711E-2</v>
      </c>
      <c r="G89" s="74">
        <v>2870000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2820000</v>
      </c>
      <c r="C90" s="80">
        <f t="shared" ref="C90:D90" si="16">SUM(C86:C89)</f>
        <v>2820000</v>
      </c>
      <c r="D90" s="80">
        <f t="shared" si="16"/>
        <v>2870000</v>
      </c>
      <c r="E90" s="80">
        <f t="shared" si="13"/>
        <v>50000</v>
      </c>
      <c r="F90" s="81">
        <f t="shared" si="12"/>
        <v>1.7730496453900711E-2</v>
      </c>
      <c r="G90" s="80">
        <f>SUM(G86:G89)</f>
        <v>2870000</v>
      </c>
      <c r="H90" s="228"/>
    </row>
    <row r="91" spans="1:8" ht="15" customHeight="1" x14ac:dyDescent="0.25">
      <c r="A91" s="75" t="s">
        <v>82</v>
      </c>
      <c r="B91" s="74">
        <v>0</v>
      </c>
      <c r="C91" s="74">
        <v>0</v>
      </c>
      <c r="D91" s="74">
        <v>0</v>
      </c>
      <c r="E91" s="74">
        <f t="shared" si="13"/>
        <v>0</v>
      </c>
      <c r="F91" s="70">
        <f t="shared" si="12"/>
        <v>0</v>
      </c>
      <c r="G91" s="74">
        <v>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0</v>
      </c>
      <c r="C94" s="96">
        <f t="shared" ref="C94:D94" si="17">SUM(C91:C93)</f>
        <v>0</v>
      </c>
      <c r="D94" s="96">
        <f t="shared" si="17"/>
        <v>0</v>
      </c>
      <c r="E94" s="74">
        <f t="shared" si="13"/>
        <v>0</v>
      </c>
      <c r="F94" s="81">
        <f t="shared" si="12"/>
        <v>0</v>
      </c>
      <c r="G94" s="96">
        <f>SUM(G91:G93)</f>
        <v>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2820000</v>
      </c>
      <c r="C96" s="196">
        <f t="shared" ref="C96:D96" si="18">SUM(C81,C85,C90,C94,C95)</f>
        <v>2820000</v>
      </c>
      <c r="D96" s="196">
        <f t="shared" si="18"/>
        <v>2870000</v>
      </c>
      <c r="E96" s="196">
        <f>D96-C96</f>
        <v>50000</v>
      </c>
      <c r="F96" s="198">
        <f t="shared" si="12"/>
        <v>1.7730496453900711E-2</v>
      </c>
      <c r="G96" s="196">
        <f>SUM(G81,G85,G90,G94,G95)</f>
        <v>2870000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A901459E-102B-4882-93BA-FF46E367A2C8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1933-0E2E-4FAD-8651-2D0A3C9EF0C3}">
  <sheetPr>
    <pageSetUpPr fitToPage="1"/>
  </sheetPr>
  <dimension ref="A1:Q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8" t="s">
        <v>204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0</v>
      </c>
      <c r="C8" s="69">
        <v>0</v>
      </c>
      <c r="D8" s="69">
        <v>0</v>
      </c>
      <c r="E8" s="69">
        <f>D8-C8</f>
        <v>0</v>
      </c>
      <c r="F8" s="70">
        <f t="shared" ref="F8:F31" si="0">IF(ISBLANK(E8),"  ",IF(C8&gt;0,E8/C8,IF(E8&gt;0,1,0)))</f>
        <v>0</v>
      </c>
      <c r="G8" s="69">
        <v>0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10000000</v>
      </c>
      <c r="C10" s="72">
        <f t="shared" ref="C10:D10" si="1">SUM(C11:C31)</f>
        <v>10000000</v>
      </c>
      <c r="D10" s="72">
        <f t="shared" si="1"/>
        <v>10000000</v>
      </c>
      <c r="E10" s="69">
        <f t="shared" ref="E10:E31" si="2">D10-C10</f>
        <v>0</v>
      </c>
      <c r="F10" s="70">
        <f t="shared" si="0"/>
        <v>0</v>
      </c>
      <c r="G10" s="72">
        <f>SUM(G11:G31)</f>
        <v>10000000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0</v>
      </c>
      <c r="C12" s="74">
        <v>0</v>
      </c>
      <c r="D12" s="74">
        <v>0</v>
      </c>
      <c r="E12" s="69">
        <f t="shared" si="2"/>
        <v>0</v>
      </c>
      <c r="F12" s="70">
        <f t="shared" si="0"/>
        <v>0</v>
      </c>
      <c r="G12" s="74">
        <v>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17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17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17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17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17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17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17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  <c r="Q23" s="139" t="s">
        <v>46</v>
      </c>
    </row>
    <row r="24" spans="1:17" ht="15" customHeight="1" x14ac:dyDescent="0.25">
      <c r="A24" s="76" t="s">
        <v>28</v>
      </c>
      <c r="B24" s="74">
        <v>10000000</v>
      </c>
      <c r="C24" s="74">
        <v>10000000</v>
      </c>
      <c r="D24" s="74">
        <v>10000000</v>
      </c>
      <c r="E24" s="69">
        <f t="shared" si="2"/>
        <v>0</v>
      </c>
      <c r="F24" s="70">
        <f t="shared" si="0"/>
        <v>0</v>
      </c>
      <c r="G24" s="74">
        <v>10000000</v>
      </c>
      <c r="H24" s="227"/>
    </row>
    <row r="25" spans="1:17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17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17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17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17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17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17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17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10000000</v>
      </c>
      <c r="C37" s="80">
        <f t="shared" ref="C37:D37" si="3">SUM(C8,C9,C10,C33,C35,C36)</f>
        <v>10000000</v>
      </c>
      <c r="D37" s="80">
        <f t="shared" si="3"/>
        <v>10000000</v>
      </c>
      <c r="E37" s="80">
        <f>D37-C37</f>
        <v>0</v>
      </c>
      <c r="F37" s="81">
        <f>IF(ISBLANK(E37),"  ",IF(C37&gt;0,E37/C37,IF(E37&gt;0,1,0)))</f>
        <v>0</v>
      </c>
      <c r="G37" s="80">
        <f>SUM(G8,G9,G10,G33,G35,G36)</f>
        <v>10000000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69">
        <f t="shared" si="5"/>
        <v>0</v>
      </c>
      <c r="F41" s="70">
        <f t="shared" si="4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0</v>
      </c>
      <c r="C44" s="85">
        <f t="shared" ref="C44:D44" si="6">SUM(C39:C43)</f>
        <v>0</v>
      </c>
      <c r="D44" s="85">
        <f t="shared" si="6"/>
        <v>0</v>
      </c>
      <c r="E44" s="87">
        <f t="shared" si="5"/>
        <v>0</v>
      </c>
      <c r="F44" s="81">
        <f t="shared" si="4"/>
        <v>0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0</v>
      </c>
      <c r="C48" s="87">
        <v>0</v>
      </c>
      <c r="D48" s="87">
        <v>0</v>
      </c>
      <c r="E48" s="87">
        <f>D48-C48</f>
        <v>0</v>
      </c>
      <c r="F48" s="81">
        <f>IF(ISBLANK(E48)," ",IF(C48&gt;0,E48/C48,IF(E48&gt;0,1,0)))</f>
        <v>0</v>
      </c>
      <c r="G48" s="87">
        <v>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0</v>
      </c>
      <c r="C52" s="85">
        <v>0</v>
      </c>
      <c r="D52" s="85">
        <v>0</v>
      </c>
      <c r="E52" s="85">
        <f>D52-C52</f>
        <v>0</v>
      </c>
      <c r="F52" s="81">
        <f>IF(ISBLANK(E52),"  ",IF(C52&gt;0,E52/C52,IF(E52&gt;0,1,0)))</f>
        <v>0</v>
      </c>
      <c r="G52" s="85">
        <v>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10000000</v>
      </c>
      <c r="C58" s="85">
        <f t="shared" ref="C58:D58" si="7">SUM(C37,C46,C48,C50,C52,C54,C56)-C44</f>
        <v>10000000</v>
      </c>
      <c r="D58" s="85">
        <f t="shared" si="7"/>
        <v>10000000</v>
      </c>
      <c r="E58" s="85">
        <f>D58-C58</f>
        <v>0</v>
      </c>
      <c r="F58" s="81">
        <f>IF(ISBLANK(E58),"  ",IF(C58&gt;0,E58/C58,IF(E58&gt;0,1,0)))</f>
        <v>0</v>
      </c>
      <c r="G58" s="85">
        <f>SUM(G37,G46,G48,G50,G52,G54,G56)-G44</f>
        <v>10000000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0</v>
      </c>
      <c r="C62" s="65">
        <v>0</v>
      </c>
      <c r="D62" s="65">
        <v>0</v>
      </c>
      <c r="E62" s="232">
        <f>D62-C62</f>
        <v>0</v>
      </c>
      <c r="F62" s="70">
        <f t="shared" ref="F62:F75" si="8">IF(ISBLANK(E62),"  ",IF(C62&gt;0,E62/C62,IF(E62&gt;0,1,0)))</f>
        <v>0</v>
      </c>
      <c r="G62" s="65">
        <v>0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0</v>
      </c>
      <c r="C65" s="74">
        <v>0</v>
      </c>
      <c r="D65" s="74">
        <v>0</v>
      </c>
      <c r="E65" s="232">
        <f t="shared" si="9"/>
        <v>0</v>
      </c>
      <c r="F65" s="70">
        <f t="shared" si="8"/>
        <v>0</v>
      </c>
      <c r="G65" s="74">
        <v>0</v>
      </c>
      <c r="H65" s="227"/>
    </row>
    <row r="66" spans="1:8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232">
        <f t="shared" si="9"/>
        <v>0</v>
      </c>
      <c r="F66" s="70">
        <f t="shared" si="8"/>
        <v>0</v>
      </c>
      <c r="G66" s="74">
        <v>0</v>
      </c>
      <c r="H66" s="227"/>
    </row>
    <row r="67" spans="1:8" ht="15" customHeight="1" x14ac:dyDescent="0.25">
      <c r="A67" s="75" t="s">
        <v>59</v>
      </c>
      <c r="B67" s="74">
        <v>0</v>
      </c>
      <c r="C67" s="74">
        <v>0</v>
      </c>
      <c r="D67" s="74">
        <v>0</v>
      </c>
      <c r="E67" s="232">
        <f t="shared" si="9"/>
        <v>0</v>
      </c>
      <c r="F67" s="70">
        <f t="shared" si="8"/>
        <v>0</v>
      </c>
      <c r="G67" s="74">
        <v>0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232">
        <f t="shared" si="9"/>
        <v>0</v>
      </c>
      <c r="F68" s="70">
        <f t="shared" si="8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0</v>
      </c>
      <c r="C69" s="74">
        <v>0</v>
      </c>
      <c r="D69" s="74">
        <v>0</v>
      </c>
      <c r="E69" s="232">
        <f t="shared" si="9"/>
        <v>0</v>
      </c>
      <c r="F69" s="70">
        <f t="shared" si="8"/>
        <v>0</v>
      </c>
      <c r="G69" s="74">
        <v>0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0</v>
      </c>
      <c r="C70" s="80">
        <f t="shared" ref="C70:D70" si="10">SUM(C62:C69)</f>
        <v>0</v>
      </c>
      <c r="D70" s="80">
        <f t="shared" si="10"/>
        <v>0</v>
      </c>
      <c r="E70" s="89">
        <f t="shared" si="9"/>
        <v>0</v>
      </c>
      <c r="F70" s="81">
        <f t="shared" si="8"/>
        <v>0</v>
      </c>
      <c r="G70" s="80">
        <f>SUM(G62:G69)</f>
        <v>0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232">
        <f t="shared" si="9"/>
        <v>0</v>
      </c>
      <c r="F72" s="70">
        <f t="shared" si="8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10000000</v>
      </c>
      <c r="C74" s="74">
        <v>10000000</v>
      </c>
      <c r="D74" s="74">
        <v>10000000</v>
      </c>
      <c r="E74" s="232">
        <f t="shared" si="9"/>
        <v>0</v>
      </c>
      <c r="F74" s="70">
        <f t="shared" si="8"/>
        <v>0</v>
      </c>
      <c r="G74" s="74">
        <v>10000000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10000000</v>
      </c>
      <c r="C75" s="96">
        <f t="shared" ref="C75:D75" si="11">SUM(C70,C71:C74)</f>
        <v>10000000</v>
      </c>
      <c r="D75" s="96">
        <f t="shared" si="11"/>
        <v>10000000</v>
      </c>
      <c r="E75" s="89">
        <f t="shared" si="9"/>
        <v>0</v>
      </c>
      <c r="F75" s="81">
        <f t="shared" si="8"/>
        <v>0</v>
      </c>
      <c r="G75" s="96">
        <f>SUM(G70,G71:G74)</f>
        <v>10000000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0</v>
      </c>
      <c r="C78" s="69">
        <v>0</v>
      </c>
      <c r="D78" s="69">
        <v>0</v>
      </c>
      <c r="E78" s="65">
        <f>D78-C78</f>
        <v>0</v>
      </c>
      <c r="F78" s="70">
        <f t="shared" ref="F78:F96" si="12">IF(ISBLANK(E78),"  ",IF(C78&gt;0,E78/C78,IF(E78&gt;0,1,0)))</f>
        <v>0</v>
      </c>
      <c r="G78" s="69">
        <v>0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0</v>
      </c>
      <c r="C80" s="65">
        <v>0</v>
      </c>
      <c r="D80" s="65">
        <v>0</v>
      </c>
      <c r="E80" s="74">
        <f t="shared" ref="E80:E95" si="13">D80-C80</f>
        <v>0</v>
      </c>
      <c r="F80" s="70">
        <f t="shared" si="12"/>
        <v>0</v>
      </c>
      <c r="G80" s="65">
        <v>0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0</v>
      </c>
      <c r="C81" s="96">
        <f t="shared" ref="C81:D81" si="14">SUM(C78:C80)</f>
        <v>0</v>
      </c>
      <c r="D81" s="96">
        <f t="shared" si="14"/>
        <v>0</v>
      </c>
      <c r="E81" s="80">
        <f t="shared" si="13"/>
        <v>0</v>
      </c>
      <c r="F81" s="81">
        <f t="shared" si="12"/>
        <v>0</v>
      </c>
      <c r="G81" s="96">
        <f>SUM(G78:G80)</f>
        <v>0</v>
      </c>
      <c r="H81" s="228"/>
    </row>
    <row r="82" spans="1:8" ht="15" customHeight="1" x14ac:dyDescent="0.25">
      <c r="A82" s="75" t="s">
        <v>73</v>
      </c>
      <c r="B82" s="72">
        <v>0</v>
      </c>
      <c r="C82" s="72">
        <v>0</v>
      </c>
      <c r="D82" s="72">
        <v>0</v>
      </c>
      <c r="E82" s="74">
        <f t="shared" si="13"/>
        <v>0</v>
      </c>
      <c r="F82" s="70">
        <f t="shared" si="12"/>
        <v>0</v>
      </c>
      <c r="G82" s="72">
        <v>0</v>
      </c>
      <c r="H82" s="227"/>
    </row>
    <row r="83" spans="1:8" ht="15" customHeight="1" x14ac:dyDescent="0.25">
      <c r="A83" s="75" t="s">
        <v>74</v>
      </c>
      <c r="B83" s="69">
        <v>0</v>
      </c>
      <c r="C83" s="69">
        <v>0</v>
      </c>
      <c r="D83" s="69">
        <v>0</v>
      </c>
      <c r="E83" s="74">
        <f t="shared" si="13"/>
        <v>0</v>
      </c>
      <c r="F83" s="70">
        <f t="shared" si="12"/>
        <v>0</v>
      </c>
      <c r="G83" s="69">
        <v>0</v>
      </c>
      <c r="H83" s="227"/>
    </row>
    <row r="84" spans="1:8" ht="15" customHeight="1" x14ac:dyDescent="0.25">
      <c r="A84" s="75" t="s">
        <v>75</v>
      </c>
      <c r="B84" s="65">
        <v>0</v>
      </c>
      <c r="C84" s="65">
        <v>0</v>
      </c>
      <c r="D84" s="65">
        <v>0</v>
      </c>
      <c r="E84" s="74">
        <f t="shared" si="13"/>
        <v>0</v>
      </c>
      <c r="F84" s="70">
        <f t="shared" si="12"/>
        <v>0</v>
      </c>
      <c r="G84" s="65">
        <v>0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0</v>
      </c>
      <c r="C85" s="96">
        <f t="shared" ref="C85:D85" si="15">SUM(C82:C84)</f>
        <v>0</v>
      </c>
      <c r="D85" s="96">
        <f t="shared" si="15"/>
        <v>0</v>
      </c>
      <c r="E85" s="74">
        <f t="shared" si="13"/>
        <v>0</v>
      </c>
      <c r="F85" s="81">
        <f t="shared" si="12"/>
        <v>0</v>
      </c>
      <c r="G85" s="96">
        <f>SUM(G82:G84)</f>
        <v>0</v>
      </c>
      <c r="H85" s="228"/>
    </row>
    <row r="86" spans="1:8" ht="15" customHeight="1" x14ac:dyDescent="0.25">
      <c r="A86" s="75" t="s">
        <v>77</v>
      </c>
      <c r="B86" s="65">
        <v>0</v>
      </c>
      <c r="C86" s="65">
        <v>0</v>
      </c>
      <c r="D86" s="65">
        <v>0</v>
      </c>
      <c r="E86" s="74">
        <f t="shared" si="13"/>
        <v>0</v>
      </c>
      <c r="F86" s="70">
        <f t="shared" si="12"/>
        <v>0</v>
      </c>
      <c r="G86" s="65">
        <v>0</v>
      </c>
      <c r="H86" s="227"/>
    </row>
    <row r="87" spans="1:8" ht="15" customHeight="1" x14ac:dyDescent="0.25">
      <c r="A87" s="75" t="s">
        <v>78</v>
      </c>
      <c r="B87" s="74">
        <v>10000000</v>
      </c>
      <c r="C87" s="74">
        <v>10000000</v>
      </c>
      <c r="D87" s="74">
        <v>10000000</v>
      </c>
      <c r="E87" s="74">
        <f t="shared" si="13"/>
        <v>0</v>
      </c>
      <c r="F87" s="70">
        <f t="shared" si="12"/>
        <v>0</v>
      </c>
      <c r="G87" s="74">
        <v>10000000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0</v>
      </c>
      <c r="C89" s="74">
        <v>0</v>
      </c>
      <c r="D89" s="74">
        <v>0</v>
      </c>
      <c r="E89" s="74">
        <f t="shared" si="13"/>
        <v>0</v>
      </c>
      <c r="F89" s="70">
        <f t="shared" si="12"/>
        <v>0</v>
      </c>
      <c r="G89" s="74">
        <v>0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10000000</v>
      </c>
      <c r="C90" s="80">
        <f t="shared" ref="C90:D90" si="16">SUM(C86:C89)</f>
        <v>10000000</v>
      </c>
      <c r="D90" s="80">
        <f t="shared" si="16"/>
        <v>10000000</v>
      </c>
      <c r="E90" s="80">
        <f t="shared" si="13"/>
        <v>0</v>
      </c>
      <c r="F90" s="81">
        <f t="shared" si="12"/>
        <v>0</v>
      </c>
      <c r="G90" s="80">
        <f>SUM(G86:G89)</f>
        <v>10000000</v>
      </c>
      <c r="H90" s="228"/>
    </row>
    <row r="91" spans="1:8" ht="15" customHeight="1" x14ac:dyDescent="0.25">
      <c r="A91" s="75" t="s">
        <v>82</v>
      </c>
      <c r="B91" s="74">
        <v>0</v>
      </c>
      <c r="C91" s="74">
        <v>0</v>
      </c>
      <c r="D91" s="74">
        <v>0</v>
      </c>
      <c r="E91" s="74">
        <f t="shared" si="13"/>
        <v>0</v>
      </c>
      <c r="F91" s="70">
        <f t="shared" si="12"/>
        <v>0</v>
      </c>
      <c r="G91" s="74">
        <v>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0</v>
      </c>
      <c r="C94" s="96">
        <f t="shared" ref="C94:D94" si="17">SUM(C91:C93)</f>
        <v>0</v>
      </c>
      <c r="D94" s="96">
        <f t="shared" si="17"/>
        <v>0</v>
      </c>
      <c r="E94" s="74">
        <f t="shared" si="13"/>
        <v>0</v>
      </c>
      <c r="F94" s="81">
        <f t="shared" si="12"/>
        <v>0</v>
      </c>
      <c r="G94" s="96">
        <f>SUM(G91:G93)</f>
        <v>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10000000</v>
      </c>
      <c r="C96" s="196">
        <f t="shared" ref="C96:D96" si="18">SUM(C81,C85,C90,C94,C95)</f>
        <v>10000000</v>
      </c>
      <c r="D96" s="196">
        <f t="shared" si="18"/>
        <v>10000000</v>
      </c>
      <c r="E96" s="196">
        <f>D96-C96</f>
        <v>0</v>
      </c>
      <c r="F96" s="198">
        <f t="shared" si="12"/>
        <v>0</v>
      </c>
      <c r="G96" s="196">
        <f>SUM(G81,G85,G90,G94,G95)</f>
        <v>10000000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D7E4318B-1034-4B33-839F-FFA739ADB1B9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8" t="s">
        <v>106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14555798</v>
      </c>
      <c r="C8" s="69">
        <v>14555798</v>
      </c>
      <c r="D8" s="69">
        <v>12552805</v>
      </c>
      <c r="E8" s="69">
        <f>D8-C8</f>
        <v>-2002993</v>
      </c>
      <c r="F8" s="70">
        <f t="shared" ref="F8:F31" si="0">IF(ISBLANK(E8),"  ",IF(C8&gt;0,E8/C8,IF(E8&gt;0,1,0)))</f>
        <v>-0.13760791404222564</v>
      </c>
      <c r="G8" s="69">
        <v>12552805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613851.65</v>
      </c>
      <c r="C10" s="72">
        <f t="shared" ref="C10:D10" si="1">SUM(C11:C31)</f>
        <v>745816</v>
      </c>
      <c r="D10" s="72">
        <f t="shared" si="1"/>
        <v>638894</v>
      </c>
      <c r="E10" s="69">
        <f t="shared" ref="E10:E31" si="2">D10-C10</f>
        <v>-106922</v>
      </c>
      <c r="F10" s="70">
        <f t="shared" si="0"/>
        <v>-0.14336243792034498</v>
      </c>
      <c r="G10" s="72">
        <f>SUM(G11:G31)</f>
        <v>638894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613851.65</v>
      </c>
      <c r="C12" s="74">
        <v>745816</v>
      </c>
      <c r="D12" s="74">
        <v>638894</v>
      </c>
      <c r="E12" s="69">
        <f t="shared" si="2"/>
        <v>-106922</v>
      </c>
      <c r="F12" s="70">
        <f t="shared" si="0"/>
        <v>-0.14336243792034498</v>
      </c>
      <c r="G12" s="74">
        <v>638894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15169649.65</v>
      </c>
      <c r="C37" s="80">
        <f t="shared" ref="C37:D37" si="3">SUM(C8,C9,C10,C33,C35,C36)</f>
        <v>15301614</v>
      </c>
      <c r="D37" s="80">
        <f t="shared" si="3"/>
        <v>13191699</v>
      </c>
      <c r="E37" s="80">
        <f>D37-C37</f>
        <v>-2109915</v>
      </c>
      <c r="F37" s="81">
        <f>IF(ISBLANK(E37),"  ",IF(C37&gt;0,E37/C37,IF(E37&gt;0,1,0)))</f>
        <v>-0.13788839530261318</v>
      </c>
      <c r="G37" s="80">
        <f>SUM(G8,G9,G10,G33,G35,G36)</f>
        <v>13191699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3801942</v>
      </c>
      <c r="C41" s="69">
        <v>1650000</v>
      </c>
      <c r="D41" s="69">
        <v>0</v>
      </c>
      <c r="E41" s="69">
        <f t="shared" si="5"/>
        <v>-1650000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3801942</v>
      </c>
      <c r="C44" s="85">
        <f t="shared" ref="C44:D44" si="6">SUM(C39:C43)</f>
        <v>1650000</v>
      </c>
      <c r="D44" s="85">
        <f t="shared" si="6"/>
        <v>0</v>
      </c>
      <c r="E44" s="87">
        <f t="shared" si="5"/>
        <v>-1650000</v>
      </c>
      <c r="F44" s="81">
        <f t="shared" si="4"/>
        <v>-1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1650000</v>
      </c>
      <c r="C48" s="87">
        <v>1650000</v>
      </c>
      <c r="D48" s="87">
        <v>0</v>
      </c>
      <c r="E48" s="87">
        <f>D48-C48</f>
        <v>-1650000</v>
      </c>
      <c r="F48" s="81">
        <f>IF(ISBLANK(E48)," ",IF(C48&gt;0,E48/C48,IF(E48&gt;0,1,0)))</f>
        <v>-1</v>
      </c>
      <c r="G48" s="87">
        <v>1650000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21964999.870000001</v>
      </c>
      <c r="C52" s="85">
        <v>22900000</v>
      </c>
      <c r="D52" s="85">
        <v>22900000</v>
      </c>
      <c r="E52" s="85">
        <f>D52-C52</f>
        <v>0</v>
      </c>
      <c r="F52" s="81">
        <f>IF(ISBLANK(E52),"  ",IF(C52&gt;0,E52/C52,IF(E52&gt;0,1,0)))</f>
        <v>0</v>
      </c>
      <c r="G52" s="85">
        <v>22900000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34982707.519999996</v>
      </c>
      <c r="C58" s="85">
        <f t="shared" ref="C58:D58" si="7">SUM(C37,C46,C48,C50,C52,C54,C56)-C44</f>
        <v>38201614</v>
      </c>
      <c r="D58" s="85">
        <f t="shared" si="7"/>
        <v>36091699</v>
      </c>
      <c r="E58" s="85">
        <f>D58-C58</f>
        <v>-2109915</v>
      </c>
      <c r="F58" s="81">
        <f>IF(ISBLANK(E58),"  ",IF(C58&gt;0,E58/C58,IF(E58&gt;0,1,0)))</f>
        <v>-5.5231043379476062E-2</v>
      </c>
      <c r="G58" s="85">
        <f>SUM(G37,G46,G48,G50,G52,G54,G56)-G44</f>
        <v>37741699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15641599.539999999</v>
      </c>
      <c r="C62" s="65">
        <v>17380692</v>
      </c>
      <c r="D62" s="65">
        <v>16521048.881999999</v>
      </c>
      <c r="E62" s="232">
        <f>D62-C62</f>
        <v>-859643.11800000072</v>
      </c>
      <c r="F62" s="70">
        <f t="shared" ref="F62:F75" si="8">IF(ISBLANK(E62),"  ",IF(C62&gt;0,E62/C62,IF(E62&gt;0,1,0)))</f>
        <v>-4.9459660064167799E-2</v>
      </c>
      <c r="G62" s="65">
        <v>17860315.851999998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4287290.3600000003</v>
      </c>
      <c r="C65" s="74">
        <v>4573480</v>
      </c>
      <c r="D65" s="74">
        <v>4245102.1429999983</v>
      </c>
      <c r="E65" s="232">
        <f t="shared" si="9"/>
        <v>-328377.85700000171</v>
      </c>
      <c r="F65" s="70">
        <f t="shared" si="8"/>
        <v>-7.1800435773197155E-2</v>
      </c>
      <c r="G65" s="74">
        <v>4547442.072999998</v>
      </c>
      <c r="H65" s="227"/>
    </row>
    <row r="66" spans="1:8" ht="15" customHeight="1" x14ac:dyDescent="0.25">
      <c r="A66" s="75" t="s">
        <v>58</v>
      </c>
      <c r="B66" s="74">
        <v>3195041.4</v>
      </c>
      <c r="C66" s="74">
        <v>4002825</v>
      </c>
      <c r="D66" s="74">
        <v>3223265.594</v>
      </c>
      <c r="E66" s="232">
        <f t="shared" si="9"/>
        <v>-779559.40599999996</v>
      </c>
      <c r="F66" s="70">
        <f t="shared" si="8"/>
        <v>-0.19475230768269908</v>
      </c>
      <c r="G66" s="74">
        <v>3230927.034</v>
      </c>
      <c r="H66" s="227"/>
    </row>
    <row r="67" spans="1:8" ht="15" customHeight="1" x14ac:dyDescent="0.25">
      <c r="A67" s="75" t="s">
        <v>59</v>
      </c>
      <c r="B67" s="74">
        <v>6406783.2000000002</v>
      </c>
      <c r="C67" s="74">
        <v>5586667</v>
      </c>
      <c r="D67" s="74">
        <v>5646478.0890000006</v>
      </c>
      <c r="E67" s="232">
        <f t="shared" si="9"/>
        <v>59811.089000000618</v>
      </c>
      <c r="F67" s="70">
        <f t="shared" si="8"/>
        <v>1.0706041544985698E-2</v>
      </c>
      <c r="G67" s="74">
        <v>5647209.7490000008</v>
      </c>
      <c r="H67" s="227"/>
    </row>
    <row r="68" spans="1:8" ht="15" customHeight="1" x14ac:dyDescent="0.25">
      <c r="A68" s="75" t="s">
        <v>60</v>
      </c>
      <c r="B68" s="74">
        <v>43864</v>
      </c>
      <c r="C68" s="74">
        <v>70000</v>
      </c>
      <c r="D68" s="74">
        <v>45000</v>
      </c>
      <c r="E68" s="232">
        <f t="shared" si="9"/>
        <v>-25000</v>
      </c>
      <c r="F68" s="70">
        <f t="shared" si="8"/>
        <v>-0.35714285714285715</v>
      </c>
      <c r="G68" s="74">
        <v>45000</v>
      </c>
      <c r="H68" s="227"/>
    </row>
    <row r="69" spans="1:8" ht="15" customHeight="1" x14ac:dyDescent="0.25">
      <c r="A69" s="75" t="s">
        <v>61</v>
      </c>
      <c r="B69" s="74">
        <v>3906958.54</v>
      </c>
      <c r="C69" s="74">
        <v>4847632</v>
      </c>
      <c r="D69" s="74">
        <v>4610804.6320000002</v>
      </c>
      <c r="E69" s="232">
        <f t="shared" si="9"/>
        <v>-236827.36799999978</v>
      </c>
      <c r="F69" s="70">
        <f t="shared" si="8"/>
        <v>-4.8854238110483589E-2</v>
      </c>
      <c r="G69" s="74">
        <v>4610804.6320000002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33481537.039999995</v>
      </c>
      <c r="C70" s="80">
        <f t="shared" ref="C70:D70" si="10">SUM(C62:C69)</f>
        <v>36461296</v>
      </c>
      <c r="D70" s="80">
        <f t="shared" si="10"/>
        <v>34291699.340000004</v>
      </c>
      <c r="E70" s="89">
        <f t="shared" si="9"/>
        <v>-2169596.6599999964</v>
      </c>
      <c r="F70" s="81">
        <f t="shared" si="8"/>
        <v>-5.9504101554700532E-2</v>
      </c>
      <c r="G70" s="80">
        <f>SUM(G62:G69)</f>
        <v>35941699.340000004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1501170.88</v>
      </c>
      <c r="C72" s="74">
        <v>1740318</v>
      </c>
      <c r="D72" s="74">
        <v>1800000</v>
      </c>
      <c r="E72" s="232">
        <f t="shared" si="9"/>
        <v>59682</v>
      </c>
      <c r="F72" s="70">
        <f t="shared" si="8"/>
        <v>3.4293732524745477E-2</v>
      </c>
      <c r="G72" s="74">
        <v>1800000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34982707.919999994</v>
      </c>
      <c r="C75" s="96">
        <f t="shared" ref="C75:D75" si="11">SUM(C70,C71:C74)</f>
        <v>38201614</v>
      </c>
      <c r="D75" s="96">
        <f t="shared" si="11"/>
        <v>36091699.340000004</v>
      </c>
      <c r="E75" s="89">
        <f t="shared" si="9"/>
        <v>-2109914.6599999964</v>
      </c>
      <c r="F75" s="81">
        <f t="shared" si="8"/>
        <v>-5.523103447932845E-2</v>
      </c>
      <c r="G75" s="96">
        <f>SUM(G70,G71:G74)</f>
        <v>37741699.340000004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20805619.240000002</v>
      </c>
      <c r="C78" s="69">
        <v>22510201</v>
      </c>
      <c r="D78" s="69">
        <v>20236321.259999998</v>
      </c>
      <c r="E78" s="65">
        <f>D78-C78</f>
        <v>-2273879.7400000021</v>
      </c>
      <c r="F78" s="70">
        <f t="shared" ref="F78:F96" si="12">IF(ISBLANK(E78),"  ",IF(C78&gt;0,E78/C78,IF(E78&gt;0,1,0)))</f>
        <v>-0.10101552358417422</v>
      </c>
      <c r="G78" s="69">
        <v>21463263.849999998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8316100.7599999988</v>
      </c>
      <c r="C80" s="65">
        <v>8464080</v>
      </c>
      <c r="D80" s="65">
        <v>8571545.0800000001</v>
      </c>
      <c r="E80" s="74">
        <f t="shared" ref="E80:E95" si="13">D80-C80</f>
        <v>107465.08000000007</v>
      </c>
      <c r="F80" s="70">
        <f t="shared" si="12"/>
        <v>1.2696604947023194E-2</v>
      </c>
      <c r="G80" s="65">
        <v>8994602.4900000002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29121720</v>
      </c>
      <c r="C81" s="96">
        <f t="shared" ref="C81:D81" si="14">SUM(C78:C80)</f>
        <v>30974281</v>
      </c>
      <c r="D81" s="96">
        <f t="shared" si="14"/>
        <v>28807866.339999996</v>
      </c>
      <c r="E81" s="80">
        <f t="shared" si="13"/>
        <v>-2166414.6600000039</v>
      </c>
      <c r="F81" s="81">
        <f t="shared" si="12"/>
        <v>-6.9942371220820393E-2</v>
      </c>
      <c r="G81" s="96">
        <f>SUM(G78:G80)</f>
        <v>30457866.339999996</v>
      </c>
      <c r="H81" s="228"/>
    </row>
    <row r="82" spans="1:8" ht="15" customHeight="1" x14ac:dyDescent="0.25">
      <c r="A82" s="75" t="s">
        <v>73</v>
      </c>
      <c r="B82" s="72">
        <v>63998.49</v>
      </c>
      <c r="C82" s="72">
        <v>44900</v>
      </c>
      <c r="D82" s="72">
        <v>0</v>
      </c>
      <c r="E82" s="74">
        <f t="shared" si="13"/>
        <v>-44900</v>
      </c>
      <c r="F82" s="70">
        <f t="shared" si="12"/>
        <v>-1</v>
      </c>
      <c r="G82" s="72">
        <v>0</v>
      </c>
      <c r="H82" s="227"/>
    </row>
    <row r="83" spans="1:8" ht="15" customHeight="1" x14ac:dyDescent="0.25">
      <c r="A83" s="75" t="s">
        <v>74</v>
      </c>
      <c r="B83" s="69">
        <v>3298599.83</v>
      </c>
      <c r="C83" s="69">
        <v>4139613</v>
      </c>
      <c r="D83" s="69">
        <v>4139613</v>
      </c>
      <c r="E83" s="74">
        <f t="shared" si="13"/>
        <v>0</v>
      </c>
      <c r="F83" s="70">
        <f t="shared" si="12"/>
        <v>0</v>
      </c>
      <c r="G83" s="69">
        <v>4139613</v>
      </c>
      <c r="H83" s="227"/>
    </row>
    <row r="84" spans="1:8" ht="15" customHeight="1" x14ac:dyDescent="0.25">
      <c r="A84" s="75" t="s">
        <v>75</v>
      </c>
      <c r="B84" s="65">
        <v>223613.26</v>
      </c>
      <c r="C84" s="65">
        <v>979487</v>
      </c>
      <c r="D84" s="65">
        <v>980075</v>
      </c>
      <c r="E84" s="74">
        <f t="shared" si="13"/>
        <v>588</v>
      </c>
      <c r="F84" s="70">
        <f t="shared" si="12"/>
        <v>6.0031424613088283E-4</v>
      </c>
      <c r="G84" s="65">
        <v>980075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3586211.58</v>
      </c>
      <c r="C85" s="96">
        <f t="shared" ref="C85:D85" si="15">SUM(C82:C84)</f>
        <v>5164000</v>
      </c>
      <c r="D85" s="96">
        <f t="shared" si="15"/>
        <v>5119688</v>
      </c>
      <c r="E85" s="74">
        <f t="shared" si="13"/>
        <v>-44312</v>
      </c>
      <c r="F85" s="81">
        <f t="shared" si="12"/>
        <v>-8.5809450038729675E-3</v>
      </c>
      <c r="G85" s="96">
        <f>SUM(G82:G84)</f>
        <v>5119688</v>
      </c>
      <c r="H85" s="228"/>
    </row>
    <row r="86" spans="1:8" ht="15" customHeight="1" x14ac:dyDescent="0.25">
      <c r="A86" s="75" t="s">
        <v>77</v>
      </c>
      <c r="B86" s="65">
        <v>254916.87</v>
      </c>
      <c r="C86" s="65">
        <v>92551</v>
      </c>
      <c r="D86" s="65">
        <v>186000</v>
      </c>
      <c r="E86" s="74">
        <f t="shared" si="13"/>
        <v>93449</v>
      </c>
      <c r="F86" s="70">
        <f t="shared" si="12"/>
        <v>1.0097027584791087</v>
      </c>
      <c r="G86" s="65">
        <v>186000</v>
      </c>
      <c r="H86" s="227"/>
    </row>
    <row r="87" spans="1:8" ht="15" customHeight="1" x14ac:dyDescent="0.25">
      <c r="A87" s="75" t="s">
        <v>78</v>
      </c>
      <c r="B87" s="74">
        <v>452039.25000000006</v>
      </c>
      <c r="C87" s="74">
        <v>92000</v>
      </c>
      <c r="D87" s="74">
        <v>67000</v>
      </c>
      <c r="E87" s="74">
        <f t="shared" si="13"/>
        <v>-25000</v>
      </c>
      <c r="F87" s="70">
        <f t="shared" si="12"/>
        <v>-0.27173913043478259</v>
      </c>
      <c r="G87" s="74">
        <v>67000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1501170.88</v>
      </c>
      <c r="C89" s="74">
        <v>1740318</v>
      </c>
      <c r="D89" s="74">
        <v>1800000</v>
      </c>
      <c r="E89" s="74">
        <f t="shared" si="13"/>
        <v>59682</v>
      </c>
      <c r="F89" s="70">
        <f t="shared" si="12"/>
        <v>3.4293732524745477E-2</v>
      </c>
      <c r="G89" s="74">
        <v>1800000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2208127</v>
      </c>
      <c r="C90" s="80">
        <f t="shared" ref="C90:D90" si="16">SUM(C86:C89)</f>
        <v>1924869</v>
      </c>
      <c r="D90" s="80">
        <f t="shared" si="16"/>
        <v>2053000</v>
      </c>
      <c r="E90" s="80">
        <f t="shared" si="13"/>
        <v>128131</v>
      </c>
      <c r="F90" s="81">
        <f t="shared" si="12"/>
        <v>6.6566088393547815E-2</v>
      </c>
      <c r="G90" s="80">
        <f>SUM(G86:G89)</f>
        <v>2053000</v>
      </c>
      <c r="H90" s="228"/>
    </row>
    <row r="91" spans="1:8" ht="15" customHeight="1" x14ac:dyDescent="0.25">
      <c r="A91" s="75" t="s">
        <v>82</v>
      </c>
      <c r="B91" s="74">
        <v>66649.340000000011</v>
      </c>
      <c r="C91" s="74">
        <v>138464</v>
      </c>
      <c r="D91" s="74">
        <v>111145</v>
      </c>
      <c r="E91" s="74">
        <f t="shared" si="13"/>
        <v>-27319</v>
      </c>
      <c r="F91" s="70">
        <f t="shared" si="12"/>
        <v>-0.1973003813265542</v>
      </c>
      <c r="G91" s="74">
        <v>111145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66649.340000000011</v>
      </c>
      <c r="C94" s="96">
        <f t="shared" ref="C94:D94" si="17">SUM(C91:C93)</f>
        <v>138464</v>
      </c>
      <c r="D94" s="96">
        <f t="shared" si="17"/>
        <v>111145</v>
      </c>
      <c r="E94" s="74">
        <f t="shared" si="13"/>
        <v>-27319</v>
      </c>
      <c r="F94" s="81">
        <f t="shared" si="12"/>
        <v>-0.1973003813265542</v>
      </c>
      <c r="G94" s="96">
        <f>SUM(G91:G93)</f>
        <v>111145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34982707.920000002</v>
      </c>
      <c r="C96" s="196">
        <f t="shared" ref="C96:D96" si="18">SUM(C81,C85,C90,C94,C95)</f>
        <v>38201614</v>
      </c>
      <c r="D96" s="196">
        <f t="shared" si="18"/>
        <v>36091699.339999996</v>
      </c>
      <c r="E96" s="196">
        <f>D96-C96</f>
        <v>-2109914.6600000039</v>
      </c>
      <c r="F96" s="198">
        <f t="shared" si="12"/>
        <v>-5.5231034479328645E-2</v>
      </c>
      <c r="G96" s="196">
        <f>SUM(G81,G85,G90,G94,G95)</f>
        <v>37741699.339999996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8" t="s">
        <v>105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11125544</v>
      </c>
      <c r="C8" s="69">
        <v>11125544</v>
      </c>
      <c r="D8" s="69">
        <v>8622780</v>
      </c>
      <c r="E8" s="69">
        <f>D8-C8</f>
        <v>-2502764</v>
      </c>
      <c r="F8" s="70">
        <f t="shared" ref="F8:F31" si="0">IF(ISBLANK(E8),"  ",IF(C8&gt;0,E8/C8,IF(E8&gt;0,1,0)))</f>
        <v>-0.22495655043924145</v>
      </c>
      <c r="G8" s="69">
        <v>8622780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311381.88</v>
      </c>
      <c r="C10" s="72">
        <f t="shared" ref="C10:D10" si="1">SUM(C11:C31)</f>
        <v>378322</v>
      </c>
      <c r="D10" s="72">
        <f t="shared" si="1"/>
        <v>324085</v>
      </c>
      <c r="E10" s="69">
        <f t="shared" ref="E10:E31" si="2">D10-C10</f>
        <v>-54237</v>
      </c>
      <c r="F10" s="70">
        <f t="shared" si="0"/>
        <v>-0.14336200379570843</v>
      </c>
      <c r="G10" s="72">
        <f>SUM(G11:G31)</f>
        <v>324085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311381.88</v>
      </c>
      <c r="C12" s="74">
        <v>378322</v>
      </c>
      <c r="D12" s="74">
        <v>324085</v>
      </c>
      <c r="E12" s="69">
        <f t="shared" si="2"/>
        <v>-54237</v>
      </c>
      <c r="F12" s="70">
        <f t="shared" si="0"/>
        <v>-0.14336200379570843</v>
      </c>
      <c r="G12" s="74">
        <v>324085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11436925.880000001</v>
      </c>
      <c r="C37" s="80">
        <f t="shared" ref="C37:D37" si="3">SUM(C8,C9,C10,C33,C35,C36)</f>
        <v>11503866</v>
      </c>
      <c r="D37" s="80">
        <f t="shared" si="3"/>
        <v>8946865</v>
      </c>
      <c r="E37" s="80">
        <f>D37-C37</f>
        <v>-2557001</v>
      </c>
      <c r="F37" s="81">
        <f>IF(ISBLANK(E37),"  ",IF(C37&gt;0,E37/C37,IF(E37&gt;0,1,0)))</f>
        <v>-0.22227319059523121</v>
      </c>
      <c r="G37" s="80">
        <f>SUM(G8,G9,G10,G33,G35,G36)</f>
        <v>8946865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2265000</v>
      </c>
      <c r="C41" s="69">
        <v>2265000</v>
      </c>
      <c r="D41" s="69">
        <v>0</v>
      </c>
      <c r="E41" s="69">
        <f t="shared" si="5"/>
        <v>-2265000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2265000</v>
      </c>
      <c r="C44" s="85">
        <f t="shared" ref="C44:D44" si="6">SUM(C39:C43)</f>
        <v>2265000</v>
      </c>
      <c r="D44" s="85">
        <f t="shared" si="6"/>
        <v>0</v>
      </c>
      <c r="E44" s="87">
        <f t="shared" si="5"/>
        <v>-2265000</v>
      </c>
      <c r="F44" s="81">
        <f t="shared" si="4"/>
        <v>-1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2265000</v>
      </c>
      <c r="C48" s="87">
        <v>2265000</v>
      </c>
      <c r="D48" s="87">
        <v>0</v>
      </c>
      <c r="E48" s="87">
        <f>D48-C48</f>
        <v>-2265000</v>
      </c>
      <c r="F48" s="81">
        <f>IF(ISBLANK(E48)," ",IF(C48&gt;0,E48/C48,IF(E48&gt;0,1,0)))</f>
        <v>-1</v>
      </c>
      <c r="G48" s="87">
        <v>2265000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17594351.260000002</v>
      </c>
      <c r="C52" s="85">
        <v>21500000</v>
      </c>
      <c r="D52" s="85">
        <v>21500000</v>
      </c>
      <c r="E52" s="85">
        <f>D52-C52</f>
        <v>0</v>
      </c>
      <c r="F52" s="81">
        <f>IF(ISBLANK(E52),"  ",IF(C52&gt;0,E52/C52,IF(E52&gt;0,1,0)))</f>
        <v>0</v>
      </c>
      <c r="G52" s="85">
        <v>21500000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29031277.140000001</v>
      </c>
      <c r="C58" s="85">
        <f t="shared" ref="C58:D58" si="7">SUM(C37,C46,C48,C50,C52,C54,C56)-C44</f>
        <v>33003866</v>
      </c>
      <c r="D58" s="85">
        <f t="shared" si="7"/>
        <v>30446865</v>
      </c>
      <c r="E58" s="85">
        <f>D58-C58</f>
        <v>-2557001</v>
      </c>
      <c r="F58" s="81">
        <f>IF(ISBLANK(E58),"  ",IF(C58&gt;0,E58/C58,IF(E58&gt;0,1,0)))</f>
        <v>-7.7475802380242362E-2</v>
      </c>
      <c r="G58" s="85">
        <f>SUM(G37,G46,G48,G50,G52,G54,G56)-G44</f>
        <v>32711865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14662322.040000001</v>
      </c>
      <c r="C62" s="65">
        <v>16865761</v>
      </c>
      <c r="D62" s="65">
        <v>14886706.719999999</v>
      </c>
      <c r="E62" s="232">
        <f>D62-C62</f>
        <v>-1979054.2800000012</v>
      </c>
      <c r="F62" s="70">
        <f t="shared" ref="F62:F75" si="8">IF(ISBLANK(E62),"  ",IF(C62&gt;0,E62/C62,IF(E62&gt;0,1,0)))</f>
        <v>-0.11734153472232893</v>
      </c>
      <c r="G62" s="65">
        <v>17151706.719999999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228406.92999999996</v>
      </c>
      <c r="C64" s="74">
        <v>240532</v>
      </c>
      <c r="D64" s="74">
        <v>244342.55</v>
      </c>
      <c r="E64" s="232">
        <f t="shared" si="9"/>
        <v>3810.5499999999884</v>
      </c>
      <c r="F64" s="70">
        <f t="shared" si="8"/>
        <v>1.5842174845758519E-2</v>
      </c>
      <c r="G64" s="74">
        <v>244342.55</v>
      </c>
      <c r="H64" s="227"/>
    </row>
    <row r="65" spans="1:8" ht="15" customHeight="1" x14ac:dyDescent="0.25">
      <c r="A65" s="75" t="s">
        <v>57</v>
      </c>
      <c r="B65" s="74">
        <v>1782620.5900000003</v>
      </c>
      <c r="C65" s="74">
        <v>1798414</v>
      </c>
      <c r="D65" s="74">
        <v>1768360.08</v>
      </c>
      <c r="E65" s="232">
        <f t="shared" si="9"/>
        <v>-30053.919999999925</v>
      </c>
      <c r="F65" s="70">
        <f t="shared" si="8"/>
        <v>-1.6711346775547746E-2</v>
      </c>
      <c r="G65" s="74">
        <v>1768360.08</v>
      </c>
      <c r="H65" s="227"/>
    </row>
    <row r="66" spans="1:8" ht="15" customHeight="1" x14ac:dyDescent="0.25">
      <c r="A66" s="75" t="s">
        <v>58</v>
      </c>
      <c r="B66" s="74">
        <v>2491337.21</v>
      </c>
      <c r="C66" s="74">
        <v>2175204</v>
      </c>
      <c r="D66" s="74">
        <v>2748851.86</v>
      </c>
      <c r="E66" s="232">
        <f t="shared" si="9"/>
        <v>573647.85999999987</v>
      </c>
      <c r="F66" s="70">
        <f t="shared" si="8"/>
        <v>0.26372140727950111</v>
      </c>
      <c r="G66" s="74">
        <v>2748851.86</v>
      </c>
      <c r="H66" s="227"/>
    </row>
    <row r="67" spans="1:8" ht="15" customHeight="1" x14ac:dyDescent="0.25">
      <c r="A67" s="75" t="s">
        <v>59</v>
      </c>
      <c r="B67" s="74">
        <v>6434723.9000000004</v>
      </c>
      <c r="C67" s="74">
        <v>6581860</v>
      </c>
      <c r="D67" s="74">
        <v>6434500.1800000006</v>
      </c>
      <c r="E67" s="232">
        <f t="shared" si="9"/>
        <v>-147359.81999999937</v>
      </c>
      <c r="F67" s="70">
        <f t="shared" si="8"/>
        <v>-2.238878067901769E-2</v>
      </c>
      <c r="G67" s="74">
        <v>6434500.1800000006</v>
      </c>
      <c r="H67" s="227"/>
    </row>
    <row r="68" spans="1:8" ht="15" customHeight="1" x14ac:dyDescent="0.25">
      <c r="A68" s="75" t="s">
        <v>60</v>
      </c>
      <c r="B68" s="74">
        <v>41783.96</v>
      </c>
      <c r="C68" s="74">
        <v>56000</v>
      </c>
      <c r="D68" s="74">
        <v>41783.96</v>
      </c>
      <c r="E68" s="232">
        <f t="shared" si="9"/>
        <v>-14216.04</v>
      </c>
      <c r="F68" s="70">
        <f t="shared" si="8"/>
        <v>-0.25385785714285714</v>
      </c>
      <c r="G68" s="74">
        <v>41783.96</v>
      </c>
      <c r="H68" s="227"/>
    </row>
    <row r="69" spans="1:8" ht="15" customHeight="1" x14ac:dyDescent="0.25">
      <c r="A69" s="75" t="s">
        <v>61</v>
      </c>
      <c r="B69" s="74">
        <v>2590622.5099999998</v>
      </c>
      <c r="C69" s="74">
        <v>4422296</v>
      </c>
      <c r="D69" s="74">
        <v>3403543.65</v>
      </c>
      <c r="E69" s="232">
        <f t="shared" si="9"/>
        <v>-1018752.3500000001</v>
      </c>
      <c r="F69" s="70">
        <f t="shared" si="8"/>
        <v>-0.23036729110851017</v>
      </c>
      <c r="G69" s="74">
        <v>3403543.65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28231817.140000001</v>
      </c>
      <c r="C70" s="80">
        <f t="shared" ref="C70:D70" si="10">SUM(C62:C69)</f>
        <v>32140067</v>
      </c>
      <c r="D70" s="80">
        <f t="shared" si="10"/>
        <v>29528089</v>
      </c>
      <c r="E70" s="89">
        <f t="shared" si="9"/>
        <v>-2611978</v>
      </c>
      <c r="F70" s="81">
        <f t="shared" si="8"/>
        <v>-8.1268592252779062E-2</v>
      </c>
      <c r="G70" s="80">
        <f>SUM(G62:G69)</f>
        <v>31793089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526910</v>
      </c>
      <c r="C72" s="74">
        <v>482339</v>
      </c>
      <c r="D72" s="74">
        <v>588857</v>
      </c>
      <c r="E72" s="232">
        <f t="shared" si="9"/>
        <v>106518</v>
      </c>
      <c r="F72" s="70">
        <f t="shared" si="8"/>
        <v>0.22083638271008565</v>
      </c>
      <c r="G72" s="74">
        <v>588857</v>
      </c>
      <c r="H72" s="227"/>
    </row>
    <row r="73" spans="1:8" ht="15" customHeight="1" x14ac:dyDescent="0.25">
      <c r="A73" s="75" t="s">
        <v>65</v>
      </c>
      <c r="B73" s="74">
        <v>272550.28999999998</v>
      </c>
      <c r="C73" s="74">
        <v>381460</v>
      </c>
      <c r="D73" s="74">
        <v>329919</v>
      </c>
      <c r="E73" s="232">
        <f t="shared" si="9"/>
        <v>-51541</v>
      </c>
      <c r="F73" s="70">
        <f t="shared" si="8"/>
        <v>-0.13511508415036963</v>
      </c>
      <c r="G73" s="74">
        <v>329919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29031277.43</v>
      </c>
      <c r="C75" s="96">
        <f t="shared" ref="C75:D75" si="11">SUM(C70,C71:C74)</f>
        <v>33003866</v>
      </c>
      <c r="D75" s="96">
        <f t="shared" si="11"/>
        <v>30446865</v>
      </c>
      <c r="E75" s="89">
        <f t="shared" si="9"/>
        <v>-2557001</v>
      </c>
      <c r="F75" s="81">
        <f t="shared" si="8"/>
        <v>-7.7475802380242362E-2</v>
      </c>
      <c r="G75" s="96">
        <f>SUM(G70,G71:G74)</f>
        <v>32711865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15006238</v>
      </c>
      <c r="C78" s="69">
        <v>16429534</v>
      </c>
      <c r="D78" s="69">
        <v>15045679.209999999</v>
      </c>
      <c r="E78" s="65">
        <f>D78-C78</f>
        <v>-1383854.790000001</v>
      </c>
      <c r="F78" s="70">
        <f t="shared" ref="F78:F96" si="12">IF(ISBLANK(E78),"  ",IF(C78&gt;0,E78/C78,IF(E78&gt;0,1,0)))</f>
        <v>-8.4229704263066807E-2</v>
      </c>
      <c r="G78" s="69">
        <v>16686983.209999999</v>
      </c>
      <c r="H78" s="227"/>
    </row>
    <row r="79" spans="1:8" ht="15" customHeight="1" x14ac:dyDescent="0.25">
      <c r="A79" s="75" t="s">
        <v>70</v>
      </c>
      <c r="B79" s="72">
        <v>1078410.2400000002</v>
      </c>
      <c r="C79" s="72">
        <v>1259493</v>
      </c>
      <c r="D79" s="72">
        <v>1075217.24</v>
      </c>
      <c r="E79" s="74">
        <f>D79-C79</f>
        <v>-184275.76</v>
      </c>
      <c r="F79" s="70">
        <f t="shared" si="12"/>
        <v>-0.14630947532062505</v>
      </c>
      <c r="G79" s="72">
        <v>1075217.24</v>
      </c>
      <c r="H79" s="227"/>
    </row>
    <row r="80" spans="1:8" ht="15" customHeight="1" x14ac:dyDescent="0.25">
      <c r="A80" s="75" t="s">
        <v>71</v>
      </c>
      <c r="B80" s="65">
        <v>6821087.5900000008</v>
      </c>
      <c r="C80" s="65">
        <v>7094782</v>
      </c>
      <c r="D80" s="65">
        <v>6736383.9900000002</v>
      </c>
      <c r="E80" s="74">
        <f t="shared" ref="E80:E95" si="13">D80-C80</f>
        <v>-358398.00999999978</v>
      </c>
      <c r="F80" s="70">
        <f t="shared" si="12"/>
        <v>-5.0515718453364708E-2</v>
      </c>
      <c r="G80" s="65">
        <v>7360079.9900000002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22905735.830000002</v>
      </c>
      <c r="C81" s="96">
        <f t="shared" ref="C81:D81" si="14">SUM(C78:C80)</f>
        <v>24783809</v>
      </c>
      <c r="D81" s="96">
        <f t="shared" si="14"/>
        <v>22857280.439999998</v>
      </c>
      <c r="E81" s="80">
        <f t="shared" si="13"/>
        <v>-1926528.5600000024</v>
      </c>
      <c r="F81" s="81">
        <f t="shared" si="12"/>
        <v>-7.77333524479632E-2</v>
      </c>
      <c r="G81" s="96">
        <f>SUM(G78:G80)</f>
        <v>25122280.439999998</v>
      </c>
      <c r="H81" s="228"/>
    </row>
    <row r="82" spans="1:8" ht="15" customHeight="1" x14ac:dyDescent="0.25">
      <c r="A82" s="75" t="s">
        <v>73</v>
      </c>
      <c r="B82" s="72">
        <v>168016.28000000003</v>
      </c>
      <c r="C82" s="72">
        <v>357600</v>
      </c>
      <c r="D82" s="72">
        <v>261963.5</v>
      </c>
      <c r="E82" s="74">
        <f t="shared" si="13"/>
        <v>-95636.5</v>
      </c>
      <c r="F82" s="70">
        <f t="shared" si="12"/>
        <v>-0.26743987695749438</v>
      </c>
      <c r="G82" s="72">
        <v>261963.5</v>
      </c>
      <c r="H82" s="227"/>
    </row>
    <row r="83" spans="1:8" ht="15" customHeight="1" x14ac:dyDescent="0.25">
      <c r="A83" s="75" t="s">
        <v>74</v>
      </c>
      <c r="B83" s="69">
        <v>2963978.4699999997</v>
      </c>
      <c r="C83" s="69">
        <v>3696273</v>
      </c>
      <c r="D83" s="69">
        <v>4168269.9</v>
      </c>
      <c r="E83" s="74">
        <f t="shared" si="13"/>
        <v>471996.89999999991</v>
      </c>
      <c r="F83" s="70">
        <f t="shared" si="12"/>
        <v>0.12769535691763026</v>
      </c>
      <c r="G83" s="69">
        <v>4168269.9</v>
      </c>
      <c r="H83" s="227"/>
    </row>
    <row r="84" spans="1:8" ht="15" customHeight="1" x14ac:dyDescent="0.25">
      <c r="A84" s="75" t="s">
        <v>75</v>
      </c>
      <c r="B84" s="65">
        <v>372250.94999999995</v>
      </c>
      <c r="C84" s="65">
        <v>441300</v>
      </c>
      <c r="D84" s="65">
        <v>468974</v>
      </c>
      <c r="E84" s="74">
        <f t="shared" si="13"/>
        <v>27674</v>
      </c>
      <c r="F84" s="70">
        <f t="shared" si="12"/>
        <v>6.2710174484477674E-2</v>
      </c>
      <c r="G84" s="65">
        <v>468974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3504245.7</v>
      </c>
      <c r="C85" s="96">
        <f t="shared" ref="C85:D85" si="15">SUM(C82:C84)</f>
        <v>4495173</v>
      </c>
      <c r="D85" s="96">
        <f t="shared" si="15"/>
        <v>4899207.4000000004</v>
      </c>
      <c r="E85" s="74">
        <f t="shared" si="13"/>
        <v>404034.40000000037</v>
      </c>
      <c r="F85" s="81">
        <f t="shared" si="12"/>
        <v>8.9881835471070939E-2</v>
      </c>
      <c r="G85" s="96">
        <f>SUM(G82:G84)</f>
        <v>4899207.4000000004</v>
      </c>
      <c r="H85" s="228"/>
    </row>
    <row r="86" spans="1:8" ht="15" customHeight="1" x14ac:dyDescent="0.25">
      <c r="A86" s="75" t="s">
        <v>77</v>
      </c>
      <c r="B86" s="65">
        <v>610796</v>
      </c>
      <c r="C86" s="65">
        <v>617950</v>
      </c>
      <c r="D86" s="65">
        <v>943489</v>
      </c>
      <c r="E86" s="74">
        <f t="shared" si="13"/>
        <v>325539</v>
      </c>
      <c r="F86" s="70">
        <f t="shared" si="12"/>
        <v>0.52680475766647783</v>
      </c>
      <c r="G86" s="65">
        <v>943489</v>
      </c>
      <c r="H86" s="227"/>
    </row>
    <row r="87" spans="1:8" ht="15" customHeight="1" x14ac:dyDescent="0.25">
      <c r="A87" s="75" t="s">
        <v>78</v>
      </c>
      <c r="B87" s="74">
        <v>587272.90999999992</v>
      </c>
      <c r="C87" s="74">
        <v>2041326</v>
      </c>
      <c r="D87" s="74">
        <v>442252.95999999996</v>
      </c>
      <c r="E87" s="74">
        <f t="shared" si="13"/>
        <v>-1599073.04</v>
      </c>
      <c r="F87" s="70">
        <f t="shared" si="12"/>
        <v>-0.78335015573210753</v>
      </c>
      <c r="G87" s="74">
        <v>442252.95999999996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861179</v>
      </c>
      <c r="C89" s="74">
        <v>816608</v>
      </c>
      <c r="D89" s="74">
        <v>897228</v>
      </c>
      <c r="E89" s="74">
        <f t="shared" si="13"/>
        <v>80620</v>
      </c>
      <c r="F89" s="70">
        <f t="shared" si="12"/>
        <v>9.8725459461577653E-2</v>
      </c>
      <c r="G89" s="74">
        <v>897228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2059247.91</v>
      </c>
      <c r="C90" s="80">
        <f t="shared" ref="C90:D90" si="16">SUM(C86:C89)</f>
        <v>3475884</v>
      </c>
      <c r="D90" s="80">
        <f t="shared" si="16"/>
        <v>2282969.96</v>
      </c>
      <c r="E90" s="80">
        <f t="shared" si="13"/>
        <v>-1192914.04</v>
      </c>
      <c r="F90" s="81">
        <f t="shared" si="12"/>
        <v>-0.34319731038204959</v>
      </c>
      <c r="G90" s="80">
        <f>SUM(G86:G89)</f>
        <v>2282969.96</v>
      </c>
      <c r="H90" s="228"/>
    </row>
    <row r="91" spans="1:8" ht="15" customHeight="1" x14ac:dyDescent="0.25">
      <c r="A91" s="75" t="s">
        <v>82</v>
      </c>
      <c r="B91" s="74">
        <v>562047.99</v>
      </c>
      <c r="C91" s="74">
        <v>249000</v>
      </c>
      <c r="D91" s="74">
        <v>407407.2</v>
      </c>
      <c r="E91" s="74">
        <f t="shared" si="13"/>
        <v>158407.20000000001</v>
      </c>
      <c r="F91" s="70">
        <f t="shared" si="12"/>
        <v>0.63617349397590361</v>
      </c>
      <c r="G91" s="74">
        <v>407407.2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562047.99</v>
      </c>
      <c r="C94" s="96">
        <f t="shared" ref="C94:D94" si="17">SUM(C91:C93)</f>
        <v>249000</v>
      </c>
      <c r="D94" s="96">
        <f t="shared" si="17"/>
        <v>407407.2</v>
      </c>
      <c r="E94" s="74">
        <f t="shared" si="13"/>
        <v>158407.20000000001</v>
      </c>
      <c r="F94" s="81">
        <f t="shared" si="12"/>
        <v>0.63617349397590361</v>
      </c>
      <c r="G94" s="96">
        <f>SUM(G91:G93)</f>
        <v>407407.2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29031277.43</v>
      </c>
      <c r="C96" s="196">
        <f t="shared" ref="C96:D96" si="18">SUM(C81,C85,C90,C94,C95)</f>
        <v>33003866</v>
      </c>
      <c r="D96" s="196">
        <f t="shared" si="18"/>
        <v>30446864.999999996</v>
      </c>
      <c r="E96" s="196">
        <f>D96-C96</f>
        <v>-2557001.0000000037</v>
      </c>
      <c r="F96" s="198">
        <f t="shared" si="12"/>
        <v>-7.7475802380242473E-2</v>
      </c>
      <c r="G96" s="196">
        <f>SUM(G81,G85,G90,G94,G95)</f>
        <v>32711864.999999996</v>
      </c>
      <c r="H96" s="228"/>
    </row>
    <row r="97" spans="1:9" ht="15" customHeight="1" thickTop="1" x14ac:dyDescent="0.4">
      <c r="A97" s="4"/>
      <c r="B97" s="5"/>
      <c r="C97" s="14"/>
      <c r="D97" s="14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8" customWidth="1"/>
    <col min="2" max="2" width="23.7109375" style="12" customWidth="1"/>
    <col min="3" max="5" width="23.7109375" style="19" customWidth="1"/>
    <col min="6" max="6" width="23.7109375" style="20" customWidth="1"/>
    <col min="7" max="7" width="27.140625" style="138" bestFit="1" customWidth="1"/>
    <col min="8" max="8" width="7.7109375" style="138" customWidth="1"/>
    <col min="9" max="9" width="11.5703125" style="138" customWidth="1"/>
    <col min="10" max="16384" width="9.140625" style="138"/>
  </cols>
  <sheetData>
    <row r="1" spans="1:9" ht="19.5" customHeight="1" thickBot="1" x14ac:dyDescent="0.3">
      <c r="A1" s="43" t="s">
        <v>0</v>
      </c>
      <c r="B1" s="31"/>
      <c r="D1" s="32" t="s">
        <v>1</v>
      </c>
      <c r="E1" s="207" t="s">
        <v>108</v>
      </c>
      <c r="F1" s="44"/>
      <c r="I1" s="137"/>
    </row>
    <row r="2" spans="1:9" ht="19.5" customHeight="1" thickBot="1" x14ac:dyDescent="0.3">
      <c r="A2" s="43" t="s">
        <v>2</v>
      </c>
      <c r="B2" s="31"/>
      <c r="C2" s="45"/>
      <c r="D2" s="45"/>
      <c r="E2" s="45"/>
      <c r="F2" s="46"/>
      <c r="G2" s="306" t="s">
        <v>212</v>
      </c>
      <c r="H2" s="137"/>
      <c r="I2" s="209" t="s">
        <v>187</v>
      </c>
    </row>
    <row r="3" spans="1:9" ht="19.5" customHeight="1" thickBot="1" x14ac:dyDescent="0.3">
      <c r="A3" s="47" t="s">
        <v>3</v>
      </c>
      <c r="B3" s="38"/>
      <c r="C3" s="48"/>
      <c r="D3" s="48"/>
      <c r="E3" s="48"/>
      <c r="F3" s="49"/>
      <c r="G3" s="307"/>
      <c r="H3" s="137"/>
      <c r="I3" s="137"/>
    </row>
    <row r="4" spans="1:9" s="139" customFormat="1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98" t="s">
        <v>10</v>
      </c>
      <c r="B6" s="65"/>
      <c r="C6" s="65"/>
      <c r="D6" s="65"/>
      <c r="E6" s="65"/>
      <c r="F6" s="99"/>
      <c r="G6" s="65"/>
      <c r="H6" s="227"/>
    </row>
    <row r="7" spans="1:9" ht="15" customHeight="1" x14ac:dyDescent="0.25">
      <c r="A7" s="98" t="s">
        <v>11</v>
      </c>
      <c r="B7" s="65"/>
      <c r="C7" s="65"/>
      <c r="D7" s="65"/>
      <c r="E7" s="65"/>
      <c r="F7" s="100"/>
      <c r="G7" s="65"/>
      <c r="H7" s="227"/>
    </row>
    <row r="8" spans="1:9" ht="15" customHeight="1" x14ac:dyDescent="0.25">
      <c r="A8" s="126" t="s">
        <v>12</v>
      </c>
      <c r="B8" s="69">
        <v>25605735</v>
      </c>
      <c r="C8" s="69">
        <v>25605735</v>
      </c>
      <c r="D8" s="69">
        <v>20845544</v>
      </c>
      <c r="E8" s="69">
        <f>D8-C8</f>
        <v>-4760191</v>
      </c>
      <c r="F8" s="134">
        <f t="shared" ref="F8:F31" si="0">IF(ISBLANK(E8),"  ",IF(C8&gt;0,E8/C8,IF(E8&gt;0,1,0)))</f>
        <v>-0.18590331423800177</v>
      </c>
      <c r="G8" s="69">
        <v>20845544</v>
      </c>
      <c r="H8" s="227"/>
      <c r="I8" s="136"/>
    </row>
    <row r="9" spans="1:9" ht="15" customHeight="1" x14ac:dyDescent="0.25">
      <c r="A9" s="126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134">
        <f t="shared" si="0"/>
        <v>0</v>
      </c>
      <c r="G9" s="69">
        <v>0</v>
      </c>
      <c r="H9" s="227"/>
    </row>
    <row r="10" spans="1:9" ht="15" customHeight="1" x14ac:dyDescent="0.25">
      <c r="A10" s="127" t="s">
        <v>14</v>
      </c>
      <c r="B10" s="72">
        <f>SUM(B11:B31)</f>
        <v>1359808.74</v>
      </c>
      <c r="C10" s="72">
        <f t="shared" ref="C10:D10" si="1">SUM(C11:C31)</f>
        <v>1621434</v>
      </c>
      <c r="D10" s="72">
        <f t="shared" si="1"/>
        <v>1301359</v>
      </c>
      <c r="E10" s="69">
        <f t="shared" ref="E10:E31" si="2">D10-C10</f>
        <v>-320075</v>
      </c>
      <c r="F10" s="134">
        <f t="shared" si="0"/>
        <v>-0.19740242279365056</v>
      </c>
      <c r="G10" s="72">
        <f>SUM(G11:G31)</f>
        <v>1301359</v>
      </c>
      <c r="H10" s="227"/>
    </row>
    <row r="11" spans="1:9" ht="15" customHeight="1" x14ac:dyDescent="0.25">
      <c r="A11" s="128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134">
        <f t="shared" si="0"/>
        <v>0</v>
      </c>
      <c r="G11" s="74">
        <v>0</v>
      </c>
      <c r="H11" s="227"/>
    </row>
    <row r="12" spans="1:9" ht="15" customHeight="1" x14ac:dyDescent="0.25">
      <c r="A12" s="129" t="s">
        <v>16</v>
      </c>
      <c r="B12" s="74">
        <v>1047091.74</v>
      </c>
      <c r="C12" s="74">
        <v>1272193</v>
      </c>
      <c r="D12" s="74">
        <v>1089807</v>
      </c>
      <c r="E12" s="69">
        <f t="shared" si="2"/>
        <v>-182386</v>
      </c>
      <c r="F12" s="134">
        <f t="shared" si="0"/>
        <v>-0.14336346764995564</v>
      </c>
      <c r="G12" s="74">
        <v>1089807</v>
      </c>
      <c r="H12" s="227"/>
    </row>
    <row r="13" spans="1:9" ht="15" customHeight="1" x14ac:dyDescent="0.25">
      <c r="A13" s="129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134">
        <f t="shared" si="0"/>
        <v>0</v>
      </c>
      <c r="G13" s="74">
        <v>0</v>
      </c>
      <c r="H13" s="227"/>
    </row>
    <row r="14" spans="1:9" ht="15" customHeight="1" x14ac:dyDescent="0.25">
      <c r="A14" s="129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134">
        <f t="shared" si="0"/>
        <v>0</v>
      </c>
      <c r="G14" s="74">
        <v>0</v>
      </c>
      <c r="H14" s="227"/>
    </row>
    <row r="15" spans="1:9" ht="15" customHeight="1" x14ac:dyDescent="0.25">
      <c r="A15" s="129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134">
        <f t="shared" si="0"/>
        <v>0</v>
      </c>
      <c r="G15" s="74">
        <v>0</v>
      </c>
      <c r="H15" s="227"/>
    </row>
    <row r="16" spans="1:9" ht="15" customHeight="1" x14ac:dyDescent="0.25">
      <c r="A16" s="129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134">
        <f t="shared" si="0"/>
        <v>0</v>
      </c>
      <c r="G16" s="74">
        <v>0</v>
      </c>
      <c r="H16" s="227"/>
    </row>
    <row r="17" spans="1:8" ht="15" customHeight="1" x14ac:dyDescent="0.25">
      <c r="A17" s="129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134">
        <f t="shared" si="0"/>
        <v>0</v>
      </c>
      <c r="G17" s="74">
        <v>0</v>
      </c>
      <c r="H17" s="227"/>
    </row>
    <row r="18" spans="1:8" ht="15" customHeight="1" x14ac:dyDescent="0.25">
      <c r="A18" s="129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134">
        <f t="shared" si="0"/>
        <v>0</v>
      </c>
      <c r="G18" s="74">
        <v>0</v>
      </c>
      <c r="H18" s="227"/>
    </row>
    <row r="19" spans="1:8" ht="15" customHeight="1" x14ac:dyDescent="0.25">
      <c r="A19" s="129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134">
        <f t="shared" si="0"/>
        <v>0</v>
      </c>
      <c r="G19" s="74">
        <v>0</v>
      </c>
      <c r="H19" s="227"/>
    </row>
    <row r="20" spans="1:8" ht="15" customHeight="1" x14ac:dyDescent="0.25">
      <c r="A20" s="129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134">
        <f t="shared" si="0"/>
        <v>0</v>
      </c>
      <c r="G20" s="74">
        <v>0</v>
      </c>
      <c r="H20" s="227"/>
    </row>
    <row r="21" spans="1:8" ht="15" customHeight="1" x14ac:dyDescent="0.25">
      <c r="A21" s="129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134">
        <f t="shared" si="0"/>
        <v>0</v>
      </c>
      <c r="G21" s="74">
        <v>0</v>
      </c>
      <c r="H21" s="227"/>
    </row>
    <row r="22" spans="1:8" ht="15" customHeight="1" x14ac:dyDescent="0.25">
      <c r="A22" s="129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134">
        <f t="shared" si="0"/>
        <v>0</v>
      </c>
      <c r="G22" s="74">
        <v>0</v>
      </c>
      <c r="H22" s="227"/>
    </row>
    <row r="23" spans="1:8" ht="15" customHeight="1" x14ac:dyDescent="0.25">
      <c r="A23" s="130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134">
        <f t="shared" si="0"/>
        <v>0</v>
      </c>
      <c r="G23" s="74">
        <v>0</v>
      </c>
      <c r="H23" s="227"/>
    </row>
    <row r="24" spans="1:8" ht="15" customHeight="1" x14ac:dyDescent="0.25">
      <c r="A24" s="130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134">
        <f t="shared" si="0"/>
        <v>0</v>
      </c>
      <c r="G24" s="74">
        <v>0</v>
      </c>
      <c r="H24" s="227"/>
    </row>
    <row r="25" spans="1:8" ht="15" customHeight="1" x14ac:dyDescent="0.25">
      <c r="A25" s="130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134">
        <f t="shared" si="0"/>
        <v>0</v>
      </c>
      <c r="G25" s="74">
        <v>0</v>
      </c>
      <c r="H25" s="227"/>
    </row>
    <row r="26" spans="1:8" ht="15" customHeight="1" x14ac:dyDescent="0.25">
      <c r="A26" s="130" t="s">
        <v>30</v>
      </c>
      <c r="B26" s="74">
        <v>312717</v>
      </c>
      <c r="C26" s="74">
        <v>349241</v>
      </c>
      <c r="D26" s="74">
        <v>211552</v>
      </c>
      <c r="E26" s="69">
        <f t="shared" si="2"/>
        <v>-137689</v>
      </c>
      <c r="F26" s="134">
        <f t="shared" si="0"/>
        <v>-0.39425210671141131</v>
      </c>
      <c r="G26" s="74">
        <v>211552</v>
      </c>
      <c r="H26" s="227"/>
    </row>
    <row r="27" spans="1:8" ht="15" customHeight="1" x14ac:dyDescent="0.25">
      <c r="A27" s="130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134">
        <f t="shared" si="0"/>
        <v>0</v>
      </c>
      <c r="G27" s="74">
        <v>0</v>
      </c>
      <c r="H27" s="227"/>
    </row>
    <row r="28" spans="1:8" ht="15" customHeight="1" x14ac:dyDescent="0.25">
      <c r="A28" s="130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134">
        <f t="shared" si="0"/>
        <v>0</v>
      </c>
      <c r="G28" s="74">
        <v>0</v>
      </c>
      <c r="H28" s="227"/>
    </row>
    <row r="29" spans="1:8" ht="15" customHeight="1" x14ac:dyDescent="0.25">
      <c r="A29" s="130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134">
        <f t="shared" si="0"/>
        <v>0</v>
      </c>
      <c r="G29" s="74">
        <v>0</v>
      </c>
      <c r="H29" s="227"/>
    </row>
    <row r="30" spans="1:8" ht="15" customHeight="1" x14ac:dyDescent="0.25">
      <c r="A30" s="218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134">
        <f t="shared" si="0"/>
        <v>0</v>
      </c>
      <c r="G30" s="74">
        <v>0</v>
      </c>
      <c r="H30" s="227"/>
    </row>
    <row r="31" spans="1:8" ht="15" customHeight="1" x14ac:dyDescent="0.25">
      <c r="A31" s="130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134">
        <f t="shared" si="0"/>
        <v>0</v>
      </c>
      <c r="G31" s="74">
        <v>0</v>
      </c>
      <c r="H31" s="227"/>
    </row>
    <row r="32" spans="1:8" ht="15" customHeight="1" x14ac:dyDescent="0.25">
      <c r="A32" s="102" t="s">
        <v>33</v>
      </c>
      <c r="B32" s="74"/>
      <c r="C32" s="74"/>
      <c r="D32" s="74"/>
      <c r="E32" s="74"/>
      <c r="F32" s="135"/>
      <c r="G32" s="74"/>
      <c r="H32" s="227"/>
    </row>
    <row r="33" spans="1:13" ht="15" customHeight="1" x14ac:dyDescent="0.25">
      <c r="A33" s="128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134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103" t="s">
        <v>35</v>
      </c>
      <c r="B34" s="74"/>
      <c r="C34" s="74"/>
      <c r="D34" s="74"/>
      <c r="E34" s="74"/>
      <c r="F34" s="135"/>
      <c r="G34" s="74"/>
      <c r="H34" s="227"/>
    </row>
    <row r="35" spans="1:13" ht="15" customHeight="1" x14ac:dyDescent="0.25">
      <c r="A35" s="128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134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129" t="s">
        <v>36</v>
      </c>
      <c r="B36" s="74"/>
      <c r="C36" s="74"/>
      <c r="D36" s="74"/>
      <c r="E36" s="72"/>
      <c r="F36" s="134" t="str">
        <f>IF(ISBLANK(E36),"  ",IF(C36&gt;0,E36/C36,IF(E36&gt;0,1,0)))</f>
        <v xml:space="preserve">  </v>
      </c>
      <c r="G36" s="74"/>
      <c r="H36" s="227"/>
    </row>
    <row r="37" spans="1:13" ht="15" customHeight="1" x14ac:dyDescent="0.25">
      <c r="A37" s="104" t="s">
        <v>38</v>
      </c>
      <c r="B37" s="80">
        <f>SUM(B8,B9,B10,B33,B35,B36)</f>
        <v>26965543.739999998</v>
      </c>
      <c r="C37" s="80">
        <f t="shared" ref="C37:D37" si="3">SUM(C8,C9,C10,C33,C35,C36)</f>
        <v>27227169</v>
      </c>
      <c r="D37" s="80">
        <f t="shared" si="3"/>
        <v>22146903</v>
      </c>
      <c r="E37" s="80">
        <f>D37-C37</f>
        <v>-5080266</v>
      </c>
      <c r="F37" s="101">
        <f>IF(ISBLANK(E37),"  ",IF(C37&gt;0,E37/C37,IF(E37&gt;0,1,0)))</f>
        <v>-0.18658810983984417</v>
      </c>
      <c r="G37" s="80">
        <f>SUM(G8,G9,G10,G33,G35,G36)</f>
        <v>22146903</v>
      </c>
      <c r="H37" s="228"/>
    </row>
    <row r="38" spans="1:13" ht="15" customHeight="1" x14ac:dyDescent="0.25">
      <c r="A38" s="102" t="s">
        <v>39</v>
      </c>
      <c r="B38" s="74"/>
      <c r="C38" s="74"/>
      <c r="D38" s="74"/>
      <c r="E38" s="74"/>
      <c r="F38" s="99"/>
      <c r="G38" s="74"/>
      <c r="H38" s="227"/>
    </row>
    <row r="39" spans="1:13" ht="15" customHeight="1" x14ac:dyDescent="0.25">
      <c r="A39" s="131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134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132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134">
        <f t="shared" si="4"/>
        <v>0</v>
      </c>
      <c r="G40" s="69">
        <v>0</v>
      </c>
      <c r="H40" s="227"/>
    </row>
    <row r="41" spans="1:13" ht="15" customHeight="1" x14ac:dyDescent="0.25">
      <c r="A41" s="132" t="s">
        <v>42</v>
      </c>
      <c r="B41" s="69">
        <v>4180000</v>
      </c>
      <c r="C41" s="69">
        <v>4180000</v>
      </c>
      <c r="D41" s="69">
        <v>0</v>
      </c>
      <c r="E41" s="69">
        <f t="shared" si="5"/>
        <v>-4180000</v>
      </c>
      <c r="F41" s="134">
        <f t="shared" si="4"/>
        <v>-1</v>
      </c>
      <c r="G41" s="69">
        <v>0</v>
      </c>
      <c r="H41" s="227"/>
    </row>
    <row r="42" spans="1:13" ht="15" customHeight="1" x14ac:dyDescent="0.25">
      <c r="A42" s="132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134">
        <f t="shared" si="4"/>
        <v>0</v>
      </c>
      <c r="G42" s="69">
        <v>0</v>
      </c>
      <c r="H42" s="227"/>
    </row>
    <row r="43" spans="1:13" ht="15" customHeight="1" x14ac:dyDescent="0.25">
      <c r="A43" s="133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134">
        <f t="shared" si="4"/>
        <v>0</v>
      </c>
      <c r="G43" s="69">
        <v>0</v>
      </c>
      <c r="H43" s="227"/>
    </row>
    <row r="44" spans="1:13" ht="15" customHeight="1" x14ac:dyDescent="0.25">
      <c r="A44" s="102" t="s">
        <v>45</v>
      </c>
      <c r="B44" s="85">
        <f>SUM(B39:B43)</f>
        <v>4180000</v>
      </c>
      <c r="C44" s="85">
        <f t="shared" ref="C44:D44" si="6">SUM(C39:C43)</f>
        <v>4180000</v>
      </c>
      <c r="D44" s="85">
        <f t="shared" si="6"/>
        <v>0</v>
      </c>
      <c r="E44" s="87">
        <f t="shared" si="5"/>
        <v>-4180000</v>
      </c>
      <c r="F44" s="101">
        <f t="shared" si="4"/>
        <v>-1</v>
      </c>
      <c r="G44" s="85">
        <f>SUM(G39:G43)</f>
        <v>0</v>
      </c>
      <c r="H44" s="228"/>
      <c r="M44" s="138" t="s">
        <v>46</v>
      </c>
    </row>
    <row r="45" spans="1:13" ht="15" customHeight="1" x14ac:dyDescent="0.25">
      <c r="A45" s="103" t="s">
        <v>46</v>
      </c>
      <c r="B45" s="74"/>
      <c r="C45" s="74"/>
      <c r="D45" s="74"/>
      <c r="E45" s="74"/>
      <c r="F45" s="99"/>
      <c r="G45" s="74"/>
      <c r="H45" s="227"/>
    </row>
    <row r="46" spans="1:13" ht="15" customHeight="1" x14ac:dyDescent="0.25">
      <c r="A46" s="105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10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103" t="s">
        <v>46</v>
      </c>
      <c r="B47" s="80"/>
      <c r="C47" s="80"/>
      <c r="D47" s="80"/>
      <c r="E47" s="74"/>
      <c r="F47" s="99"/>
      <c r="G47" s="80"/>
      <c r="H47" s="228"/>
    </row>
    <row r="48" spans="1:13" ht="15" customHeight="1" x14ac:dyDescent="0.25">
      <c r="A48" s="105" t="s">
        <v>200</v>
      </c>
      <c r="B48" s="87">
        <v>4180000</v>
      </c>
      <c r="C48" s="87">
        <v>4180000</v>
      </c>
      <c r="D48" s="87">
        <v>0</v>
      </c>
      <c r="E48" s="87">
        <f>D48-C48</f>
        <v>-4180000</v>
      </c>
      <c r="F48" s="101">
        <f>IF(ISBLANK(E48)," ",IF(C48&gt;0,E48/C48,IF(E48&gt;0,1,0)))</f>
        <v>-1</v>
      </c>
      <c r="G48" s="87">
        <v>4180000</v>
      </c>
      <c r="H48" s="228"/>
    </row>
    <row r="49" spans="1:8" ht="15" customHeight="1" x14ac:dyDescent="0.25">
      <c r="A49" s="102"/>
      <c r="B49" s="65"/>
      <c r="C49" s="65"/>
      <c r="D49" s="65" t="s">
        <v>207</v>
      </c>
      <c r="E49" s="65"/>
      <c r="F49" s="100"/>
      <c r="G49" s="65" t="s">
        <v>207</v>
      </c>
      <c r="H49" s="227"/>
    </row>
    <row r="50" spans="1:8" ht="15" customHeight="1" x14ac:dyDescent="0.25">
      <c r="A50" s="105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10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103" t="s">
        <v>46</v>
      </c>
      <c r="B51" s="74"/>
      <c r="C51" s="74"/>
      <c r="D51" s="74"/>
      <c r="E51" s="74"/>
      <c r="F51" s="99"/>
      <c r="G51" s="74"/>
      <c r="H51" s="227"/>
    </row>
    <row r="52" spans="1:8" ht="15" customHeight="1" x14ac:dyDescent="0.25">
      <c r="A52" s="102" t="s">
        <v>49</v>
      </c>
      <c r="B52" s="85">
        <v>47721030.600000001</v>
      </c>
      <c r="C52" s="85">
        <v>50000000</v>
      </c>
      <c r="D52" s="85">
        <v>50000000</v>
      </c>
      <c r="E52" s="85">
        <f>D52-C52</f>
        <v>0</v>
      </c>
      <c r="F52" s="101">
        <f>IF(ISBLANK(E52),"  ",IF(C52&gt;0,E52/C52,IF(E52&gt;0,1,0)))</f>
        <v>0</v>
      </c>
      <c r="G52" s="85">
        <v>50000000</v>
      </c>
      <c r="H52" s="228"/>
    </row>
    <row r="53" spans="1:8" ht="15" customHeight="1" x14ac:dyDescent="0.25">
      <c r="A53" s="103" t="s">
        <v>46</v>
      </c>
      <c r="B53" s="74"/>
      <c r="C53" s="74"/>
      <c r="D53" s="74"/>
      <c r="E53" s="74"/>
      <c r="F53" s="99"/>
      <c r="G53" s="74"/>
      <c r="H53" s="227"/>
    </row>
    <row r="54" spans="1:8" ht="15" customHeight="1" x14ac:dyDescent="0.25">
      <c r="A54" s="107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10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102"/>
      <c r="B55" s="65"/>
      <c r="C55" s="65"/>
      <c r="D55" s="65"/>
      <c r="E55" s="65"/>
      <c r="F55" s="108"/>
      <c r="G55" s="65"/>
      <c r="H55" s="227"/>
    </row>
    <row r="56" spans="1:8" ht="15" customHeight="1" x14ac:dyDescent="0.25">
      <c r="A56" s="102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10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103"/>
      <c r="B57" s="74"/>
      <c r="C57" s="74"/>
      <c r="D57" s="74"/>
      <c r="E57" s="74"/>
      <c r="F57" s="99"/>
      <c r="G57" s="74"/>
      <c r="H57" s="227"/>
    </row>
    <row r="58" spans="1:8" ht="15" customHeight="1" x14ac:dyDescent="0.25">
      <c r="A58" s="109" t="s">
        <v>52</v>
      </c>
      <c r="B58" s="85">
        <f>SUM(B37,B46,B48,B50,B52,B54,B56)-B44</f>
        <v>74686574.340000004</v>
      </c>
      <c r="C58" s="85">
        <f t="shared" ref="C58:D58" si="7">SUM(C37,C46,C48,C50,C52,C54,C56)-C44</f>
        <v>77227169</v>
      </c>
      <c r="D58" s="85">
        <f t="shared" si="7"/>
        <v>72146903</v>
      </c>
      <c r="E58" s="85">
        <f>D58-C58</f>
        <v>-5080266</v>
      </c>
      <c r="F58" s="101">
        <f>IF(ISBLANK(E58),"  ",IF(C58&gt;0,E58/C58,IF(E58&gt;0,1,0)))</f>
        <v>-6.5783403247631669E-2</v>
      </c>
      <c r="G58" s="85">
        <f>SUM(G37,G46,G48,G50,G52,G54,G56)-G44</f>
        <v>76326903</v>
      </c>
      <c r="H58" s="228"/>
    </row>
    <row r="59" spans="1:8" ht="15" customHeight="1" x14ac:dyDescent="0.25">
      <c r="A59" s="110"/>
      <c r="B59" s="74"/>
      <c r="C59" s="74"/>
      <c r="D59" s="74"/>
      <c r="E59" s="74"/>
      <c r="F59" s="99" t="s">
        <v>46</v>
      </c>
      <c r="G59" s="74"/>
      <c r="H59" s="227"/>
    </row>
    <row r="60" spans="1:8" ht="15" customHeight="1" x14ac:dyDescent="0.25">
      <c r="A60" s="109"/>
      <c r="B60" s="65"/>
      <c r="C60" s="65"/>
      <c r="D60" s="65"/>
      <c r="E60" s="65"/>
      <c r="F60" s="100" t="s">
        <v>46</v>
      </c>
      <c r="G60" s="65"/>
      <c r="H60" s="227"/>
    </row>
    <row r="61" spans="1:8" ht="15" customHeight="1" x14ac:dyDescent="0.25">
      <c r="A61" s="109" t="s">
        <v>53</v>
      </c>
      <c r="B61" s="65"/>
      <c r="C61" s="65"/>
      <c r="D61" s="65"/>
      <c r="E61" s="65"/>
      <c r="F61" s="100"/>
      <c r="G61" s="65"/>
      <c r="H61" s="227"/>
    </row>
    <row r="62" spans="1:8" ht="15" customHeight="1" x14ac:dyDescent="0.25">
      <c r="A62" s="128" t="s">
        <v>54</v>
      </c>
      <c r="B62" s="65">
        <v>34091483.830000006</v>
      </c>
      <c r="C62" s="65">
        <v>37208448</v>
      </c>
      <c r="D62" s="65">
        <v>31609951</v>
      </c>
      <c r="E62" s="232">
        <f>D62-C62</f>
        <v>-5598497</v>
      </c>
      <c r="F62" s="101">
        <f t="shared" ref="F62:F75" si="8">IF(ISBLANK(E62),"  ",IF(C62&gt;0,E62/C62,IF(E62&gt;0,1,0)))</f>
        <v>-0.1504630615068922</v>
      </c>
      <c r="G62" s="65">
        <v>35789951</v>
      </c>
      <c r="H62" s="227"/>
    </row>
    <row r="63" spans="1:8" ht="15" customHeight="1" x14ac:dyDescent="0.25">
      <c r="A63" s="129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134">
        <f t="shared" si="8"/>
        <v>0</v>
      </c>
      <c r="G63" s="74">
        <v>0</v>
      </c>
      <c r="H63" s="227"/>
    </row>
    <row r="64" spans="1:8" ht="15" customHeight="1" x14ac:dyDescent="0.25">
      <c r="A64" s="129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134">
        <f t="shared" si="8"/>
        <v>0</v>
      </c>
      <c r="G64" s="74">
        <v>0</v>
      </c>
      <c r="H64" s="227"/>
    </row>
    <row r="65" spans="1:9" ht="15" customHeight="1" x14ac:dyDescent="0.25">
      <c r="A65" s="129" t="s">
        <v>57</v>
      </c>
      <c r="B65" s="74">
        <v>9342722.5500000007</v>
      </c>
      <c r="C65" s="74">
        <v>9776186.2100000009</v>
      </c>
      <c r="D65" s="74">
        <v>10670884</v>
      </c>
      <c r="E65" s="232">
        <f t="shared" si="9"/>
        <v>894697.78999999911</v>
      </c>
      <c r="F65" s="134">
        <f t="shared" si="8"/>
        <v>9.1518079830028021E-2</v>
      </c>
      <c r="G65" s="74">
        <v>10670884</v>
      </c>
      <c r="H65" s="227"/>
    </row>
    <row r="66" spans="1:9" ht="15" customHeight="1" x14ac:dyDescent="0.25">
      <c r="A66" s="129" t="s">
        <v>58</v>
      </c>
      <c r="B66" s="74">
        <v>4987102</v>
      </c>
      <c r="C66" s="74">
        <v>5338763</v>
      </c>
      <c r="D66" s="74">
        <v>5680892</v>
      </c>
      <c r="E66" s="232">
        <f t="shared" si="9"/>
        <v>342129</v>
      </c>
      <c r="F66" s="134">
        <f t="shared" si="8"/>
        <v>6.4083946037687009E-2</v>
      </c>
      <c r="G66" s="74">
        <v>5680892</v>
      </c>
      <c r="H66" s="227"/>
    </row>
    <row r="67" spans="1:9" ht="15" customHeight="1" x14ac:dyDescent="0.25">
      <c r="A67" s="129" t="s">
        <v>59</v>
      </c>
      <c r="B67" s="74">
        <v>10642407.800000001</v>
      </c>
      <c r="C67" s="74">
        <v>11424189</v>
      </c>
      <c r="D67" s="74">
        <v>10211747</v>
      </c>
      <c r="E67" s="232">
        <f t="shared" si="9"/>
        <v>-1212442</v>
      </c>
      <c r="F67" s="134">
        <f t="shared" si="8"/>
        <v>-0.10612937163417027</v>
      </c>
      <c r="G67" s="74">
        <v>10211747</v>
      </c>
      <c r="H67" s="227"/>
    </row>
    <row r="68" spans="1:9" ht="15" customHeight="1" x14ac:dyDescent="0.25">
      <c r="A68" s="129" t="s">
        <v>60</v>
      </c>
      <c r="B68" s="74">
        <v>25</v>
      </c>
      <c r="C68" s="74">
        <v>107881.60000000001</v>
      </c>
      <c r="D68" s="74">
        <v>137390</v>
      </c>
      <c r="E68" s="232">
        <f t="shared" si="9"/>
        <v>29508.399999999994</v>
      </c>
      <c r="F68" s="134">
        <f t="shared" si="8"/>
        <v>0.27352579123780135</v>
      </c>
      <c r="G68" s="74">
        <v>137390</v>
      </c>
      <c r="H68" s="227"/>
    </row>
    <row r="69" spans="1:9" ht="15" customHeight="1" x14ac:dyDescent="0.25">
      <c r="A69" s="129" t="s">
        <v>61</v>
      </c>
      <c r="B69" s="74">
        <v>13400783</v>
      </c>
      <c r="C69" s="74">
        <v>11011150</v>
      </c>
      <c r="D69" s="74">
        <v>11331067</v>
      </c>
      <c r="E69" s="232">
        <f t="shared" si="9"/>
        <v>319917</v>
      </c>
      <c r="F69" s="134">
        <f t="shared" si="8"/>
        <v>2.905391353310054E-2</v>
      </c>
      <c r="G69" s="74">
        <v>11331067</v>
      </c>
      <c r="H69" s="227"/>
    </row>
    <row r="70" spans="1:9" ht="15" customHeight="1" x14ac:dyDescent="0.25">
      <c r="A70" s="110" t="s">
        <v>62</v>
      </c>
      <c r="B70" s="80">
        <f>SUM(B62:B69)</f>
        <v>72464524.180000007</v>
      </c>
      <c r="C70" s="80">
        <f t="shared" ref="C70:D70" si="10">SUM(C62:C69)</f>
        <v>74866617.810000002</v>
      </c>
      <c r="D70" s="80">
        <f t="shared" si="10"/>
        <v>69641931</v>
      </c>
      <c r="E70" s="89">
        <f t="shared" si="9"/>
        <v>-5224686.8100000024</v>
      </c>
      <c r="F70" s="101">
        <f t="shared" si="8"/>
        <v>-6.9786601329573303E-2</v>
      </c>
      <c r="G70" s="80">
        <f>SUM(G62:G69)</f>
        <v>73821931</v>
      </c>
      <c r="H70" s="228"/>
    </row>
    <row r="71" spans="1:9" ht="15" customHeight="1" x14ac:dyDescent="0.25">
      <c r="A71" s="129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134">
        <f t="shared" si="8"/>
        <v>0</v>
      </c>
      <c r="G71" s="74">
        <v>0</v>
      </c>
      <c r="H71" s="227"/>
    </row>
    <row r="72" spans="1:9" ht="15" customHeight="1" x14ac:dyDescent="0.25">
      <c r="A72" s="129" t="s">
        <v>64</v>
      </c>
      <c r="B72" s="74">
        <v>1519168</v>
      </c>
      <c r="C72" s="74">
        <v>1566949</v>
      </c>
      <c r="D72" s="74">
        <v>1882959</v>
      </c>
      <c r="E72" s="232">
        <f t="shared" si="9"/>
        <v>316010</v>
      </c>
      <c r="F72" s="134">
        <f t="shared" si="8"/>
        <v>0.20167216673931315</v>
      </c>
      <c r="G72" s="74">
        <v>1882959</v>
      </c>
      <c r="H72" s="227"/>
    </row>
    <row r="73" spans="1:9" ht="15" customHeight="1" x14ac:dyDescent="0.25">
      <c r="A73" s="129" t="s">
        <v>65</v>
      </c>
      <c r="B73" s="74">
        <v>390164.69</v>
      </c>
      <c r="C73" s="74">
        <v>444361</v>
      </c>
      <c r="D73" s="74">
        <v>410461</v>
      </c>
      <c r="E73" s="232">
        <f t="shared" si="9"/>
        <v>-33900</v>
      </c>
      <c r="F73" s="134">
        <f t="shared" si="8"/>
        <v>-7.628932332045342E-2</v>
      </c>
      <c r="G73" s="74">
        <v>410461</v>
      </c>
      <c r="H73" s="227"/>
    </row>
    <row r="74" spans="1:9" ht="15" customHeight="1" x14ac:dyDescent="0.25">
      <c r="A74" s="129" t="s">
        <v>66</v>
      </c>
      <c r="B74" s="74">
        <v>312717</v>
      </c>
      <c r="C74" s="74">
        <v>349241</v>
      </c>
      <c r="D74" s="74">
        <v>211552</v>
      </c>
      <c r="E74" s="232">
        <f t="shared" si="9"/>
        <v>-137689</v>
      </c>
      <c r="F74" s="134">
        <f t="shared" si="8"/>
        <v>-0.39425210671141131</v>
      </c>
      <c r="G74" s="74">
        <v>211552</v>
      </c>
      <c r="H74" s="227"/>
    </row>
    <row r="75" spans="1:9" ht="15" customHeight="1" x14ac:dyDescent="0.25">
      <c r="A75" s="111" t="s">
        <v>67</v>
      </c>
      <c r="B75" s="96">
        <f>SUM(B70,B71:B74)</f>
        <v>74686573.870000005</v>
      </c>
      <c r="C75" s="96">
        <f t="shared" ref="C75:D75" si="11">SUM(C70,C71:C74)</f>
        <v>77227168.810000002</v>
      </c>
      <c r="D75" s="96">
        <f t="shared" si="11"/>
        <v>72146903</v>
      </c>
      <c r="E75" s="89">
        <f t="shared" si="9"/>
        <v>-5080265.8100000024</v>
      </c>
      <c r="F75" s="101">
        <f t="shared" si="8"/>
        <v>-6.5783400949202847E-2</v>
      </c>
      <c r="G75" s="96">
        <f>SUM(G70,G71:G74)</f>
        <v>76326903</v>
      </c>
      <c r="H75" s="228"/>
    </row>
    <row r="76" spans="1:9" ht="15" customHeight="1" x14ac:dyDescent="0.25">
      <c r="A76" s="109"/>
      <c r="B76" s="65"/>
      <c r="C76" s="65"/>
      <c r="D76" s="65"/>
      <c r="E76" s="65"/>
      <c r="F76" s="100"/>
      <c r="G76" s="65"/>
      <c r="H76" s="227"/>
    </row>
    <row r="77" spans="1:9" ht="15" customHeight="1" x14ac:dyDescent="0.25">
      <c r="A77" s="109" t="s">
        <v>68</v>
      </c>
      <c r="B77" s="65"/>
      <c r="C77" s="65"/>
      <c r="D77" s="65"/>
      <c r="E77" s="65"/>
      <c r="F77" s="100"/>
      <c r="G77" s="65"/>
      <c r="H77" s="227"/>
    </row>
    <row r="78" spans="1:9" ht="15" customHeight="1" x14ac:dyDescent="0.25">
      <c r="A78" s="128" t="s">
        <v>69</v>
      </c>
      <c r="B78" s="69">
        <v>41074347.32</v>
      </c>
      <c r="C78" s="69">
        <v>44463630.200000003</v>
      </c>
      <c r="D78" s="69">
        <v>41241914</v>
      </c>
      <c r="E78" s="65">
        <f>D78-C78</f>
        <v>-3221716.200000003</v>
      </c>
      <c r="F78" s="134">
        <f t="shared" ref="F78:F96" si="12">IF(ISBLANK(E78),"  ",IF(C78&gt;0,E78/C78,IF(E78&gt;0,1,0)))</f>
        <v>-7.2457336153358046E-2</v>
      </c>
      <c r="G78" s="69">
        <v>44392561</v>
      </c>
      <c r="H78" s="227"/>
      <c r="I78" s="141"/>
    </row>
    <row r="79" spans="1:9" ht="15" customHeight="1" x14ac:dyDescent="0.25">
      <c r="A79" s="129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134">
        <f t="shared" si="12"/>
        <v>0</v>
      </c>
      <c r="G79" s="72">
        <v>0</v>
      </c>
      <c r="H79" s="227"/>
      <c r="I79" s="141"/>
    </row>
    <row r="80" spans="1:9" ht="15" customHeight="1" x14ac:dyDescent="0.25">
      <c r="A80" s="129" t="s">
        <v>71</v>
      </c>
      <c r="B80" s="65">
        <v>17267391.390000001</v>
      </c>
      <c r="C80" s="65">
        <v>18712027.009999998</v>
      </c>
      <c r="D80" s="65">
        <v>17989785</v>
      </c>
      <c r="E80" s="74">
        <f t="shared" ref="E80:E95" si="13">D80-C80</f>
        <v>-722242.00999999791</v>
      </c>
      <c r="F80" s="134">
        <f t="shared" si="12"/>
        <v>-3.8597743024527516E-2</v>
      </c>
      <c r="G80" s="65">
        <v>19019138</v>
      </c>
      <c r="H80" s="227"/>
      <c r="I80" s="141"/>
    </row>
    <row r="81" spans="1:9" ht="15" customHeight="1" x14ac:dyDescent="0.25">
      <c r="A81" s="110" t="s">
        <v>72</v>
      </c>
      <c r="B81" s="96">
        <f>SUM(B78:B80)</f>
        <v>58341738.710000001</v>
      </c>
      <c r="C81" s="96">
        <f t="shared" ref="C81:D81" si="14">SUM(C78:C80)</f>
        <v>63175657.210000001</v>
      </c>
      <c r="D81" s="96">
        <f t="shared" si="14"/>
        <v>59231699</v>
      </c>
      <c r="E81" s="80">
        <f t="shared" si="13"/>
        <v>-3943958.2100000009</v>
      </c>
      <c r="F81" s="101">
        <f t="shared" si="12"/>
        <v>-6.2428447667588594E-2</v>
      </c>
      <c r="G81" s="96">
        <f>SUM(G78:G80)</f>
        <v>63411699</v>
      </c>
      <c r="H81" s="228"/>
      <c r="I81" s="141"/>
    </row>
    <row r="82" spans="1:9" ht="15" customHeight="1" x14ac:dyDescent="0.25">
      <c r="A82" s="129" t="s">
        <v>73</v>
      </c>
      <c r="B82" s="72">
        <v>102572.15</v>
      </c>
      <c r="C82" s="72">
        <v>123500</v>
      </c>
      <c r="D82" s="72">
        <v>92360</v>
      </c>
      <c r="E82" s="74">
        <f t="shared" si="13"/>
        <v>-31140</v>
      </c>
      <c r="F82" s="134">
        <f t="shared" si="12"/>
        <v>-0.25214574898785425</v>
      </c>
      <c r="G82" s="72">
        <v>92360</v>
      </c>
      <c r="H82" s="227"/>
      <c r="I82" s="141"/>
    </row>
    <row r="83" spans="1:9" ht="15" customHeight="1" x14ac:dyDescent="0.25">
      <c r="A83" s="129" t="s">
        <v>74</v>
      </c>
      <c r="B83" s="69">
        <v>8628333.7699999996</v>
      </c>
      <c r="C83" s="69">
        <v>8493400</v>
      </c>
      <c r="D83" s="69">
        <v>7025421</v>
      </c>
      <c r="E83" s="74">
        <f t="shared" si="13"/>
        <v>-1467979</v>
      </c>
      <c r="F83" s="134">
        <f t="shared" si="12"/>
        <v>-0.17283761508936352</v>
      </c>
      <c r="G83" s="69">
        <v>7025421</v>
      </c>
      <c r="H83" s="227"/>
      <c r="I83" s="141"/>
    </row>
    <row r="84" spans="1:9" ht="15" customHeight="1" x14ac:dyDescent="0.25">
      <c r="A84" s="129" t="s">
        <v>75</v>
      </c>
      <c r="B84" s="65">
        <v>1380833.52</v>
      </c>
      <c r="C84" s="65">
        <v>1122000</v>
      </c>
      <c r="D84" s="65">
        <v>1416120</v>
      </c>
      <c r="E84" s="74">
        <f t="shared" si="13"/>
        <v>294120</v>
      </c>
      <c r="F84" s="134">
        <f t="shared" si="12"/>
        <v>0.26213903743315509</v>
      </c>
      <c r="G84" s="65">
        <v>1416120</v>
      </c>
      <c r="H84" s="227"/>
      <c r="I84" s="141"/>
    </row>
    <row r="85" spans="1:9" ht="15" customHeight="1" x14ac:dyDescent="0.25">
      <c r="A85" s="103" t="s">
        <v>76</v>
      </c>
      <c r="B85" s="96">
        <f>SUM(B82:B84)</f>
        <v>10111739.439999999</v>
      </c>
      <c r="C85" s="96">
        <f t="shared" ref="C85:D85" si="15">SUM(C82:C84)</f>
        <v>9738900</v>
      </c>
      <c r="D85" s="96">
        <f t="shared" si="15"/>
        <v>8533901</v>
      </c>
      <c r="E85" s="74">
        <f t="shared" si="13"/>
        <v>-1204999</v>
      </c>
      <c r="F85" s="101">
        <f t="shared" si="12"/>
        <v>-0.12373050344494758</v>
      </c>
      <c r="G85" s="96">
        <f>SUM(G82:G84)</f>
        <v>8533901</v>
      </c>
      <c r="H85" s="228"/>
      <c r="I85" s="141"/>
    </row>
    <row r="86" spans="1:9" ht="15" customHeight="1" x14ac:dyDescent="0.25">
      <c r="A86" s="129" t="s">
        <v>77</v>
      </c>
      <c r="B86" s="65">
        <v>1167331</v>
      </c>
      <c r="C86" s="65">
        <v>1239678.6000000001</v>
      </c>
      <c r="D86" s="65">
        <v>1191116</v>
      </c>
      <c r="E86" s="74">
        <f t="shared" si="13"/>
        <v>-48562.600000000093</v>
      </c>
      <c r="F86" s="134">
        <f t="shared" si="12"/>
        <v>-3.9173540625771948E-2</v>
      </c>
      <c r="G86" s="65">
        <v>1191116</v>
      </c>
      <c r="H86" s="227"/>
      <c r="I86" s="141"/>
    </row>
    <row r="87" spans="1:9" ht="15" customHeight="1" x14ac:dyDescent="0.25">
      <c r="A87" s="129" t="s">
        <v>78</v>
      </c>
      <c r="B87" s="74">
        <v>716897.69</v>
      </c>
      <c r="C87" s="74">
        <v>931484</v>
      </c>
      <c r="D87" s="74">
        <v>759403</v>
      </c>
      <c r="E87" s="74">
        <f t="shared" si="13"/>
        <v>-172081</v>
      </c>
      <c r="F87" s="134">
        <f t="shared" si="12"/>
        <v>-0.18473854623375174</v>
      </c>
      <c r="G87" s="74">
        <v>759403</v>
      </c>
      <c r="H87" s="227"/>
      <c r="I87" s="141"/>
    </row>
    <row r="88" spans="1:9" ht="15" customHeight="1" x14ac:dyDescent="0.25">
      <c r="A88" s="129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134">
        <f t="shared" si="12"/>
        <v>0</v>
      </c>
      <c r="G88" s="74">
        <v>0</v>
      </c>
      <c r="H88" s="227"/>
      <c r="I88" s="141"/>
    </row>
    <row r="89" spans="1:9" ht="15" customHeight="1" x14ac:dyDescent="0.25">
      <c r="A89" s="129" t="s">
        <v>80</v>
      </c>
      <c r="B89" s="74">
        <v>1519168</v>
      </c>
      <c r="C89" s="74">
        <v>1566949</v>
      </c>
      <c r="D89" s="74">
        <v>1882959</v>
      </c>
      <c r="E89" s="74">
        <f t="shared" si="13"/>
        <v>316010</v>
      </c>
      <c r="F89" s="134">
        <f t="shared" si="12"/>
        <v>0.20167216673931315</v>
      </c>
      <c r="G89" s="74">
        <v>1882959</v>
      </c>
      <c r="H89" s="227"/>
      <c r="I89" s="141"/>
    </row>
    <row r="90" spans="1:9" ht="15" customHeight="1" x14ac:dyDescent="0.25">
      <c r="A90" s="103" t="s">
        <v>81</v>
      </c>
      <c r="B90" s="80">
        <f>SUM(B86:B89)</f>
        <v>3403396.69</v>
      </c>
      <c r="C90" s="80">
        <f t="shared" ref="C90:D90" si="16">SUM(C86:C89)</f>
        <v>3738111.6</v>
      </c>
      <c r="D90" s="80">
        <f t="shared" si="16"/>
        <v>3833478</v>
      </c>
      <c r="E90" s="80">
        <f t="shared" si="13"/>
        <v>95366.399999999907</v>
      </c>
      <c r="F90" s="101">
        <f t="shared" si="12"/>
        <v>2.5511918905791874E-2</v>
      </c>
      <c r="G90" s="80">
        <f>SUM(G86:G89)</f>
        <v>3833478</v>
      </c>
      <c r="H90" s="228"/>
      <c r="I90" s="141"/>
    </row>
    <row r="91" spans="1:9" ht="15" customHeight="1" x14ac:dyDescent="0.25">
      <c r="A91" s="129" t="s">
        <v>82</v>
      </c>
      <c r="B91" s="74">
        <v>479991.03</v>
      </c>
      <c r="C91" s="74">
        <v>286500</v>
      </c>
      <c r="D91" s="74">
        <v>274825</v>
      </c>
      <c r="E91" s="74">
        <f t="shared" si="13"/>
        <v>-11675</v>
      </c>
      <c r="F91" s="134">
        <f t="shared" si="12"/>
        <v>-4.0750436300174518E-2</v>
      </c>
      <c r="G91" s="74">
        <v>274825</v>
      </c>
      <c r="H91" s="227"/>
      <c r="I91" s="141"/>
    </row>
    <row r="92" spans="1:9" ht="15" customHeight="1" x14ac:dyDescent="0.25">
      <c r="A92" s="129" t="s">
        <v>83</v>
      </c>
      <c r="B92" s="74">
        <v>183358</v>
      </c>
      <c r="C92" s="74">
        <v>200000</v>
      </c>
      <c r="D92" s="74">
        <v>185000</v>
      </c>
      <c r="E92" s="74">
        <f t="shared" si="13"/>
        <v>-15000</v>
      </c>
      <c r="F92" s="134">
        <f t="shared" si="12"/>
        <v>-7.4999999999999997E-2</v>
      </c>
      <c r="G92" s="74">
        <v>185000</v>
      </c>
      <c r="H92" s="227"/>
      <c r="I92" s="141"/>
    </row>
    <row r="93" spans="1:9" ht="15" customHeight="1" x14ac:dyDescent="0.25">
      <c r="A93" s="132" t="s">
        <v>84</v>
      </c>
      <c r="B93" s="74">
        <v>2166350</v>
      </c>
      <c r="C93" s="74">
        <v>88000</v>
      </c>
      <c r="D93" s="74">
        <v>88000</v>
      </c>
      <c r="E93" s="74">
        <f t="shared" si="13"/>
        <v>0</v>
      </c>
      <c r="F93" s="134">
        <f t="shared" si="12"/>
        <v>0</v>
      </c>
      <c r="G93" s="74">
        <v>88000</v>
      </c>
      <c r="H93" s="227"/>
      <c r="I93" s="141"/>
    </row>
    <row r="94" spans="1:9" ht="15" customHeight="1" x14ac:dyDescent="0.25">
      <c r="A94" s="106" t="s">
        <v>85</v>
      </c>
      <c r="B94" s="96">
        <f>SUM(B91:B93)</f>
        <v>2829699.0300000003</v>
      </c>
      <c r="C94" s="96">
        <f t="shared" ref="C94:D94" si="17">SUM(C91:C93)</f>
        <v>574500</v>
      </c>
      <c r="D94" s="96">
        <f t="shared" si="17"/>
        <v>547825</v>
      </c>
      <c r="E94" s="74">
        <f t="shared" si="13"/>
        <v>-26675</v>
      </c>
      <c r="F94" s="101">
        <f t="shared" si="12"/>
        <v>-4.6431679721496956E-2</v>
      </c>
      <c r="G94" s="96">
        <f>SUM(G91:G93)</f>
        <v>547825</v>
      </c>
      <c r="H94" s="228"/>
      <c r="I94" s="141"/>
    </row>
    <row r="95" spans="1:9" ht="15" customHeight="1" x14ac:dyDescent="0.25">
      <c r="A95" s="132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134">
        <f t="shared" si="12"/>
        <v>0</v>
      </c>
      <c r="G95" s="74">
        <v>0</v>
      </c>
      <c r="H95" s="227"/>
      <c r="I95" s="141" t="s">
        <v>46</v>
      </c>
    </row>
    <row r="96" spans="1:9" ht="15" customHeight="1" thickBot="1" x14ac:dyDescent="0.3">
      <c r="A96" s="199" t="s">
        <v>67</v>
      </c>
      <c r="B96" s="196">
        <f>SUM(B81,B85,B90,B94,B95)</f>
        <v>74686573.870000005</v>
      </c>
      <c r="C96" s="196">
        <f t="shared" ref="C96:D96" si="18">SUM(C81,C85,C90,C94,C95)</f>
        <v>77227168.810000002</v>
      </c>
      <c r="D96" s="196">
        <f t="shared" si="18"/>
        <v>72146903</v>
      </c>
      <c r="E96" s="196">
        <f>D96-C96</f>
        <v>-5080265.8100000024</v>
      </c>
      <c r="F96" s="200">
        <f t="shared" si="12"/>
        <v>-6.5783400949202847E-2</v>
      </c>
      <c r="G96" s="196">
        <f>SUM(G81,G85,G90,G94,G95)</f>
        <v>76326903</v>
      </c>
      <c r="H96" s="228"/>
    </row>
    <row r="97" spans="1:9" ht="15" customHeight="1" thickTop="1" x14ac:dyDescent="0.4">
      <c r="A97" s="15"/>
      <c r="B97" s="5"/>
      <c r="C97" s="16"/>
      <c r="D97" s="16"/>
      <c r="E97" s="16"/>
      <c r="F97" s="17" t="s">
        <v>46</v>
      </c>
      <c r="G97" s="137"/>
      <c r="H97" s="137"/>
      <c r="I97" s="137"/>
    </row>
    <row r="98" spans="1:9" x14ac:dyDescent="0.25">
      <c r="A98" s="18" t="s">
        <v>197</v>
      </c>
    </row>
    <row r="99" spans="1:9" x14ac:dyDescent="0.25">
      <c r="A99" s="18" t="s">
        <v>190</v>
      </c>
    </row>
  </sheetData>
  <mergeCells count="1">
    <mergeCell ref="G2:G3"/>
  </mergeCells>
  <hyperlinks>
    <hyperlink ref="I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7" customWidth="1"/>
    <col min="2" max="2" width="23.7109375" style="12" customWidth="1"/>
    <col min="3" max="5" width="23.7109375" style="8" customWidth="1"/>
    <col min="6" max="6" width="23.7109375" style="9" customWidth="1"/>
    <col min="7" max="7" width="27.140625" style="213" bestFit="1" customWidth="1"/>
    <col min="8" max="8" width="7.7109375" style="213" customWidth="1"/>
    <col min="9" max="9" width="11.5703125" style="213" customWidth="1"/>
    <col min="10" max="16384" width="9.140625" style="213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107</v>
      </c>
      <c r="F1" s="42"/>
      <c r="I1" s="21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21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212"/>
      <c r="I3" s="212"/>
    </row>
    <row r="4" spans="1:9" s="139" customFormat="1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5424365</v>
      </c>
      <c r="C8" s="69">
        <v>5424365</v>
      </c>
      <c r="D8" s="69">
        <v>4830710</v>
      </c>
      <c r="E8" s="69">
        <f>D8-C8</f>
        <v>-593655</v>
      </c>
      <c r="F8" s="70">
        <f t="shared" ref="F8:F31" si="0">IF(ISBLANK(E8),"  ",IF(C8&gt;0,E8/C8,IF(E8&gt;0,1,0)))</f>
        <v>-0.10944230338482015</v>
      </c>
      <c r="G8" s="69">
        <v>4830710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260146.37</v>
      </c>
      <c r="C10" s="72">
        <f t="shared" ref="C10:D10" si="1">SUM(C11:C31)</f>
        <v>316072</v>
      </c>
      <c r="D10" s="72">
        <f t="shared" si="1"/>
        <v>270759</v>
      </c>
      <c r="E10" s="69">
        <f t="shared" ref="E10:E31" si="2">D10-C10</f>
        <v>-45313</v>
      </c>
      <c r="F10" s="70">
        <f t="shared" si="0"/>
        <v>-0.14336290465463566</v>
      </c>
      <c r="G10" s="72">
        <f>SUM(G11:G31)</f>
        <v>270759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260146.37</v>
      </c>
      <c r="C12" s="74">
        <v>316072</v>
      </c>
      <c r="D12" s="74">
        <v>270759</v>
      </c>
      <c r="E12" s="69">
        <f t="shared" si="2"/>
        <v>-45313</v>
      </c>
      <c r="F12" s="70">
        <f t="shared" si="0"/>
        <v>-0.14336290465463566</v>
      </c>
      <c r="G12" s="74">
        <v>270759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s="139" customFormat="1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214" customFormat="1" ht="15" customHeight="1" x14ac:dyDescent="0.25">
      <c r="A37" s="79" t="s">
        <v>38</v>
      </c>
      <c r="B37" s="80">
        <f>SUM(B8,B9,B10,B33,B35,B36)</f>
        <v>5684511.3700000001</v>
      </c>
      <c r="C37" s="80">
        <f t="shared" ref="C37:D37" si="3">SUM(C8,C9,C10,C33,C35,C36)</f>
        <v>5740437</v>
      </c>
      <c r="D37" s="80">
        <f t="shared" si="3"/>
        <v>5101469</v>
      </c>
      <c r="E37" s="80">
        <f>D37-C37</f>
        <v>-638968</v>
      </c>
      <c r="F37" s="81">
        <f>IF(ISBLANK(E37),"  ",IF(C37&gt;0,E37/C37,IF(E37&gt;0,1,0)))</f>
        <v>-0.11130999260160855</v>
      </c>
      <c r="G37" s="80">
        <f>SUM(G8,G9,G10,G33,G35,G36)</f>
        <v>5101469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536000</v>
      </c>
      <c r="C41" s="69">
        <v>536000</v>
      </c>
      <c r="D41" s="69">
        <v>0</v>
      </c>
      <c r="E41" s="69">
        <f t="shared" si="5"/>
        <v>-536000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214" customFormat="1" ht="15" customHeight="1" x14ac:dyDescent="0.25">
      <c r="A44" s="77" t="s">
        <v>45</v>
      </c>
      <c r="B44" s="85">
        <f>SUM(B39:B43)</f>
        <v>536000</v>
      </c>
      <c r="C44" s="85">
        <f t="shared" ref="C44:D44" si="6">SUM(C39:C43)</f>
        <v>536000</v>
      </c>
      <c r="D44" s="85">
        <f t="shared" si="6"/>
        <v>0</v>
      </c>
      <c r="E44" s="87">
        <f t="shared" si="5"/>
        <v>-536000</v>
      </c>
      <c r="F44" s="81">
        <f t="shared" si="4"/>
        <v>-1</v>
      </c>
      <c r="G44" s="85">
        <f>SUM(G39:G43)</f>
        <v>0</v>
      </c>
      <c r="H44" s="228"/>
      <c r="M44" s="21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21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536000</v>
      </c>
      <c r="C48" s="87">
        <v>536000</v>
      </c>
      <c r="D48" s="87">
        <v>0</v>
      </c>
      <c r="E48" s="87">
        <f>D48-C48</f>
        <v>-536000</v>
      </c>
      <c r="F48" s="81">
        <f>IF(ISBLANK(E48)," ",IF(C48&gt;0,E48/C48,IF(E48&gt;0,1,0)))</f>
        <v>-1</v>
      </c>
      <c r="G48" s="87">
        <v>536000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214" customFormat="1" ht="15" customHeight="1" x14ac:dyDescent="0.25">
      <c r="A50" s="86" t="s">
        <v>48</v>
      </c>
      <c r="B50" s="87">
        <v>691758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214" customFormat="1" ht="15" customHeight="1" x14ac:dyDescent="0.25">
      <c r="A52" s="77" t="s">
        <v>49</v>
      </c>
      <c r="B52" s="85">
        <v>4658241.67</v>
      </c>
      <c r="C52" s="85">
        <v>5350000</v>
      </c>
      <c r="D52" s="85">
        <v>5350000</v>
      </c>
      <c r="E52" s="85">
        <f>D52-C52</f>
        <v>0</v>
      </c>
      <c r="F52" s="81">
        <f>IF(ISBLANK(E52),"  ",IF(C52&gt;0,E52/C52,IF(E52&gt;0,1,0)))</f>
        <v>0</v>
      </c>
      <c r="G52" s="85">
        <v>5350000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21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21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214" customFormat="1" ht="15" customHeight="1" x14ac:dyDescent="0.25">
      <c r="A58" s="91" t="s">
        <v>52</v>
      </c>
      <c r="B58" s="85">
        <f>SUM(B37,B46,B48,B50,B52,B54,B56)-B44</f>
        <v>11034511.039999999</v>
      </c>
      <c r="C58" s="85">
        <f t="shared" ref="C58:D58" si="7">SUM(C37,C46,C48,C50,C52,C54,C56)-C44</f>
        <v>11090437</v>
      </c>
      <c r="D58" s="85">
        <f t="shared" si="7"/>
        <v>10451469</v>
      </c>
      <c r="E58" s="85">
        <f>D58-C58</f>
        <v>-638968</v>
      </c>
      <c r="F58" s="81">
        <f>IF(ISBLANK(E58),"  ",IF(C58&gt;0,E58/C58,IF(E58&gt;0,1,0)))</f>
        <v>-5.7614321239099958E-2</v>
      </c>
      <c r="G58" s="85">
        <f>SUM(G37,G46,G48,G50,G52,G54,G56)-G44</f>
        <v>10987469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4369839</v>
      </c>
      <c r="C62" s="65">
        <v>4425765</v>
      </c>
      <c r="D62" s="65">
        <v>3786797</v>
      </c>
      <c r="E62" s="232">
        <f>D62-C62</f>
        <v>-638968</v>
      </c>
      <c r="F62" s="70">
        <f t="shared" ref="F62:F75" si="8">IF(ISBLANK(E62),"  ",IF(C62&gt;0,E62/C62,IF(E62&gt;0,1,0)))</f>
        <v>-0.14437458834800312</v>
      </c>
      <c r="G62" s="65">
        <v>4322797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550660</v>
      </c>
      <c r="C65" s="74">
        <v>550660</v>
      </c>
      <c r="D65" s="74">
        <v>550660</v>
      </c>
      <c r="E65" s="232">
        <f t="shared" si="9"/>
        <v>0</v>
      </c>
      <c r="F65" s="70">
        <f t="shared" si="8"/>
        <v>0</v>
      </c>
      <c r="G65" s="74">
        <v>550660</v>
      </c>
      <c r="H65" s="227"/>
    </row>
    <row r="66" spans="1:8" ht="15" customHeight="1" x14ac:dyDescent="0.25">
      <c r="A66" s="75" t="s">
        <v>58</v>
      </c>
      <c r="B66" s="74">
        <v>1444765</v>
      </c>
      <c r="C66" s="74">
        <v>1444765</v>
      </c>
      <c r="D66" s="74">
        <v>1444765</v>
      </c>
      <c r="E66" s="232">
        <f t="shared" si="9"/>
        <v>0</v>
      </c>
      <c r="F66" s="70">
        <f t="shared" si="8"/>
        <v>0</v>
      </c>
      <c r="G66" s="74">
        <v>1444765</v>
      </c>
      <c r="H66" s="227"/>
    </row>
    <row r="67" spans="1:8" ht="15" customHeight="1" x14ac:dyDescent="0.25">
      <c r="A67" s="75" t="s">
        <v>59</v>
      </c>
      <c r="B67" s="74">
        <v>3379829</v>
      </c>
      <c r="C67" s="74">
        <v>3379829</v>
      </c>
      <c r="D67" s="74">
        <v>3379829</v>
      </c>
      <c r="E67" s="232">
        <f t="shared" si="9"/>
        <v>0</v>
      </c>
      <c r="F67" s="70">
        <f t="shared" si="8"/>
        <v>0</v>
      </c>
      <c r="G67" s="74">
        <v>3379829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232">
        <f t="shared" si="9"/>
        <v>0</v>
      </c>
      <c r="F68" s="70">
        <f t="shared" si="8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959141</v>
      </c>
      <c r="C69" s="74">
        <v>959141</v>
      </c>
      <c r="D69" s="74">
        <v>959141</v>
      </c>
      <c r="E69" s="232">
        <f t="shared" si="9"/>
        <v>0</v>
      </c>
      <c r="F69" s="70">
        <f t="shared" si="8"/>
        <v>0</v>
      </c>
      <c r="G69" s="74">
        <v>959141</v>
      </c>
      <c r="H69" s="227"/>
    </row>
    <row r="70" spans="1:8" s="214" customFormat="1" ht="15" customHeight="1" x14ac:dyDescent="0.25">
      <c r="A70" s="94" t="s">
        <v>62</v>
      </c>
      <c r="B70" s="80">
        <f>SUM(B62:B69)</f>
        <v>10704234</v>
      </c>
      <c r="C70" s="80">
        <f t="shared" ref="C70:D70" si="10">SUM(C62:C69)</f>
        <v>10760160</v>
      </c>
      <c r="D70" s="80">
        <f t="shared" si="10"/>
        <v>10121192</v>
      </c>
      <c r="E70" s="89">
        <f t="shared" si="9"/>
        <v>-638968</v>
      </c>
      <c r="F70" s="81">
        <f t="shared" si="8"/>
        <v>-5.938276010765639E-2</v>
      </c>
      <c r="G70" s="80">
        <f>SUM(G62:G69)</f>
        <v>10657192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330277</v>
      </c>
      <c r="C72" s="74">
        <v>330277</v>
      </c>
      <c r="D72" s="74">
        <v>330277</v>
      </c>
      <c r="E72" s="232">
        <f t="shared" si="9"/>
        <v>0</v>
      </c>
      <c r="F72" s="70">
        <f t="shared" si="8"/>
        <v>0</v>
      </c>
      <c r="G72" s="74">
        <v>330277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214" customFormat="1" ht="15" customHeight="1" x14ac:dyDescent="0.25">
      <c r="A75" s="95" t="s">
        <v>67</v>
      </c>
      <c r="B75" s="96">
        <f>SUM(B70,B71:B74)</f>
        <v>11034511</v>
      </c>
      <c r="C75" s="96">
        <f t="shared" ref="C75:D75" si="11">SUM(C70,C71:C74)</f>
        <v>11090437</v>
      </c>
      <c r="D75" s="96">
        <f t="shared" si="11"/>
        <v>10451469</v>
      </c>
      <c r="E75" s="89">
        <f t="shared" si="9"/>
        <v>-638968</v>
      </c>
      <c r="F75" s="81">
        <f t="shared" si="8"/>
        <v>-5.7614321239099958E-2</v>
      </c>
      <c r="G75" s="96">
        <f>SUM(G70,G71:G74)</f>
        <v>10987469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5770965</v>
      </c>
      <c r="C78" s="69">
        <v>5826891</v>
      </c>
      <c r="D78" s="69">
        <v>5370856</v>
      </c>
      <c r="E78" s="65">
        <f>D78-C78</f>
        <v>-456035</v>
      </c>
      <c r="F78" s="70">
        <f t="shared" ref="F78:F96" si="12">IF(ISBLANK(E78),"  ",IF(C78&gt;0,E78/C78,IF(E78&gt;0,1,0)))</f>
        <v>-7.8263863181926685E-2</v>
      </c>
      <c r="G78" s="69">
        <v>5757254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3264649</v>
      </c>
      <c r="C80" s="65">
        <v>3264649</v>
      </c>
      <c r="D80" s="65">
        <v>3087838</v>
      </c>
      <c r="E80" s="74">
        <f t="shared" ref="E80:E95" si="13">D80-C80</f>
        <v>-176811</v>
      </c>
      <c r="F80" s="70">
        <f t="shared" si="12"/>
        <v>-5.415926796418237E-2</v>
      </c>
      <c r="G80" s="65">
        <v>3237440</v>
      </c>
      <c r="H80" s="227"/>
    </row>
    <row r="81" spans="1:8" s="214" customFormat="1" ht="15" customHeight="1" x14ac:dyDescent="0.25">
      <c r="A81" s="94" t="s">
        <v>72</v>
      </c>
      <c r="B81" s="96">
        <f>SUM(B78:B80)</f>
        <v>9035614</v>
      </c>
      <c r="C81" s="96">
        <f t="shared" ref="C81:D81" si="14">SUM(C78:C80)</f>
        <v>9091540</v>
      </c>
      <c r="D81" s="96">
        <f t="shared" si="14"/>
        <v>8458694</v>
      </c>
      <c r="E81" s="80">
        <f t="shared" si="13"/>
        <v>-632846</v>
      </c>
      <c r="F81" s="81">
        <f t="shared" si="12"/>
        <v>-6.9608229188894297E-2</v>
      </c>
      <c r="G81" s="96">
        <f>SUM(G78:G80)</f>
        <v>8994694</v>
      </c>
      <c r="H81" s="228"/>
    </row>
    <row r="82" spans="1:8" ht="15" customHeight="1" x14ac:dyDescent="0.25">
      <c r="A82" s="75" t="s">
        <v>73</v>
      </c>
      <c r="B82" s="72">
        <v>40446</v>
      </c>
      <c r="C82" s="72">
        <v>40446</v>
      </c>
      <c r="D82" s="72">
        <v>40446</v>
      </c>
      <c r="E82" s="74">
        <f t="shared" si="13"/>
        <v>0</v>
      </c>
      <c r="F82" s="70">
        <f t="shared" si="12"/>
        <v>0</v>
      </c>
      <c r="G82" s="72">
        <v>40446</v>
      </c>
      <c r="H82" s="227"/>
    </row>
    <row r="83" spans="1:8" ht="15" customHeight="1" x14ac:dyDescent="0.25">
      <c r="A83" s="75" t="s">
        <v>74</v>
      </c>
      <c r="B83" s="69">
        <v>1245747</v>
      </c>
      <c r="C83" s="69">
        <v>1245747</v>
      </c>
      <c r="D83" s="69">
        <v>1243583</v>
      </c>
      <c r="E83" s="74">
        <f t="shared" si="13"/>
        <v>-2164</v>
      </c>
      <c r="F83" s="70">
        <f t="shared" si="12"/>
        <v>-1.7371103442352259E-3</v>
      </c>
      <c r="G83" s="69">
        <v>1243583</v>
      </c>
      <c r="H83" s="227"/>
    </row>
    <row r="84" spans="1:8" ht="15" customHeight="1" x14ac:dyDescent="0.25">
      <c r="A84" s="75" t="s">
        <v>75</v>
      </c>
      <c r="B84" s="65">
        <v>94140</v>
      </c>
      <c r="C84" s="65">
        <v>94140</v>
      </c>
      <c r="D84" s="65">
        <v>90687</v>
      </c>
      <c r="E84" s="74">
        <f t="shared" si="13"/>
        <v>-3453</v>
      </c>
      <c r="F84" s="70">
        <f t="shared" si="12"/>
        <v>-3.6679413639260673E-2</v>
      </c>
      <c r="G84" s="65">
        <v>90687</v>
      </c>
      <c r="H84" s="227"/>
    </row>
    <row r="85" spans="1:8" s="214" customFormat="1" ht="15" customHeight="1" x14ac:dyDescent="0.25">
      <c r="A85" s="78" t="s">
        <v>76</v>
      </c>
      <c r="B85" s="96">
        <f>SUM(B82:B84)</f>
        <v>1380333</v>
      </c>
      <c r="C85" s="96">
        <f t="shared" ref="C85:D85" si="15">SUM(C82:C84)</f>
        <v>1380333</v>
      </c>
      <c r="D85" s="96">
        <f t="shared" si="15"/>
        <v>1374716</v>
      </c>
      <c r="E85" s="74">
        <f t="shared" si="13"/>
        <v>-5617</v>
      </c>
      <c r="F85" s="81">
        <f t="shared" si="12"/>
        <v>-4.0693079133803222E-3</v>
      </c>
      <c r="G85" s="96">
        <f>SUM(G82:G84)</f>
        <v>1374716</v>
      </c>
      <c r="H85" s="228"/>
    </row>
    <row r="86" spans="1:8" ht="15" customHeight="1" x14ac:dyDescent="0.25">
      <c r="A86" s="75" t="s">
        <v>77</v>
      </c>
      <c r="B86" s="65">
        <v>52744</v>
      </c>
      <c r="C86" s="65">
        <v>52744</v>
      </c>
      <c r="D86" s="65">
        <v>52744</v>
      </c>
      <c r="E86" s="74">
        <f t="shared" si="13"/>
        <v>0</v>
      </c>
      <c r="F86" s="70">
        <f t="shared" si="12"/>
        <v>0</v>
      </c>
      <c r="G86" s="65">
        <v>52744</v>
      </c>
      <c r="H86" s="227"/>
    </row>
    <row r="87" spans="1:8" ht="15" customHeight="1" x14ac:dyDescent="0.25">
      <c r="A87" s="75" t="s">
        <v>78</v>
      </c>
      <c r="B87" s="74">
        <v>20750</v>
      </c>
      <c r="C87" s="74">
        <v>20750</v>
      </c>
      <c r="D87" s="74">
        <v>20750</v>
      </c>
      <c r="E87" s="74">
        <f t="shared" si="13"/>
        <v>0</v>
      </c>
      <c r="F87" s="70">
        <f t="shared" si="12"/>
        <v>0</v>
      </c>
      <c r="G87" s="74">
        <v>20750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509939</v>
      </c>
      <c r="C89" s="74">
        <v>509939</v>
      </c>
      <c r="D89" s="74">
        <v>509939</v>
      </c>
      <c r="E89" s="74">
        <f t="shared" si="13"/>
        <v>0</v>
      </c>
      <c r="F89" s="70">
        <f t="shared" si="12"/>
        <v>0</v>
      </c>
      <c r="G89" s="74">
        <v>509939</v>
      </c>
      <c r="H89" s="227"/>
    </row>
    <row r="90" spans="1:8" s="214" customFormat="1" ht="15" customHeight="1" x14ac:dyDescent="0.25">
      <c r="A90" s="78" t="s">
        <v>81</v>
      </c>
      <c r="B90" s="80">
        <f>SUM(B86:B89)</f>
        <v>583433</v>
      </c>
      <c r="C90" s="80">
        <f t="shared" ref="C90:D90" si="16">SUM(C86:C89)</f>
        <v>583433</v>
      </c>
      <c r="D90" s="80">
        <f t="shared" si="16"/>
        <v>583433</v>
      </c>
      <c r="E90" s="80">
        <f t="shared" si="13"/>
        <v>0</v>
      </c>
      <c r="F90" s="81">
        <f t="shared" si="12"/>
        <v>0</v>
      </c>
      <c r="G90" s="80">
        <f>SUM(G86:G89)</f>
        <v>583433</v>
      </c>
      <c r="H90" s="228"/>
    </row>
    <row r="91" spans="1:8" ht="15" customHeight="1" x14ac:dyDescent="0.25">
      <c r="A91" s="75" t="s">
        <v>82</v>
      </c>
      <c r="B91" s="74">
        <v>35131</v>
      </c>
      <c r="C91" s="74">
        <v>35131</v>
      </c>
      <c r="D91" s="74">
        <v>34626</v>
      </c>
      <c r="E91" s="74">
        <f t="shared" si="13"/>
        <v>-505</v>
      </c>
      <c r="F91" s="70">
        <f t="shared" si="12"/>
        <v>-1.437476872278045E-2</v>
      </c>
      <c r="G91" s="74">
        <v>34626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214" customFormat="1" ht="15" customHeight="1" x14ac:dyDescent="0.25">
      <c r="A94" s="97" t="s">
        <v>85</v>
      </c>
      <c r="B94" s="96">
        <f>SUM(B91:B93)</f>
        <v>35131</v>
      </c>
      <c r="C94" s="96">
        <f t="shared" ref="C94:D94" si="17">SUM(C91:C93)</f>
        <v>35131</v>
      </c>
      <c r="D94" s="96">
        <f t="shared" si="17"/>
        <v>34626</v>
      </c>
      <c r="E94" s="74">
        <f t="shared" si="13"/>
        <v>-505</v>
      </c>
      <c r="F94" s="81">
        <f t="shared" si="12"/>
        <v>-1.437476872278045E-2</v>
      </c>
      <c r="G94" s="96">
        <f>SUM(G91:G93)</f>
        <v>34626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214" customFormat="1" ht="15" customHeight="1" thickBot="1" x14ac:dyDescent="0.3">
      <c r="A96" s="195" t="s">
        <v>67</v>
      </c>
      <c r="B96" s="196">
        <f>SUM(B81,B85,B90,B94,B95)</f>
        <v>11034511</v>
      </c>
      <c r="C96" s="196">
        <f t="shared" ref="C96:D96" si="18">SUM(C81,C85,C90,C94,C95)</f>
        <v>11090437</v>
      </c>
      <c r="D96" s="196">
        <f t="shared" si="18"/>
        <v>10451469</v>
      </c>
      <c r="E96" s="196">
        <f>D96-C96</f>
        <v>-638968</v>
      </c>
      <c r="F96" s="198">
        <f t="shared" si="12"/>
        <v>-5.7614321239099958E-2</v>
      </c>
      <c r="G96" s="196">
        <f>SUM(G81,G85,G90,G94,G95)</f>
        <v>10987469</v>
      </c>
      <c r="H96" s="228"/>
    </row>
    <row r="97" spans="1:9" ht="15" customHeight="1" thickTop="1" x14ac:dyDescent="0.4">
      <c r="A97" s="4"/>
      <c r="B97" s="5"/>
      <c r="C97" s="14"/>
      <c r="D97" s="14"/>
      <c r="E97" s="5"/>
      <c r="F97" s="6" t="s">
        <v>46</v>
      </c>
      <c r="G97" s="212"/>
      <c r="H97" s="212"/>
      <c r="I97" s="212"/>
    </row>
    <row r="98" spans="1:9" x14ac:dyDescent="0.25">
      <c r="A98" s="7" t="s">
        <v>197</v>
      </c>
    </row>
    <row r="99" spans="1:9" x14ac:dyDescent="0.25">
      <c r="A99" s="7" t="s">
        <v>190</v>
      </c>
    </row>
  </sheetData>
  <mergeCells count="1">
    <mergeCell ref="G2:G3"/>
  </mergeCells>
  <hyperlinks>
    <hyperlink ref="I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109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4430605</v>
      </c>
      <c r="C8" s="69">
        <v>4430605</v>
      </c>
      <c r="D8" s="69">
        <v>3929575</v>
      </c>
      <c r="E8" s="69">
        <f>D8-C8</f>
        <v>-501030</v>
      </c>
      <c r="F8" s="70">
        <f t="shared" ref="F8:F31" si="0">IF(ISBLANK(E8),"  ",IF(C8&gt;0,E8/C8,IF(E8&gt;0,1,0)))</f>
        <v>-0.11308387906392016</v>
      </c>
      <c r="G8" s="69">
        <v>3929575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414954</v>
      </c>
      <c r="C10" s="72">
        <f t="shared" ref="C10:D10" si="1">SUM(C11:C31)</f>
        <v>445358</v>
      </c>
      <c r="D10" s="72">
        <f t="shared" si="1"/>
        <v>147200</v>
      </c>
      <c r="E10" s="69">
        <f t="shared" ref="E10:E31" si="2">D10-C10</f>
        <v>-298158</v>
      </c>
      <c r="F10" s="70">
        <f t="shared" si="0"/>
        <v>-0.66947938512387783</v>
      </c>
      <c r="G10" s="72">
        <f>SUM(G11:G31)</f>
        <v>147200</v>
      </c>
      <c r="H10" s="227"/>
    </row>
    <row r="11" spans="1:9" ht="15" customHeight="1" x14ac:dyDescent="0.25">
      <c r="A11" s="73" t="s">
        <v>15</v>
      </c>
      <c r="B11" s="74">
        <v>273523</v>
      </c>
      <c r="C11" s="74">
        <v>273523</v>
      </c>
      <c r="D11" s="74">
        <v>0</v>
      </c>
      <c r="E11" s="69">
        <f t="shared" si="2"/>
        <v>-273523</v>
      </c>
      <c r="F11" s="70">
        <f t="shared" si="0"/>
        <v>-1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141431</v>
      </c>
      <c r="C12" s="74">
        <v>171835</v>
      </c>
      <c r="D12" s="74">
        <v>147200</v>
      </c>
      <c r="E12" s="69">
        <f t="shared" si="2"/>
        <v>-24635</v>
      </c>
      <c r="F12" s="70">
        <f t="shared" si="0"/>
        <v>-0.14336427386737277</v>
      </c>
      <c r="G12" s="74">
        <v>147200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4845559</v>
      </c>
      <c r="C37" s="80">
        <f t="shared" ref="C37:D37" si="3">SUM(C8,C9,C10,C33,C35,C36)</f>
        <v>4875963</v>
      </c>
      <c r="D37" s="80">
        <f t="shared" si="3"/>
        <v>4076775</v>
      </c>
      <c r="E37" s="80">
        <f>D37-C37</f>
        <v>-799188</v>
      </c>
      <c r="F37" s="81">
        <f>IF(ISBLANK(E37),"  ",IF(C37&gt;0,E37/C37,IF(E37&gt;0,1,0)))</f>
        <v>-0.16390362273052522</v>
      </c>
      <c r="G37" s="80">
        <f>SUM(G8,G9,G10,G33,G35,G36)</f>
        <v>4076775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1148833</v>
      </c>
      <c r="C41" s="69">
        <v>390000</v>
      </c>
      <c r="D41" s="69">
        <v>0</v>
      </c>
      <c r="E41" s="69">
        <f t="shared" si="5"/>
        <v>-390000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1148833</v>
      </c>
      <c r="C44" s="85">
        <f t="shared" ref="C44:D44" si="6">SUM(C39:C43)</f>
        <v>390000</v>
      </c>
      <c r="D44" s="85">
        <f t="shared" si="6"/>
        <v>0</v>
      </c>
      <c r="E44" s="87">
        <f t="shared" si="5"/>
        <v>-390000</v>
      </c>
      <c r="F44" s="81">
        <f t="shared" si="4"/>
        <v>-1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390000</v>
      </c>
      <c r="C48" s="87">
        <v>390000</v>
      </c>
      <c r="D48" s="87">
        <v>0</v>
      </c>
      <c r="E48" s="87">
        <f>D48-C48</f>
        <v>-390000</v>
      </c>
      <c r="F48" s="81">
        <f>IF(ISBLANK(E48)," ",IF(C48&gt;0,E48/C48,IF(E48&gt;0,1,0)))</f>
        <v>-1</v>
      </c>
      <c r="G48" s="87">
        <v>390000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6905000</v>
      </c>
      <c r="C52" s="85">
        <v>6905000</v>
      </c>
      <c r="D52" s="85">
        <v>7425000</v>
      </c>
      <c r="E52" s="85">
        <f>D52-C52</f>
        <v>520000</v>
      </c>
      <c r="F52" s="81">
        <f>IF(ISBLANK(E52),"  ",IF(C52&gt;0,E52/C52,IF(E52&gt;0,1,0)))</f>
        <v>7.5307748008689362E-2</v>
      </c>
      <c r="G52" s="85">
        <v>7425000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10991726</v>
      </c>
      <c r="C58" s="85">
        <f t="shared" ref="C58:D58" si="7">SUM(C37,C46,C48,C50,C52,C54,C56)-C44</f>
        <v>11780963</v>
      </c>
      <c r="D58" s="85">
        <f t="shared" si="7"/>
        <v>11501775</v>
      </c>
      <c r="E58" s="85">
        <f>D58-C58</f>
        <v>-279188</v>
      </c>
      <c r="F58" s="81">
        <f>IF(ISBLANK(E58),"  ",IF(C58&gt;0,E58/C58,IF(E58&gt;0,1,0)))</f>
        <v>-2.369823247895779E-2</v>
      </c>
      <c r="G58" s="85">
        <f>SUM(G37,G46,G48,G50,G52,G54,G56)-G44</f>
        <v>11891775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6065910</v>
      </c>
      <c r="C62" s="65">
        <v>6302125</v>
      </c>
      <c r="D62" s="65">
        <v>6149640</v>
      </c>
      <c r="E62" s="232">
        <f>D62-C62</f>
        <v>-152485</v>
      </c>
      <c r="F62" s="70">
        <f t="shared" ref="F62:F75" si="8">IF(ISBLANK(E62),"  ",IF(C62&gt;0,E62/C62,IF(E62&gt;0,1,0)))</f>
        <v>-2.4195806969871274E-2</v>
      </c>
      <c r="G62" s="65">
        <v>6539640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1164826</v>
      </c>
      <c r="C65" s="74">
        <v>1302719</v>
      </c>
      <c r="D65" s="74">
        <v>1359533</v>
      </c>
      <c r="E65" s="232">
        <f t="shared" si="9"/>
        <v>56814</v>
      </c>
      <c r="F65" s="70">
        <f t="shared" si="8"/>
        <v>4.3611861038335975E-2</v>
      </c>
      <c r="G65" s="74">
        <v>1359533</v>
      </c>
      <c r="H65" s="227"/>
    </row>
    <row r="66" spans="1:8" ht="15" customHeight="1" x14ac:dyDescent="0.25">
      <c r="A66" s="75" t="s">
        <v>58</v>
      </c>
      <c r="B66" s="74">
        <v>766073</v>
      </c>
      <c r="C66" s="74">
        <v>832701</v>
      </c>
      <c r="D66" s="74">
        <v>863687</v>
      </c>
      <c r="E66" s="232">
        <f t="shared" si="9"/>
        <v>30986</v>
      </c>
      <c r="F66" s="70">
        <f t="shared" si="8"/>
        <v>3.7211436037665378E-2</v>
      </c>
      <c r="G66" s="74">
        <v>863687</v>
      </c>
      <c r="H66" s="227"/>
    </row>
    <row r="67" spans="1:8" ht="15" customHeight="1" x14ac:dyDescent="0.25">
      <c r="A67" s="75" t="s">
        <v>59</v>
      </c>
      <c r="B67" s="74">
        <v>2058702.5</v>
      </c>
      <c r="C67" s="74">
        <v>2152200</v>
      </c>
      <c r="D67" s="74">
        <v>2201358</v>
      </c>
      <c r="E67" s="232">
        <f t="shared" si="9"/>
        <v>49158</v>
      </c>
      <c r="F67" s="70">
        <f t="shared" si="8"/>
        <v>2.2840814050738779E-2</v>
      </c>
      <c r="G67" s="74">
        <v>2201358</v>
      </c>
      <c r="H67" s="227"/>
    </row>
    <row r="68" spans="1:8" ht="15" customHeight="1" x14ac:dyDescent="0.25">
      <c r="A68" s="75" t="s">
        <v>60</v>
      </c>
      <c r="B68" s="74">
        <v>65774</v>
      </c>
      <c r="C68" s="74">
        <v>90000</v>
      </c>
      <c r="D68" s="74">
        <v>75000</v>
      </c>
      <c r="E68" s="232">
        <f t="shared" si="9"/>
        <v>-15000</v>
      </c>
      <c r="F68" s="70">
        <f t="shared" si="8"/>
        <v>-0.16666666666666666</v>
      </c>
      <c r="G68" s="74">
        <v>75000</v>
      </c>
      <c r="H68" s="227"/>
    </row>
    <row r="69" spans="1:8" ht="15" customHeight="1" x14ac:dyDescent="0.25">
      <c r="A69" s="75" t="s">
        <v>61</v>
      </c>
      <c r="B69" s="74">
        <v>563820</v>
      </c>
      <c r="C69" s="74">
        <v>784141</v>
      </c>
      <c r="D69" s="74">
        <v>527557</v>
      </c>
      <c r="E69" s="232">
        <f t="shared" si="9"/>
        <v>-256584</v>
      </c>
      <c r="F69" s="70">
        <f t="shared" si="8"/>
        <v>-0.32721666128923244</v>
      </c>
      <c r="G69" s="74">
        <v>527557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10685105.5</v>
      </c>
      <c r="C70" s="80">
        <f t="shared" ref="C70:D70" si="10">SUM(C62:C69)</f>
        <v>11463886</v>
      </c>
      <c r="D70" s="80">
        <f t="shared" si="10"/>
        <v>11176775</v>
      </c>
      <c r="E70" s="89">
        <f t="shared" si="9"/>
        <v>-287111</v>
      </c>
      <c r="F70" s="81">
        <f t="shared" si="8"/>
        <v>-2.5044823369667145E-2</v>
      </c>
      <c r="G70" s="80">
        <f>SUM(G62:G69)</f>
        <v>11566775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306620</v>
      </c>
      <c r="C72" s="74">
        <v>317077</v>
      </c>
      <c r="D72" s="74">
        <v>325000</v>
      </c>
      <c r="E72" s="232">
        <f t="shared" si="9"/>
        <v>7923</v>
      </c>
      <c r="F72" s="70">
        <f t="shared" si="8"/>
        <v>2.4987621303342721E-2</v>
      </c>
      <c r="G72" s="74">
        <v>325000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10991725.5</v>
      </c>
      <c r="C75" s="96">
        <f t="shared" ref="C75:D75" si="11">SUM(C70,C71:C74)</f>
        <v>11780963</v>
      </c>
      <c r="D75" s="96">
        <f t="shared" si="11"/>
        <v>11501775</v>
      </c>
      <c r="E75" s="89">
        <f t="shared" si="9"/>
        <v>-279188</v>
      </c>
      <c r="F75" s="81">
        <f t="shared" si="8"/>
        <v>-2.369823247895779E-2</v>
      </c>
      <c r="G75" s="96">
        <f>SUM(G70,G71:G74)</f>
        <v>11891775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6169905</v>
      </c>
      <c r="C78" s="69">
        <v>6241361</v>
      </c>
      <c r="D78" s="69">
        <v>6466322</v>
      </c>
      <c r="E78" s="65">
        <f>D78-C78</f>
        <v>224961</v>
      </c>
      <c r="F78" s="70">
        <f t="shared" ref="F78:F96" si="12">IF(ISBLANK(E78),"  ",IF(C78&gt;0,E78/C78,IF(E78&gt;0,1,0)))</f>
        <v>3.604358087923451E-2</v>
      </c>
      <c r="G78" s="69">
        <v>6739322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2615479</v>
      </c>
      <c r="C80" s="65">
        <v>2510309</v>
      </c>
      <c r="D80" s="65">
        <v>2786220</v>
      </c>
      <c r="E80" s="74">
        <f t="shared" ref="E80:E95" si="13">D80-C80</f>
        <v>275911</v>
      </c>
      <c r="F80" s="70">
        <f t="shared" si="12"/>
        <v>0.10991117029815851</v>
      </c>
      <c r="G80" s="65">
        <v>2903220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8785384</v>
      </c>
      <c r="C81" s="96">
        <f t="shared" ref="C81:D81" si="14">SUM(C78:C80)</f>
        <v>8751670</v>
      </c>
      <c r="D81" s="96">
        <f t="shared" si="14"/>
        <v>9252542</v>
      </c>
      <c r="E81" s="80">
        <f t="shared" si="13"/>
        <v>500872</v>
      </c>
      <c r="F81" s="81">
        <f t="shared" si="12"/>
        <v>5.7231591227731395E-2</v>
      </c>
      <c r="G81" s="96">
        <f>SUM(G78:G80)</f>
        <v>9642542</v>
      </c>
      <c r="H81" s="228"/>
    </row>
    <row r="82" spans="1:8" ht="15" customHeight="1" x14ac:dyDescent="0.25">
      <c r="A82" s="75" t="s">
        <v>73</v>
      </c>
      <c r="B82" s="72">
        <v>57927</v>
      </c>
      <c r="C82" s="72">
        <v>166712</v>
      </c>
      <c r="D82" s="72">
        <v>18026</v>
      </c>
      <c r="E82" s="74">
        <f t="shared" si="13"/>
        <v>-148686</v>
      </c>
      <c r="F82" s="70">
        <f t="shared" si="12"/>
        <v>-0.89187341043236235</v>
      </c>
      <c r="G82" s="72">
        <v>18026</v>
      </c>
      <c r="H82" s="227"/>
    </row>
    <row r="83" spans="1:8" ht="15" customHeight="1" x14ac:dyDescent="0.25">
      <c r="A83" s="75" t="s">
        <v>74</v>
      </c>
      <c r="B83" s="69">
        <v>1063960</v>
      </c>
      <c r="C83" s="69">
        <v>1170663</v>
      </c>
      <c r="D83" s="69">
        <v>1125294</v>
      </c>
      <c r="E83" s="74">
        <f t="shared" si="13"/>
        <v>-45369</v>
      </c>
      <c r="F83" s="70">
        <f t="shared" si="12"/>
        <v>-3.8754961931828376E-2</v>
      </c>
      <c r="G83" s="69">
        <v>1125294</v>
      </c>
      <c r="H83" s="227"/>
    </row>
    <row r="84" spans="1:8" ht="15" customHeight="1" x14ac:dyDescent="0.25">
      <c r="A84" s="75" t="s">
        <v>75</v>
      </c>
      <c r="B84" s="65">
        <v>94594</v>
      </c>
      <c r="C84" s="65">
        <v>162849</v>
      </c>
      <c r="D84" s="65">
        <v>120062</v>
      </c>
      <c r="E84" s="74">
        <f t="shared" si="13"/>
        <v>-42787</v>
      </c>
      <c r="F84" s="70">
        <f t="shared" si="12"/>
        <v>-0.26274032999895608</v>
      </c>
      <c r="G84" s="65">
        <v>120062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1216481</v>
      </c>
      <c r="C85" s="96">
        <f t="shared" ref="C85:D85" si="15">SUM(C82:C84)</f>
        <v>1500224</v>
      </c>
      <c r="D85" s="96">
        <f t="shared" si="15"/>
        <v>1263382</v>
      </c>
      <c r="E85" s="74">
        <f t="shared" si="13"/>
        <v>-236842</v>
      </c>
      <c r="F85" s="81">
        <f t="shared" si="12"/>
        <v>-0.15787109125037327</v>
      </c>
      <c r="G85" s="96">
        <f>SUM(G82:G84)</f>
        <v>1263382</v>
      </c>
      <c r="H85" s="228"/>
    </row>
    <row r="86" spans="1:8" ht="15" customHeight="1" x14ac:dyDescent="0.25">
      <c r="A86" s="75" t="s">
        <v>77</v>
      </c>
      <c r="B86" s="65">
        <v>165684.5</v>
      </c>
      <c r="C86" s="65">
        <v>236046</v>
      </c>
      <c r="D86" s="65">
        <v>215132</v>
      </c>
      <c r="E86" s="74">
        <f t="shared" si="13"/>
        <v>-20914</v>
      </c>
      <c r="F86" s="70">
        <f t="shared" si="12"/>
        <v>-8.8601374308397512E-2</v>
      </c>
      <c r="G86" s="65">
        <v>215132</v>
      </c>
      <c r="H86" s="227"/>
    </row>
    <row r="87" spans="1:8" ht="15" customHeight="1" x14ac:dyDescent="0.25">
      <c r="A87" s="75" t="s">
        <v>78</v>
      </c>
      <c r="B87" s="74">
        <v>119765</v>
      </c>
      <c r="C87" s="74">
        <v>107200</v>
      </c>
      <c r="D87" s="74">
        <v>133500</v>
      </c>
      <c r="E87" s="74">
        <f t="shared" si="13"/>
        <v>26300</v>
      </c>
      <c r="F87" s="70">
        <f t="shared" si="12"/>
        <v>0.24533582089552239</v>
      </c>
      <c r="G87" s="74">
        <v>133500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425940</v>
      </c>
      <c r="C89" s="74">
        <v>437077</v>
      </c>
      <c r="D89" s="74">
        <v>445520</v>
      </c>
      <c r="E89" s="74">
        <f t="shared" si="13"/>
        <v>8443</v>
      </c>
      <c r="F89" s="70">
        <f t="shared" si="12"/>
        <v>1.931696245741597E-2</v>
      </c>
      <c r="G89" s="74">
        <v>445520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711389.5</v>
      </c>
      <c r="C90" s="80">
        <f t="shared" ref="C90:D90" si="16">SUM(C86:C89)</f>
        <v>780323</v>
      </c>
      <c r="D90" s="80">
        <f t="shared" si="16"/>
        <v>794152</v>
      </c>
      <c r="E90" s="80">
        <f t="shared" si="13"/>
        <v>13829</v>
      </c>
      <c r="F90" s="81">
        <f t="shared" si="12"/>
        <v>1.7722148392396483E-2</v>
      </c>
      <c r="G90" s="80">
        <f>SUM(G86:G89)</f>
        <v>794152</v>
      </c>
      <c r="H90" s="228"/>
    </row>
    <row r="91" spans="1:8" ht="15" customHeight="1" x14ac:dyDescent="0.25">
      <c r="A91" s="75" t="s">
        <v>82</v>
      </c>
      <c r="B91" s="74">
        <v>256492</v>
      </c>
      <c r="C91" s="74">
        <v>710500</v>
      </c>
      <c r="D91" s="74">
        <v>160002</v>
      </c>
      <c r="E91" s="74">
        <f t="shared" si="13"/>
        <v>-550498</v>
      </c>
      <c r="F91" s="70">
        <f t="shared" si="12"/>
        <v>-0.77480365939479245</v>
      </c>
      <c r="G91" s="74">
        <v>160002</v>
      </c>
      <c r="H91" s="227"/>
    </row>
    <row r="92" spans="1:8" ht="15" customHeight="1" x14ac:dyDescent="0.25">
      <c r="A92" s="75" t="s">
        <v>83</v>
      </c>
      <c r="B92" s="74">
        <v>21979</v>
      </c>
      <c r="C92" s="74">
        <v>38246</v>
      </c>
      <c r="D92" s="74">
        <v>31697</v>
      </c>
      <c r="E92" s="74">
        <f t="shared" si="13"/>
        <v>-6549</v>
      </c>
      <c r="F92" s="70">
        <f t="shared" si="12"/>
        <v>-0.17123359305548291</v>
      </c>
      <c r="G92" s="74">
        <v>31697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278471</v>
      </c>
      <c r="C94" s="96">
        <f t="shared" ref="C94:D94" si="17">SUM(C91:C93)</f>
        <v>748746</v>
      </c>
      <c r="D94" s="96">
        <f t="shared" si="17"/>
        <v>191699</v>
      </c>
      <c r="E94" s="74">
        <f t="shared" si="13"/>
        <v>-557047</v>
      </c>
      <c r="F94" s="81">
        <f t="shared" si="12"/>
        <v>-0.7439732566183993</v>
      </c>
      <c r="G94" s="96">
        <f>SUM(G91:G93)</f>
        <v>191699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10991725.5</v>
      </c>
      <c r="C96" s="196">
        <f t="shared" ref="C96:D96" si="18">SUM(C81,C85,C90,C94,C95)</f>
        <v>11780963</v>
      </c>
      <c r="D96" s="196">
        <f t="shared" si="18"/>
        <v>11501775</v>
      </c>
      <c r="E96" s="196">
        <f>D96-C96</f>
        <v>-279188</v>
      </c>
      <c r="F96" s="198">
        <f t="shared" si="12"/>
        <v>-2.369823247895779E-2</v>
      </c>
      <c r="G96" s="196">
        <f>SUM(G81,G85,G90,G94,G95)</f>
        <v>11891775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110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7295108</v>
      </c>
      <c r="C8" s="69">
        <v>7295108</v>
      </c>
      <c r="D8" s="69">
        <v>6587428</v>
      </c>
      <c r="E8" s="69">
        <f>D8-C8</f>
        <v>-707680</v>
      </c>
      <c r="F8" s="70">
        <f t="shared" ref="F8:F31" si="0">IF(ISBLANK(E8),"  ",IF(C8&gt;0,E8/C8,IF(E8&gt;0,1,0)))</f>
        <v>-9.7007474049733047E-2</v>
      </c>
      <c r="G8" s="69">
        <v>6587428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1151569</v>
      </c>
      <c r="C10" s="72">
        <f t="shared" ref="C10:D10" si="1">SUM(C11:C31)</f>
        <v>1222726</v>
      </c>
      <c r="D10" s="72">
        <f t="shared" si="1"/>
        <v>344503</v>
      </c>
      <c r="E10" s="69">
        <f t="shared" ref="E10:E31" si="2">D10-C10</f>
        <v>-878223</v>
      </c>
      <c r="F10" s="70">
        <f t="shared" si="0"/>
        <v>-0.71825004130115822</v>
      </c>
      <c r="G10" s="72">
        <f>SUM(G11:G31)</f>
        <v>344503</v>
      </c>
      <c r="H10" s="227"/>
    </row>
    <row r="11" spans="1:9" ht="15" customHeight="1" x14ac:dyDescent="0.25">
      <c r="A11" s="73" t="s">
        <v>15</v>
      </c>
      <c r="B11" s="74">
        <v>820569</v>
      </c>
      <c r="C11" s="74">
        <v>820569</v>
      </c>
      <c r="D11" s="74">
        <v>0</v>
      </c>
      <c r="E11" s="69">
        <f t="shared" si="2"/>
        <v>-820569</v>
      </c>
      <c r="F11" s="70">
        <f t="shared" si="0"/>
        <v>-1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331000</v>
      </c>
      <c r="C12" s="74">
        <v>402157</v>
      </c>
      <c r="D12" s="74">
        <v>344503</v>
      </c>
      <c r="E12" s="69">
        <f t="shared" si="2"/>
        <v>-57654</v>
      </c>
      <c r="F12" s="70">
        <f t="shared" si="0"/>
        <v>-0.14336192084186028</v>
      </c>
      <c r="G12" s="74">
        <v>344503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8446677</v>
      </c>
      <c r="C37" s="80">
        <f t="shared" ref="C37:D37" si="3">SUM(C8,C9,C10,C33,C35,C36)</f>
        <v>8517834</v>
      </c>
      <c r="D37" s="80">
        <f t="shared" si="3"/>
        <v>6931931</v>
      </c>
      <c r="E37" s="80">
        <f>D37-C37</f>
        <v>-1585903</v>
      </c>
      <c r="F37" s="81">
        <f>IF(ISBLANK(E37),"  ",IF(C37&gt;0,E37/C37,IF(E37&gt;0,1,0)))</f>
        <v>-0.18618618301319326</v>
      </c>
      <c r="G37" s="80">
        <f>SUM(G8,G9,G10,G33,G35,G36)</f>
        <v>6931931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1606676</v>
      </c>
      <c r="C41" s="69">
        <v>521000</v>
      </c>
      <c r="D41" s="69">
        <v>0</v>
      </c>
      <c r="E41" s="69">
        <f t="shared" si="5"/>
        <v>-521000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1606676</v>
      </c>
      <c r="C44" s="85">
        <f t="shared" ref="C44:D44" si="6">SUM(C39:C43)</f>
        <v>521000</v>
      </c>
      <c r="D44" s="85">
        <f t="shared" si="6"/>
        <v>0</v>
      </c>
      <c r="E44" s="87">
        <f t="shared" si="5"/>
        <v>-521000</v>
      </c>
      <c r="F44" s="81">
        <f t="shared" si="4"/>
        <v>-1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521000</v>
      </c>
      <c r="C48" s="87">
        <v>521000</v>
      </c>
      <c r="D48" s="87">
        <v>0</v>
      </c>
      <c r="E48" s="87">
        <f>D48-C48</f>
        <v>-521000</v>
      </c>
      <c r="F48" s="81">
        <f>IF(ISBLANK(E48)," ",IF(C48&gt;0,E48/C48,IF(E48&gt;0,1,0)))</f>
        <v>-1</v>
      </c>
      <c r="G48" s="87">
        <v>521000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11107841</v>
      </c>
      <c r="C52" s="85">
        <v>10370000</v>
      </c>
      <c r="D52" s="85">
        <v>10570000</v>
      </c>
      <c r="E52" s="85">
        <f>D52-C52</f>
        <v>200000</v>
      </c>
      <c r="F52" s="81">
        <f>IF(ISBLANK(E52),"  ",IF(C52&gt;0,E52/C52,IF(E52&gt;0,1,0)))</f>
        <v>1.9286403085824494E-2</v>
      </c>
      <c r="G52" s="85">
        <v>10570000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18468842</v>
      </c>
      <c r="C58" s="85">
        <f t="shared" ref="C58:D58" si="7">SUM(C37,C46,C48,C50,C52,C54,C56)-C44</f>
        <v>18887834</v>
      </c>
      <c r="D58" s="85">
        <f t="shared" si="7"/>
        <v>17501931</v>
      </c>
      <c r="E58" s="85">
        <f>D58-C58</f>
        <v>-1385903</v>
      </c>
      <c r="F58" s="81">
        <f>IF(ISBLANK(E58),"  ",IF(C58&gt;0,E58/C58,IF(E58&gt;0,1,0)))</f>
        <v>-7.3375433096245973E-2</v>
      </c>
      <c r="G58" s="85">
        <f>SUM(G37,G46,G48,G50,G52,G54,G56)-G44</f>
        <v>18022931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8979616.5299999993</v>
      </c>
      <c r="C62" s="65">
        <v>7728565</v>
      </c>
      <c r="D62" s="65">
        <v>7175217</v>
      </c>
      <c r="E62" s="232">
        <f>D62-C62</f>
        <v>-553348</v>
      </c>
      <c r="F62" s="70">
        <f t="shared" ref="F62:F75" si="8">IF(ISBLANK(E62),"  ",IF(C62&gt;0,E62/C62,IF(E62&gt;0,1,0)))</f>
        <v>-7.1597767502764101E-2</v>
      </c>
      <c r="G62" s="65">
        <v>7685513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696373.87</v>
      </c>
      <c r="C65" s="74">
        <v>730165</v>
      </c>
      <c r="D65" s="74">
        <v>575907</v>
      </c>
      <c r="E65" s="232">
        <f t="shared" si="9"/>
        <v>-154258</v>
      </c>
      <c r="F65" s="70">
        <f t="shared" si="8"/>
        <v>-0.21126457718460895</v>
      </c>
      <c r="G65" s="74">
        <v>586611</v>
      </c>
      <c r="H65" s="227"/>
    </row>
    <row r="66" spans="1:8" ht="15" customHeight="1" x14ac:dyDescent="0.25">
      <c r="A66" s="75" t="s">
        <v>58</v>
      </c>
      <c r="B66" s="74">
        <v>1693141</v>
      </c>
      <c r="C66" s="74">
        <v>1596731</v>
      </c>
      <c r="D66" s="74">
        <v>1585237</v>
      </c>
      <c r="E66" s="232">
        <f t="shared" si="9"/>
        <v>-11494</v>
      </c>
      <c r="F66" s="70">
        <f t="shared" si="8"/>
        <v>-7.1984573481694786E-3</v>
      </c>
      <c r="G66" s="74">
        <v>1585237</v>
      </c>
      <c r="H66" s="227"/>
    </row>
    <row r="67" spans="1:8" ht="15" customHeight="1" x14ac:dyDescent="0.25">
      <c r="A67" s="75" t="s">
        <v>59</v>
      </c>
      <c r="B67" s="74">
        <v>4597593.07</v>
      </c>
      <c r="C67" s="74">
        <v>4731990</v>
      </c>
      <c r="D67" s="74">
        <v>4140750</v>
      </c>
      <c r="E67" s="232">
        <f t="shared" si="9"/>
        <v>-591240</v>
      </c>
      <c r="F67" s="70">
        <f t="shared" si="8"/>
        <v>-0.12494531898841714</v>
      </c>
      <c r="G67" s="74">
        <v>4140750</v>
      </c>
      <c r="H67" s="227"/>
    </row>
    <row r="68" spans="1:8" ht="15" customHeight="1" x14ac:dyDescent="0.25">
      <c r="A68" s="75" t="s">
        <v>60</v>
      </c>
      <c r="B68" s="74">
        <v>57553</v>
      </c>
      <c r="C68" s="74">
        <v>95239</v>
      </c>
      <c r="D68" s="74">
        <v>121195</v>
      </c>
      <c r="E68" s="232">
        <f t="shared" si="9"/>
        <v>25956</v>
      </c>
      <c r="F68" s="70">
        <f t="shared" si="8"/>
        <v>0.27253541091359634</v>
      </c>
      <c r="G68" s="74">
        <v>121195</v>
      </c>
      <c r="H68" s="227"/>
    </row>
    <row r="69" spans="1:8" ht="15" customHeight="1" x14ac:dyDescent="0.25">
      <c r="A69" s="75" t="s">
        <v>61</v>
      </c>
      <c r="B69" s="74">
        <v>2029347</v>
      </c>
      <c r="C69" s="74">
        <v>3460056</v>
      </c>
      <c r="D69" s="74">
        <v>2217964</v>
      </c>
      <c r="E69" s="232">
        <f t="shared" si="9"/>
        <v>-1242092</v>
      </c>
      <c r="F69" s="70">
        <f t="shared" si="8"/>
        <v>-0.35898031708157324</v>
      </c>
      <c r="G69" s="74">
        <v>2217964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18053624.469999999</v>
      </c>
      <c r="C70" s="80">
        <f t="shared" ref="C70:D70" si="10">SUM(C62:C69)</f>
        <v>18342746</v>
      </c>
      <c r="D70" s="80">
        <f t="shared" si="10"/>
        <v>15816270</v>
      </c>
      <c r="E70" s="89">
        <f t="shared" si="9"/>
        <v>-2526476</v>
      </c>
      <c r="F70" s="81">
        <f t="shared" si="8"/>
        <v>-0.13773706510464681</v>
      </c>
      <c r="G70" s="80">
        <f>SUM(G62:G69)</f>
        <v>16337270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415218</v>
      </c>
      <c r="C72" s="74">
        <v>545088</v>
      </c>
      <c r="D72" s="74">
        <v>580979</v>
      </c>
      <c r="E72" s="232">
        <f t="shared" si="9"/>
        <v>35891</v>
      </c>
      <c r="F72" s="70">
        <f t="shared" si="8"/>
        <v>6.5844414112950569E-2</v>
      </c>
      <c r="G72" s="74">
        <v>580979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1104682</v>
      </c>
      <c r="E74" s="232">
        <f t="shared" si="9"/>
        <v>1104682</v>
      </c>
      <c r="F74" s="70">
        <f t="shared" si="8"/>
        <v>1</v>
      </c>
      <c r="G74" s="74">
        <v>1104682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18468842.469999999</v>
      </c>
      <c r="C75" s="96">
        <f t="shared" ref="C75:D75" si="11">SUM(C70,C71:C74)</f>
        <v>18887834</v>
      </c>
      <c r="D75" s="96">
        <f t="shared" si="11"/>
        <v>17501931</v>
      </c>
      <c r="E75" s="89">
        <f t="shared" si="9"/>
        <v>-1385903</v>
      </c>
      <c r="F75" s="81">
        <f t="shared" si="8"/>
        <v>-7.3375433096245973E-2</v>
      </c>
      <c r="G75" s="96">
        <f>SUM(G70,G71:G74)</f>
        <v>18022931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10208947.310000001</v>
      </c>
      <c r="C78" s="69">
        <v>9251569</v>
      </c>
      <c r="D78" s="69">
        <v>8573925</v>
      </c>
      <c r="E78" s="65">
        <f>D78-C78</f>
        <v>-677644</v>
      </c>
      <c r="F78" s="70">
        <f t="shared" ref="F78:F96" si="12">IF(ISBLANK(E78),"  ",IF(C78&gt;0,E78/C78,IF(E78&gt;0,1,0)))</f>
        <v>-7.3246386639931022E-2</v>
      </c>
      <c r="G78" s="69">
        <v>8953912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4527147.6500000004</v>
      </c>
      <c r="C80" s="65">
        <v>4077347</v>
      </c>
      <c r="D80" s="65">
        <v>3858612</v>
      </c>
      <c r="E80" s="74">
        <f t="shared" ref="E80:E95" si="13">D80-C80</f>
        <v>-218735</v>
      </c>
      <c r="F80" s="70">
        <f t="shared" si="12"/>
        <v>-5.3646402918368245E-2</v>
      </c>
      <c r="G80" s="65">
        <v>3999625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14736094.960000001</v>
      </c>
      <c r="C81" s="96">
        <f t="shared" ref="C81:D81" si="14">SUM(C78:C80)</f>
        <v>13328916</v>
      </c>
      <c r="D81" s="96">
        <f t="shared" si="14"/>
        <v>12432537</v>
      </c>
      <c r="E81" s="80">
        <f t="shared" si="13"/>
        <v>-896379</v>
      </c>
      <c r="F81" s="81">
        <f t="shared" si="12"/>
        <v>-6.7250705158619056E-2</v>
      </c>
      <c r="G81" s="96">
        <f>SUM(G78:G80)</f>
        <v>12953537</v>
      </c>
      <c r="H81" s="228"/>
    </row>
    <row r="82" spans="1:8" ht="15" customHeight="1" x14ac:dyDescent="0.25">
      <c r="A82" s="75" t="s">
        <v>73</v>
      </c>
      <c r="B82" s="72">
        <v>55350.78</v>
      </c>
      <c r="C82" s="72">
        <v>70708</v>
      </c>
      <c r="D82" s="72">
        <v>0</v>
      </c>
      <c r="E82" s="74">
        <f t="shared" si="13"/>
        <v>-70708</v>
      </c>
      <c r="F82" s="70">
        <f t="shared" si="12"/>
        <v>-1</v>
      </c>
      <c r="G82" s="72">
        <v>0</v>
      </c>
      <c r="H82" s="227"/>
    </row>
    <row r="83" spans="1:8" ht="15" customHeight="1" x14ac:dyDescent="0.25">
      <c r="A83" s="75" t="s">
        <v>74</v>
      </c>
      <c r="B83" s="69">
        <v>2210411.6</v>
      </c>
      <c r="C83" s="69">
        <v>2605488</v>
      </c>
      <c r="D83" s="69">
        <v>2575888</v>
      </c>
      <c r="E83" s="74">
        <f t="shared" si="13"/>
        <v>-29600</v>
      </c>
      <c r="F83" s="70">
        <f t="shared" si="12"/>
        <v>-1.1360635704328709E-2</v>
      </c>
      <c r="G83" s="69">
        <v>2575888</v>
      </c>
      <c r="H83" s="227"/>
    </row>
    <row r="84" spans="1:8" ht="15" customHeight="1" x14ac:dyDescent="0.25">
      <c r="A84" s="75" t="s">
        <v>75</v>
      </c>
      <c r="B84" s="65">
        <v>217759.56</v>
      </c>
      <c r="C84" s="65">
        <v>227496</v>
      </c>
      <c r="D84" s="65">
        <v>234337</v>
      </c>
      <c r="E84" s="74">
        <f t="shared" si="13"/>
        <v>6841</v>
      </c>
      <c r="F84" s="70">
        <f t="shared" si="12"/>
        <v>3.0070858388718924E-2</v>
      </c>
      <c r="G84" s="65">
        <v>234337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2483521.94</v>
      </c>
      <c r="C85" s="96">
        <f t="shared" ref="C85:D85" si="15">SUM(C82:C84)</f>
        <v>2903692</v>
      </c>
      <c r="D85" s="96">
        <f t="shared" si="15"/>
        <v>2810225</v>
      </c>
      <c r="E85" s="74">
        <f t="shared" si="13"/>
        <v>-93467</v>
      </c>
      <c r="F85" s="81">
        <f t="shared" si="12"/>
        <v>-3.2189020047580806E-2</v>
      </c>
      <c r="G85" s="96">
        <f>SUM(G82:G84)</f>
        <v>2810225</v>
      </c>
      <c r="H85" s="228"/>
    </row>
    <row r="86" spans="1:8" ht="15" customHeight="1" x14ac:dyDescent="0.25">
      <c r="A86" s="75" t="s">
        <v>77</v>
      </c>
      <c r="B86" s="65">
        <v>146311.07</v>
      </c>
      <c r="C86" s="65">
        <v>105550</v>
      </c>
      <c r="D86" s="65">
        <v>115050</v>
      </c>
      <c r="E86" s="74">
        <f t="shared" si="13"/>
        <v>9500</v>
      </c>
      <c r="F86" s="70">
        <f t="shared" si="12"/>
        <v>9.0004737091425868E-2</v>
      </c>
      <c r="G86" s="65">
        <v>115050</v>
      </c>
      <c r="H86" s="227"/>
    </row>
    <row r="87" spans="1:8" ht="15" customHeight="1" x14ac:dyDescent="0.25">
      <c r="A87" s="75" t="s">
        <v>78</v>
      </c>
      <c r="B87" s="74">
        <v>340821</v>
      </c>
      <c r="C87" s="74">
        <v>1628789</v>
      </c>
      <c r="D87" s="74">
        <v>121195</v>
      </c>
      <c r="E87" s="74">
        <f t="shared" si="13"/>
        <v>-1507594</v>
      </c>
      <c r="F87" s="70">
        <f t="shared" si="12"/>
        <v>-0.92559195819716367</v>
      </c>
      <c r="G87" s="74">
        <v>121195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646525</v>
      </c>
      <c r="C89" s="74">
        <v>776387</v>
      </c>
      <c r="D89" s="74">
        <v>798242</v>
      </c>
      <c r="E89" s="74">
        <f t="shared" si="13"/>
        <v>21855</v>
      </c>
      <c r="F89" s="70">
        <f t="shared" si="12"/>
        <v>2.8149621258470325E-2</v>
      </c>
      <c r="G89" s="74">
        <v>798242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1133657.07</v>
      </c>
      <c r="C90" s="80">
        <f t="shared" ref="C90:D90" si="16">SUM(C86:C89)</f>
        <v>2510726</v>
      </c>
      <c r="D90" s="80">
        <f t="shared" si="16"/>
        <v>1034487</v>
      </c>
      <c r="E90" s="80">
        <f t="shared" si="13"/>
        <v>-1476239</v>
      </c>
      <c r="F90" s="81">
        <f t="shared" si="12"/>
        <v>-0.58797296080894534</v>
      </c>
      <c r="G90" s="80">
        <f>SUM(G86:G89)</f>
        <v>1034487</v>
      </c>
      <c r="H90" s="228"/>
    </row>
    <row r="91" spans="1:8" ht="15" customHeight="1" x14ac:dyDescent="0.25">
      <c r="A91" s="75" t="s">
        <v>82</v>
      </c>
      <c r="B91" s="74">
        <v>115568.5</v>
      </c>
      <c r="C91" s="74">
        <v>144500</v>
      </c>
      <c r="D91" s="74">
        <v>120000</v>
      </c>
      <c r="E91" s="74">
        <f t="shared" si="13"/>
        <v>-24500</v>
      </c>
      <c r="F91" s="70">
        <f t="shared" si="12"/>
        <v>-0.16955017301038061</v>
      </c>
      <c r="G91" s="74">
        <v>120000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115568.5</v>
      </c>
      <c r="C94" s="96">
        <f t="shared" ref="C94:D94" si="17">SUM(C91:C93)</f>
        <v>144500</v>
      </c>
      <c r="D94" s="96">
        <f t="shared" si="17"/>
        <v>120000</v>
      </c>
      <c r="E94" s="74">
        <f t="shared" si="13"/>
        <v>-24500</v>
      </c>
      <c r="F94" s="81">
        <f t="shared" si="12"/>
        <v>-0.16955017301038061</v>
      </c>
      <c r="G94" s="96">
        <f>SUM(G91:G93)</f>
        <v>120000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1104682</v>
      </c>
      <c r="E95" s="74">
        <f t="shared" si="13"/>
        <v>1104682</v>
      </c>
      <c r="F95" s="70">
        <f t="shared" si="12"/>
        <v>1</v>
      </c>
      <c r="G95" s="74">
        <v>1104682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18468842.470000003</v>
      </c>
      <c r="C96" s="196">
        <f t="shared" ref="C96:D96" si="18">SUM(C81,C85,C90,C94,C95)</f>
        <v>18887834</v>
      </c>
      <c r="D96" s="196">
        <f t="shared" si="18"/>
        <v>17501931</v>
      </c>
      <c r="E96" s="196">
        <f>D96-C96</f>
        <v>-1385903</v>
      </c>
      <c r="F96" s="198">
        <f t="shared" si="12"/>
        <v>-7.3375433096245973E-2</v>
      </c>
      <c r="G96" s="196">
        <f>SUM(G81,G85,G90,G94,G95)</f>
        <v>18022931</v>
      </c>
      <c r="H96" s="228"/>
    </row>
    <row r="97" spans="1:9" ht="15" customHeight="1" thickTop="1" x14ac:dyDescent="0.4">
      <c r="A97" s="4"/>
      <c r="B97" s="5"/>
      <c r="C97" s="14"/>
      <c r="D97" s="14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32" sqref="C32"/>
    </sheetView>
  </sheetViews>
  <sheetFormatPr defaultColWidth="9.140625" defaultRowHeight="15.75" x14ac:dyDescent="0.25"/>
  <cols>
    <col min="1" max="1" width="66.5703125" style="1" customWidth="1"/>
    <col min="2" max="3" width="23.7109375" style="2" customWidth="1"/>
    <col min="4" max="4" width="23.7109375" style="12" customWidth="1"/>
    <col min="5" max="5" width="23.7109375" style="2" customWidth="1"/>
    <col min="6" max="6" width="23.7109375" style="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5"/>
      <c r="D1" s="32" t="s">
        <v>1</v>
      </c>
      <c r="E1" s="29" t="s">
        <v>95</v>
      </c>
      <c r="F1" s="40"/>
    </row>
    <row r="2" spans="1:9" ht="19.5" customHeight="1" thickBot="1" x14ac:dyDescent="0.35">
      <c r="A2" s="30" t="s">
        <v>2</v>
      </c>
      <c r="B2" s="31"/>
      <c r="C2" s="36"/>
      <c r="D2" s="36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221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'2Year'!B8+'4Year'!B8</f>
        <v>504217860.5</v>
      </c>
      <c r="C8" s="69">
        <f>'2Year'!C8+'4Year'!C8</f>
        <v>504217860</v>
      </c>
      <c r="D8" s="69">
        <f>'2Year'!D8+'4Year'!D8</f>
        <v>412899918.65000004</v>
      </c>
      <c r="E8" s="69">
        <f>D8-C8</f>
        <v>-91317941.349999964</v>
      </c>
      <c r="F8" s="70">
        <f t="shared" ref="F8:F31" si="0">IF(ISBLANK(E8),"  ",IF(C8&gt;0,E8/C8,IF(E8&gt;0,1,0)))</f>
        <v>-0.18110810543283803</v>
      </c>
      <c r="G8" s="69">
        <f>'2Year'!G8+'4Year'!G8</f>
        <v>412899918.65000004</v>
      </c>
      <c r="H8" s="227"/>
    </row>
    <row r="9" spans="1:9" ht="15" customHeight="1" x14ac:dyDescent="0.25">
      <c r="A9" s="68" t="s">
        <v>13</v>
      </c>
      <c r="B9" s="69">
        <f>'2Year'!B9+'4Year'!B9</f>
        <v>0</v>
      </c>
      <c r="C9" s="69">
        <f>'2Year'!C9+'4Year'!C9</f>
        <v>0</v>
      </c>
      <c r="D9" s="69">
        <f>'2Year'!D9+'4Year'!D9</f>
        <v>0</v>
      </c>
      <c r="E9" s="69">
        <f>D9-C9</f>
        <v>0</v>
      </c>
      <c r="F9" s="70">
        <f t="shared" si="0"/>
        <v>0</v>
      </c>
      <c r="G9" s="69">
        <f>'2Year'!G9+'4Year'!G9</f>
        <v>0</v>
      </c>
      <c r="H9" s="227"/>
    </row>
    <row r="10" spans="1:9" ht="15" customHeight="1" x14ac:dyDescent="0.25">
      <c r="A10" s="71" t="s">
        <v>14</v>
      </c>
      <c r="B10" s="69">
        <f>'2Year'!B10+'4Year'!B10</f>
        <v>36403083</v>
      </c>
      <c r="C10" s="69">
        <f>'2Year'!C10+'4Year'!C10</f>
        <v>41946930</v>
      </c>
      <c r="D10" s="69">
        <f>'2Year'!D10+'4Year'!D10</f>
        <v>35828637</v>
      </c>
      <c r="E10" s="69">
        <f t="shared" ref="E10:E31" si="1">D10-C10</f>
        <v>-6118293</v>
      </c>
      <c r="F10" s="70">
        <f t="shared" si="0"/>
        <v>-0.14585794478880815</v>
      </c>
      <c r="G10" s="69">
        <f>'2Year'!G10+'4Year'!G10</f>
        <v>35828637</v>
      </c>
      <c r="H10" s="227"/>
    </row>
    <row r="11" spans="1:9" ht="15" customHeight="1" x14ac:dyDescent="0.25">
      <c r="A11" s="73" t="s">
        <v>15</v>
      </c>
      <c r="B11" s="69">
        <f>'2Year'!B11+'4Year'!B11</f>
        <v>1094092</v>
      </c>
      <c r="C11" s="69">
        <f>'2Year'!C11+'4Year'!C11</f>
        <v>1094092</v>
      </c>
      <c r="D11" s="69">
        <f>'2Year'!D11+'4Year'!D11</f>
        <v>0</v>
      </c>
      <c r="E11" s="69">
        <f t="shared" si="1"/>
        <v>-1094092</v>
      </c>
      <c r="F11" s="70">
        <f t="shared" si="0"/>
        <v>-1</v>
      </c>
      <c r="G11" s="69">
        <f>'2Year'!G11+'4Year'!G11</f>
        <v>0</v>
      </c>
      <c r="H11" s="227"/>
    </row>
    <row r="12" spans="1:9" ht="15" customHeight="1" x14ac:dyDescent="0.25">
      <c r="A12" s="75" t="s">
        <v>16</v>
      </c>
      <c r="B12" s="69">
        <f>'2Year'!B12+'4Year'!B12</f>
        <v>27954837.32</v>
      </c>
      <c r="C12" s="69">
        <f>'2Year'!C12+'4Year'!C12</f>
        <v>33322875</v>
      </c>
      <c r="D12" s="69">
        <f>'2Year'!D12+'4Year'!D12</f>
        <v>28554741</v>
      </c>
      <c r="E12" s="69">
        <f t="shared" si="1"/>
        <v>-4768134</v>
      </c>
      <c r="F12" s="70">
        <f t="shared" si="0"/>
        <v>-0.14308891414681357</v>
      </c>
      <c r="G12" s="69">
        <f>'2Year'!G12+'4Year'!G12</f>
        <v>28554741</v>
      </c>
      <c r="H12" s="227"/>
    </row>
    <row r="13" spans="1:9" ht="15" customHeight="1" x14ac:dyDescent="0.25">
      <c r="A13" s="75" t="s">
        <v>17</v>
      </c>
      <c r="B13" s="69">
        <f>'2Year'!B13+'4Year'!B13</f>
        <v>0</v>
      </c>
      <c r="C13" s="69">
        <f>'2Year'!C13+'4Year'!C13</f>
        <v>0</v>
      </c>
      <c r="D13" s="69">
        <f>'2Year'!D13+'4Year'!D13</f>
        <v>0</v>
      </c>
      <c r="E13" s="69">
        <f t="shared" si="1"/>
        <v>0</v>
      </c>
      <c r="F13" s="70">
        <f t="shared" si="0"/>
        <v>0</v>
      </c>
      <c r="G13" s="69">
        <f>'2Year'!G13+'4Year'!G13</f>
        <v>0</v>
      </c>
      <c r="H13" s="227"/>
    </row>
    <row r="14" spans="1:9" ht="15" customHeight="1" x14ac:dyDescent="0.25">
      <c r="A14" s="75" t="s">
        <v>18</v>
      </c>
      <c r="B14" s="69">
        <f>'2Year'!B14+'4Year'!B14</f>
        <v>567481.21</v>
      </c>
      <c r="C14" s="69">
        <f>'2Year'!C14+'4Year'!C14</f>
        <v>655827</v>
      </c>
      <c r="D14" s="69">
        <f>'2Year'!D14+'4Year'!D14</f>
        <v>314851</v>
      </c>
      <c r="E14" s="69">
        <f t="shared" si="1"/>
        <v>-340976</v>
      </c>
      <c r="F14" s="70">
        <f t="shared" si="0"/>
        <v>-0.51991760022078992</v>
      </c>
      <c r="G14" s="69">
        <f>'2Year'!G14+'4Year'!G14</f>
        <v>314851</v>
      </c>
      <c r="H14" s="227"/>
    </row>
    <row r="15" spans="1:9" ht="15" customHeight="1" x14ac:dyDescent="0.25">
      <c r="A15" s="75" t="s">
        <v>19</v>
      </c>
      <c r="B15" s="69">
        <f>'2Year'!B15+'4Year'!B15</f>
        <v>2122498</v>
      </c>
      <c r="C15" s="69">
        <f>'2Year'!C15+'4Year'!C15</f>
        <v>2122498</v>
      </c>
      <c r="D15" s="69">
        <f>'2Year'!D15+'4Year'!D15</f>
        <v>2178837</v>
      </c>
      <c r="E15" s="69">
        <f t="shared" si="1"/>
        <v>56339</v>
      </c>
      <c r="F15" s="70">
        <f t="shared" si="0"/>
        <v>2.6543723480540383E-2</v>
      </c>
      <c r="G15" s="69">
        <f>'2Year'!G15+'4Year'!G15</f>
        <v>2178837</v>
      </c>
      <c r="H15" s="227"/>
    </row>
    <row r="16" spans="1:9" ht="15" customHeight="1" x14ac:dyDescent="0.25">
      <c r="A16" s="75" t="s">
        <v>20</v>
      </c>
      <c r="B16" s="69">
        <f>'2Year'!B16+'4Year'!B16</f>
        <v>50000</v>
      </c>
      <c r="C16" s="69">
        <f>'2Year'!C16+'4Year'!C16</f>
        <v>50000</v>
      </c>
      <c r="D16" s="69">
        <f>'2Year'!D16+'4Year'!D16</f>
        <v>50000</v>
      </c>
      <c r="E16" s="69">
        <f t="shared" si="1"/>
        <v>0</v>
      </c>
      <c r="F16" s="70">
        <f t="shared" si="0"/>
        <v>0</v>
      </c>
      <c r="G16" s="69">
        <f>'2Year'!G16+'4Year'!G16</f>
        <v>50000</v>
      </c>
      <c r="H16" s="227"/>
    </row>
    <row r="17" spans="1:8" ht="15" customHeight="1" x14ac:dyDescent="0.25">
      <c r="A17" s="75" t="s">
        <v>21</v>
      </c>
      <c r="B17" s="69">
        <f>'2Year'!B17+'4Year'!B17</f>
        <v>0</v>
      </c>
      <c r="C17" s="69">
        <f>'2Year'!C17+'4Year'!C17</f>
        <v>0</v>
      </c>
      <c r="D17" s="69">
        <f>'2Year'!D17+'4Year'!D17</f>
        <v>0</v>
      </c>
      <c r="E17" s="69">
        <f t="shared" si="1"/>
        <v>0</v>
      </c>
      <c r="F17" s="70">
        <f t="shared" si="0"/>
        <v>0</v>
      </c>
      <c r="G17" s="69">
        <f>'2Year'!G17+'4Year'!G17</f>
        <v>0</v>
      </c>
      <c r="H17" s="227"/>
    </row>
    <row r="18" spans="1:8" ht="15" customHeight="1" x14ac:dyDescent="0.25">
      <c r="A18" s="75" t="s">
        <v>22</v>
      </c>
      <c r="B18" s="69">
        <f>'2Year'!B18+'4Year'!B18</f>
        <v>750000</v>
      </c>
      <c r="C18" s="69">
        <f>'2Year'!C18+'4Year'!C18</f>
        <v>750000</v>
      </c>
      <c r="D18" s="69">
        <f>'2Year'!D18+'4Year'!D18</f>
        <v>750000</v>
      </c>
      <c r="E18" s="69">
        <f t="shared" si="1"/>
        <v>0</v>
      </c>
      <c r="F18" s="70">
        <f t="shared" si="0"/>
        <v>0</v>
      </c>
      <c r="G18" s="69">
        <f>'2Year'!G18+'4Year'!G18</f>
        <v>750000</v>
      </c>
      <c r="H18" s="227"/>
    </row>
    <row r="19" spans="1:8" ht="15" customHeight="1" x14ac:dyDescent="0.25">
      <c r="A19" s="75" t="s">
        <v>23</v>
      </c>
      <c r="B19" s="69">
        <f>'2Year'!B19+'4Year'!B19</f>
        <v>3332132.64</v>
      </c>
      <c r="C19" s="69">
        <f>'2Year'!C19+'4Year'!C19</f>
        <v>3357261</v>
      </c>
      <c r="D19" s="69">
        <f>'2Year'!D19+'4Year'!D19</f>
        <v>3533359</v>
      </c>
      <c r="E19" s="69">
        <f t="shared" si="1"/>
        <v>176098</v>
      </c>
      <c r="F19" s="70">
        <f t="shared" si="0"/>
        <v>5.2452877509374454E-2</v>
      </c>
      <c r="G19" s="69">
        <f>'2Year'!G19+'4Year'!G19</f>
        <v>3533359</v>
      </c>
      <c r="H19" s="227"/>
    </row>
    <row r="20" spans="1:8" ht="15" customHeight="1" x14ac:dyDescent="0.25">
      <c r="A20" s="75" t="s">
        <v>24</v>
      </c>
      <c r="B20" s="69">
        <f>'2Year'!B20+'4Year'!B20</f>
        <v>210000</v>
      </c>
      <c r="C20" s="69">
        <f>'2Year'!C20+'4Year'!C20</f>
        <v>210000</v>
      </c>
      <c r="D20" s="69">
        <f>'2Year'!D20+'4Year'!D20</f>
        <v>210000</v>
      </c>
      <c r="E20" s="69">
        <f t="shared" si="1"/>
        <v>0</v>
      </c>
      <c r="F20" s="70">
        <f t="shared" si="0"/>
        <v>0</v>
      </c>
      <c r="G20" s="69">
        <f>'2Year'!G20+'4Year'!G20</f>
        <v>210000</v>
      </c>
      <c r="H20" s="227"/>
    </row>
    <row r="21" spans="1:8" ht="15" customHeight="1" x14ac:dyDescent="0.25">
      <c r="A21" s="75" t="s">
        <v>25</v>
      </c>
      <c r="B21" s="69">
        <f>'2Year'!B21+'4Year'!B21</f>
        <v>0</v>
      </c>
      <c r="C21" s="69">
        <f>'2Year'!C21+'4Year'!C21</f>
        <v>0</v>
      </c>
      <c r="D21" s="69">
        <f>'2Year'!D21+'4Year'!D21</f>
        <v>0</v>
      </c>
      <c r="E21" s="69">
        <f t="shared" si="1"/>
        <v>0</v>
      </c>
      <c r="F21" s="70">
        <f t="shared" si="0"/>
        <v>0</v>
      </c>
      <c r="G21" s="69">
        <f>'2Year'!G21+'4Year'!G21</f>
        <v>0</v>
      </c>
      <c r="H21" s="227"/>
    </row>
    <row r="22" spans="1:8" ht="15" customHeight="1" x14ac:dyDescent="0.25">
      <c r="A22" s="75" t="s">
        <v>26</v>
      </c>
      <c r="B22" s="69">
        <f>'2Year'!B22+'4Year'!B22</f>
        <v>0</v>
      </c>
      <c r="C22" s="69">
        <f>'2Year'!C22+'4Year'!C22</f>
        <v>0</v>
      </c>
      <c r="D22" s="69">
        <f>'2Year'!D22+'4Year'!D22</f>
        <v>0</v>
      </c>
      <c r="E22" s="69">
        <f t="shared" si="1"/>
        <v>0</v>
      </c>
      <c r="F22" s="70">
        <f t="shared" si="0"/>
        <v>0</v>
      </c>
      <c r="G22" s="69">
        <f>'2Year'!G22+'4Year'!G22</f>
        <v>0</v>
      </c>
      <c r="H22" s="227"/>
    </row>
    <row r="23" spans="1:8" ht="15" customHeight="1" x14ac:dyDescent="0.25">
      <c r="A23" s="76" t="s">
        <v>27</v>
      </c>
      <c r="B23" s="69">
        <f>'2Year'!B23+'4Year'!B23</f>
        <v>0</v>
      </c>
      <c r="C23" s="69">
        <f>'2Year'!C23+'4Year'!C23</f>
        <v>0</v>
      </c>
      <c r="D23" s="69">
        <f>'2Year'!D23+'4Year'!D23</f>
        <v>0</v>
      </c>
      <c r="E23" s="69">
        <f t="shared" si="1"/>
        <v>0</v>
      </c>
      <c r="F23" s="70">
        <f t="shared" si="0"/>
        <v>0</v>
      </c>
      <c r="G23" s="69">
        <f>'2Year'!G23+'4Year'!G23</f>
        <v>0</v>
      </c>
      <c r="H23" s="227"/>
    </row>
    <row r="24" spans="1:8" ht="15" customHeight="1" x14ac:dyDescent="0.25">
      <c r="A24" s="76" t="s">
        <v>28</v>
      </c>
      <c r="B24" s="69">
        <f>'2Year'!B24+'4Year'!B24</f>
        <v>0</v>
      </c>
      <c r="C24" s="69">
        <f>'2Year'!C24+'4Year'!C24</f>
        <v>0</v>
      </c>
      <c r="D24" s="69">
        <f>'2Year'!D24+'4Year'!D24</f>
        <v>0</v>
      </c>
      <c r="E24" s="69">
        <f t="shared" si="1"/>
        <v>0</v>
      </c>
      <c r="F24" s="70">
        <f t="shared" si="0"/>
        <v>0</v>
      </c>
      <c r="G24" s="69">
        <f>'2Year'!G24+'4Year'!G24</f>
        <v>0</v>
      </c>
      <c r="H24" s="227"/>
    </row>
    <row r="25" spans="1:8" ht="15" customHeight="1" x14ac:dyDescent="0.25">
      <c r="A25" s="76" t="s">
        <v>29</v>
      </c>
      <c r="B25" s="69">
        <f>'2Year'!B25+'4Year'!B25</f>
        <v>0</v>
      </c>
      <c r="C25" s="69">
        <f>'2Year'!C25+'4Year'!C25</f>
        <v>0</v>
      </c>
      <c r="D25" s="69">
        <f>'2Year'!D25+'4Year'!D25</f>
        <v>0</v>
      </c>
      <c r="E25" s="69">
        <f t="shared" si="1"/>
        <v>0</v>
      </c>
      <c r="F25" s="70">
        <f t="shared" si="0"/>
        <v>0</v>
      </c>
      <c r="G25" s="69">
        <f>'2Year'!G25+'4Year'!G25</f>
        <v>0</v>
      </c>
      <c r="H25" s="227"/>
    </row>
    <row r="26" spans="1:8" ht="15" customHeight="1" x14ac:dyDescent="0.25">
      <c r="A26" s="76" t="s">
        <v>30</v>
      </c>
      <c r="B26" s="69">
        <f>'2Year'!B26+'4Year'!B26</f>
        <v>312717</v>
      </c>
      <c r="C26" s="69">
        <f>'2Year'!C26+'4Year'!C26</f>
        <v>349241</v>
      </c>
      <c r="D26" s="69">
        <f>'2Year'!D26+'4Year'!D26</f>
        <v>211552</v>
      </c>
      <c r="E26" s="69">
        <f t="shared" si="1"/>
        <v>-137689</v>
      </c>
      <c r="F26" s="70">
        <f t="shared" si="0"/>
        <v>-0.39425210671141131</v>
      </c>
      <c r="G26" s="69">
        <f>'2Year'!G26+'4Year'!G26</f>
        <v>211552</v>
      </c>
      <c r="H26" s="227"/>
    </row>
    <row r="27" spans="1:8" ht="15" customHeight="1" x14ac:dyDescent="0.25">
      <c r="A27" s="76" t="s">
        <v>31</v>
      </c>
      <c r="B27" s="69">
        <f>'2Year'!B27+'4Year'!B27</f>
        <v>0</v>
      </c>
      <c r="C27" s="69">
        <f>'2Year'!C27+'4Year'!C27</f>
        <v>0</v>
      </c>
      <c r="D27" s="69">
        <f>'2Year'!D27+'4Year'!D27</f>
        <v>0</v>
      </c>
      <c r="E27" s="69">
        <f t="shared" si="1"/>
        <v>0</v>
      </c>
      <c r="F27" s="70">
        <f t="shared" si="0"/>
        <v>0</v>
      </c>
      <c r="G27" s="69">
        <f>'2Year'!G27+'4Year'!G27</f>
        <v>0</v>
      </c>
      <c r="H27" s="227"/>
    </row>
    <row r="28" spans="1:8" ht="15" customHeight="1" x14ac:dyDescent="0.25">
      <c r="A28" s="76" t="s">
        <v>87</v>
      </c>
      <c r="B28" s="69">
        <f>'2Year'!B28+'4Year'!B28</f>
        <v>0</v>
      </c>
      <c r="C28" s="69">
        <f>'2Year'!C28+'4Year'!C28</f>
        <v>0</v>
      </c>
      <c r="D28" s="69">
        <f>'2Year'!D28+'4Year'!D28</f>
        <v>0</v>
      </c>
      <c r="E28" s="69">
        <f t="shared" si="1"/>
        <v>0</v>
      </c>
      <c r="F28" s="70">
        <f t="shared" si="0"/>
        <v>0</v>
      </c>
      <c r="G28" s="69">
        <f>'2Year'!G28+'4Year'!G28</f>
        <v>0</v>
      </c>
      <c r="H28" s="227"/>
    </row>
    <row r="29" spans="1:8" ht="15" customHeight="1" x14ac:dyDescent="0.25">
      <c r="A29" s="76" t="s">
        <v>32</v>
      </c>
      <c r="B29" s="69">
        <f>'2Year'!B29+'4Year'!B29</f>
        <v>0</v>
      </c>
      <c r="C29" s="69">
        <f>'2Year'!C29+'4Year'!C29</f>
        <v>0</v>
      </c>
      <c r="D29" s="69">
        <f>'2Year'!D29+'4Year'!D29</f>
        <v>0</v>
      </c>
      <c r="E29" s="69">
        <f t="shared" si="1"/>
        <v>0</v>
      </c>
      <c r="F29" s="70">
        <f t="shared" si="0"/>
        <v>0</v>
      </c>
      <c r="G29" s="69">
        <f>'2Year'!G29+'4Year'!G29</f>
        <v>0</v>
      </c>
      <c r="H29" s="227"/>
    </row>
    <row r="30" spans="1:8" ht="15" customHeight="1" x14ac:dyDescent="0.25">
      <c r="A30" s="217" t="s">
        <v>201</v>
      </c>
      <c r="B30" s="69">
        <f>'2Year'!B30+'4Year'!B30</f>
        <v>9325</v>
      </c>
      <c r="C30" s="69">
        <f>'2Year'!C30+'4Year'!C30</f>
        <v>35136</v>
      </c>
      <c r="D30" s="69">
        <f>'2Year'!D30+'4Year'!D30</f>
        <v>25297</v>
      </c>
      <c r="E30" s="69">
        <f t="shared" si="1"/>
        <v>-9839</v>
      </c>
      <c r="F30" s="70">
        <f t="shared" si="0"/>
        <v>-0.2800261839708561</v>
      </c>
      <c r="G30" s="69">
        <f>'2Year'!G30+'4Year'!G30</f>
        <v>25297</v>
      </c>
      <c r="H30" s="227"/>
    </row>
    <row r="31" spans="1:8" ht="15" customHeight="1" x14ac:dyDescent="0.25">
      <c r="A31" s="76" t="s">
        <v>202</v>
      </c>
      <c r="B31" s="69">
        <f>'2Year'!B31+'4Year'!B31</f>
        <v>0</v>
      </c>
      <c r="C31" s="69">
        <f>'2Year'!C31+'4Year'!C31</f>
        <v>0</v>
      </c>
      <c r="D31" s="69">
        <f>'2Year'!D31+'4Year'!D31</f>
        <v>0</v>
      </c>
      <c r="E31" s="69">
        <f t="shared" si="1"/>
        <v>0</v>
      </c>
      <c r="F31" s="70">
        <f t="shared" si="0"/>
        <v>0</v>
      </c>
      <c r="G31" s="69">
        <f>'2Year'!G31+'4Year'!G31</f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f>'2Year'!B33+'4Year'!B33</f>
        <v>0</v>
      </c>
      <c r="C33" s="69">
        <f>'2Year'!C33+'4Year'!C33</f>
        <v>0</v>
      </c>
      <c r="D33" s="69">
        <f>'2Year'!D33+'4Year'!D33</f>
        <v>0</v>
      </c>
      <c r="E33" s="69">
        <f>D33-C33</f>
        <v>0</v>
      </c>
      <c r="F33" s="70">
        <f>IF(ISBLANK(E33),"  ",IF(C33&gt;0,E33/C33,IF(E33&gt;0,1,0)))</f>
        <v>0</v>
      </c>
      <c r="G33" s="69">
        <f>'2Year'!G33+'4Year'!G33</f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9">
        <f>'2Year'!B35+'4Year'!B35</f>
        <v>0</v>
      </c>
      <c r="C35" s="69">
        <f>'2Year'!C35+'4Year'!C35</f>
        <v>0</v>
      </c>
      <c r="D35" s="69">
        <f>'2Year'!D35+'4Year'!D35</f>
        <v>0</v>
      </c>
      <c r="E35" s="69">
        <f>D35-C35</f>
        <v>0</v>
      </c>
      <c r="F35" s="70">
        <f>IF(ISBLANK(E35),"  ",IF(C35&gt;0,E35/C35,IF(E35&gt;0,1,0)))</f>
        <v>0</v>
      </c>
      <c r="G35" s="69">
        <f>'2Year'!G35+'4Year'!G35</f>
        <v>0</v>
      </c>
      <c r="H35" s="227"/>
    </row>
    <row r="36" spans="1:13" ht="15" customHeight="1" x14ac:dyDescent="0.25">
      <c r="A36" s="75" t="s">
        <v>36</v>
      </c>
      <c r="B36" s="122"/>
      <c r="C36" s="122"/>
      <c r="D36" s="122"/>
      <c r="E36" s="72"/>
      <c r="F36" s="70" t="s">
        <v>37</v>
      </c>
      <c r="G36" s="122"/>
      <c r="H36" s="227"/>
    </row>
    <row r="37" spans="1:13" s="124" customFormat="1" ht="15" customHeight="1" x14ac:dyDescent="0.25">
      <c r="A37" s="79" t="s">
        <v>38</v>
      </c>
      <c r="B37" s="123">
        <f>B35+B33+B10+B9+B8</f>
        <v>540620943.5</v>
      </c>
      <c r="C37" s="123">
        <f>C35+C33+C10+C9+C8</f>
        <v>546164790</v>
      </c>
      <c r="D37" s="123">
        <f>D35+D33+D10+D9+D8</f>
        <v>448728555.65000004</v>
      </c>
      <c r="E37" s="87">
        <f>D37-C37</f>
        <v>-97436234.349999964</v>
      </c>
      <c r="F37" s="81">
        <f>IF(ISBLANK(E37),"  ",IF(C37&gt;0,E37/C37,IF(E37&gt;0,1,0)))</f>
        <v>-0.17840079795330629</v>
      </c>
      <c r="G37" s="123">
        <f>G35+G33+G10+G9+G8</f>
        <v>448728555.65000004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f>'2Year'!B39+'4Year'!B39</f>
        <v>0</v>
      </c>
      <c r="C39" s="69">
        <f>'2Year'!C39+'4Year'!C39</f>
        <v>0</v>
      </c>
      <c r="D39" s="69">
        <f>'2Year'!D39+'4Year'!D39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'2Year'!G39+'4Year'!G39</f>
        <v>0</v>
      </c>
      <c r="H39" s="227"/>
    </row>
    <row r="40" spans="1:13" ht="15" customHeight="1" x14ac:dyDescent="0.25">
      <c r="A40" s="83" t="s">
        <v>41</v>
      </c>
      <c r="B40" s="69">
        <f>'2Year'!B40+'4Year'!B40</f>
        <v>0</v>
      </c>
      <c r="C40" s="69">
        <f>'2Year'!C40+'4Year'!C40</f>
        <v>0</v>
      </c>
      <c r="D40" s="69">
        <f>'2Year'!D40+'4Year'!D40</f>
        <v>0</v>
      </c>
      <c r="E40" s="69">
        <f>D40-C40</f>
        <v>0</v>
      </c>
      <c r="F40" s="70">
        <f t="shared" si="2"/>
        <v>0</v>
      </c>
      <c r="G40" s="69">
        <f>'2Year'!G40+'4Year'!G40</f>
        <v>0</v>
      </c>
      <c r="H40" s="227"/>
    </row>
    <row r="41" spans="1:13" ht="15" customHeight="1" x14ac:dyDescent="0.25">
      <c r="A41" s="83" t="s">
        <v>42</v>
      </c>
      <c r="B41" s="69">
        <f>'2Year'!B41+'4Year'!B41</f>
        <v>73825103</v>
      </c>
      <c r="C41" s="69">
        <f>'2Year'!C41+'4Year'!C41</f>
        <v>15954000</v>
      </c>
      <c r="D41" s="69">
        <f>'2Year'!D41+'4Year'!D41</f>
        <v>0</v>
      </c>
      <c r="E41" s="69">
        <f t="shared" ref="E41:E44" si="3">D41-C41</f>
        <v>-15954000</v>
      </c>
      <c r="F41" s="70">
        <f t="shared" si="2"/>
        <v>-1</v>
      </c>
      <c r="G41" s="69">
        <f>'2Year'!G41+'4Year'!G41</f>
        <v>0</v>
      </c>
      <c r="H41" s="227"/>
    </row>
    <row r="42" spans="1:13" ht="15" customHeight="1" x14ac:dyDescent="0.25">
      <c r="A42" s="83" t="s">
        <v>43</v>
      </c>
      <c r="B42" s="69">
        <f>'2Year'!B42+'4Year'!B42</f>
        <v>0</v>
      </c>
      <c r="C42" s="69">
        <f>'2Year'!C42+'4Year'!C42</f>
        <v>0</v>
      </c>
      <c r="D42" s="69">
        <f>'2Year'!D42+'4Year'!D42</f>
        <v>0</v>
      </c>
      <c r="E42" s="69">
        <f t="shared" si="3"/>
        <v>0</v>
      </c>
      <c r="F42" s="70">
        <f t="shared" si="2"/>
        <v>0</v>
      </c>
      <c r="G42" s="69">
        <f>'2Year'!G42+'4Year'!G42</f>
        <v>0</v>
      </c>
      <c r="H42" s="227"/>
    </row>
    <row r="43" spans="1:13" ht="15" customHeight="1" x14ac:dyDescent="0.25">
      <c r="A43" s="84" t="s">
        <v>44</v>
      </c>
      <c r="B43" s="69">
        <f>'2Year'!B43+'4Year'!B43</f>
        <v>0</v>
      </c>
      <c r="C43" s="69">
        <f>'2Year'!C43+'4Year'!C43</f>
        <v>0</v>
      </c>
      <c r="D43" s="69">
        <f>'2Year'!D43+'4Year'!D43</f>
        <v>0</v>
      </c>
      <c r="E43" s="69">
        <f t="shared" si="3"/>
        <v>0</v>
      </c>
      <c r="F43" s="70">
        <f t="shared" si="2"/>
        <v>0</v>
      </c>
      <c r="G43" s="69">
        <f>'2Year'!G43+'4Year'!G43</f>
        <v>0</v>
      </c>
      <c r="H43" s="227"/>
    </row>
    <row r="44" spans="1:13" s="124" customFormat="1" ht="15" customHeight="1" x14ac:dyDescent="0.25">
      <c r="A44" s="77" t="s">
        <v>45</v>
      </c>
      <c r="B44" s="87">
        <f>SUM(B39:B43)</f>
        <v>73825103</v>
      </c>
      <c r="C44" s="87">
        <f>'2Year'!C44+'4Year'!C44</f>
        <v>15954000</v>
      </c>
      <c r="D44" s="87">
        <f>'2Year'!D44+'4Year'!D44</f>
        <v>0</v>
      </c>
      <c r="E44" s="87">
        <f t="shared" si="3"/>
        <v>-15954000</v>
      </c>
      <c r="F44" s="81">
        <f t="shared" si="2"/>
        <v>-1</v>
      </c>
      <c r="G44" s="87">
        <f>'2Year'!G44+'4Year'!G44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f>'2Year'!B46+'4Year'!B46</f>
        <v>10835846.01</v>
      </c>
      <c r="C46" s="87">
        <f>'2Year'!C46+'4Year'!C46</f>
        <v>11100118</v>
      </c>
      <c r="D46" s="87">
        <f>'2Year'!D46+'4Year'!D46</f>
        <v>10902554</v>
      </c>
      <c r="E46" s="87">
        <f>D46-C46</f>
        <v>-197564</v>
      </c>
      <c r="F46" s="81">
        <f>IF(ISBLANK(E46),"  ",IF(C46&gt;0,E46/C46,IF(E46&gt;0,1,0)))</f>
        <v>-1.7798369350668163E-2</v>
      </c>
      <c r="G46" s="87">
        <f>'2Year'!G46+'4Year'!G46</f>
        <v>10902554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f>'2Year'!B48+'4Year'!B48</f>
        <v>77275611</v>
      </c>
      <c r="C48" s="87">
        <f>'2Year'!C48+'4Year'!C48</f>
        <v>78691176</v>
      </c>
      <c r="D48" s="87">
        <f>'2Year'!D48+'4Year'!D48</f>
        <v>0</v>
      </c>
      <c r="E48" s="87">
        <f>D48-C48</f>
        <v>-78691176</v>
      </c>
      <c r="F48" s="81">
        <f>IF(ISBLANK(E48)," ",IF(C48&gt;0,E48/C48,IF(E48&gt;0,1,0)))</f>
        <v>-1</v>
      </c>
      <c r="G48" s="87">
        <f>'2Year'!G48+'4Year'!G48</f>
        <v>77372741.150000006</v>
      </c>
      <c r="H48" s="228"/>
    </row>
    <row r="49" spans="1:9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9" s="124" customFormat="1" ht="15" customHeight="1" x14ac:dyDescent="0.25">
      <c r="A50" s="86" t="s">
        <v>48</v>
      </c>
      <c r="B50" s="87">
        <f>'2Year'!B50+'4Year'!B50</f>
        <v>691758</v>
      </c>
      <c r="C50" s="87">
        <f>'2Year'!C50+'4Year'!C50</f>
        <v>0</v>
      </c>
      <c r="D50" s="87">
        <f>'2Year'!D50+'4Year'!D50</f>
        <v>0</v>
      </c>
      <c r="E50" s="87">
        <f>D50-C50</f>
        <v>0</v>
      </c>
      <c r="F50" s="81">
        <f>IF(ISBLANK(E50),"  ",IF(C50&gt;0,E50/C50,IF(E50&gt;0,1,0)))</f>
        <v>0</v>
      </c>
      <c r="G50" s="87">
        <f>'2Year'!G50+'4Year'!G50</f>
        <v>0</v>
      </c>
      <c r="H50" s="228"/>
    </row>
    <row r="51" spans="1:9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9" s="124" customFormat="1" ht="15" customHeight="1" x14ac:dyDescent="0.25">
      <c r="A52" s="77" t="s">
        <v>49</v>
      </c>
      <c r="B52" s="87">
        <f>'2Year'!B52+'4Year'!B52</f>
        <v>1388129805.7700002</v>
      </c>
      <c r="C52" s="87">
        <f>'2Year'!C52+'4Year'!C52</f>
        <v>1445180708</v>
      </c>
      <c r="D52" s="87">
        <f>'2Year'!D52+'4Year'!D52</f>
        <v>1452767517</v>
      </c>
      <c r="E52" s="87">
        <f>D52-C52</f>
        <v>7586809</v>
      </c>
      <c r="F52" s="81">
        <f>IF(ISBLANK(E52),"  ",IF(C52&gt;0,E52/C52,IF(E52&gt;0,1,0)))</f>
        <v>5.2497303333777969E-3</v>
      </c>
      <c r="G52" s="87">
        <f>'2Year'!G52+'4Year'!G52</f>
        <v>1452767517</v>
      </c>
      <c r="H52" s="228"/>
      <c r="I52" s="189"/>
    </row>
    <row r="53" spans="1:9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9" s="124" customFormat="1" ht="15" customHeight="1" x14ac:dyDescent="0.25">
      <c r="A54" s="88" t="s">
        <v>50</v>
      </c>
      <c r="B54" s="87">
        <f>'2Year'!B54+'4Year'!B54</f>
        <v>0</v>
      </c>
      <c r="C54" s="87">
        <f>'2Year'!C54+'4Year'!C54</f>
        <v>0</v>
      </c>
      <c r="D54" s="87">
        <f>'2Year'!D54+'4Year'!D54</f>
        <v>0</v>
      </c>
      <c r="E54" s="87">
        <f>D54-C54</f>
        <v>0</v>
      </c>
      <c r="F54" s="81">
        <f>IF(ISBLANK(E54),"  ",IF(C54&gt;0,E54/C54,IF(E54&gt;0,1,0)))</f>
        <v>0</v>
      </c>
      <c r="G54" s="87">
        <f>'2Year'!G54+'4Year'!G54</f>
        <v>0</v>
      </c>
      <c r="H54" s="228"/>
    </row>
    <row r="55" spans="1:9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9" s="124" customFormat="1" ht="15" customHeight="1" x14ac:dyDescent="0.25">
      <c r="A56" s="77" t="s">
        <v>51</v>
      </c>
      <c r="B56" s="87">
        <f>'2Year'!B56+'4Year'!B56</f>
        <v>0</v>
      </c>
      <c r="C56" s="87">
        <f>'2Year'!C56+'4Year'!C56</f>
        <v>0</v>
      </c>
      <c r="D56" s="87">
        <f>'2Year'!D56+'4Year'!D56</f>
        <v>0</v>
      </c>
      <c r="E56" s="87">
        <f>D56-C56</f>
        <v>0</v>
      </c>
      <c r="F56" s="81">
        <f>IF(ISBLANK(E56),"  ",IF(C56&gt;0,E56/C56,IF(E56&gt;0,1,0)))</f>
        <v>0</v>
      </c>
      <c r="G56" s="87">
        <f>'2Year'!G56+'4Year'!G56</f>
        <v>0</v>
      </c>
      <c r="H56" s="228"/>
    </row>
    <row r="57" spans="1:9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9" s="124" customFormat="1" ht="15" customHeight="1" x14ac:dyDescent="0.25">
      <c r="A58" s="91" t="s">
        <v>52</v>
      </c>
      <c r="B58" s="87">
        <f>'2Year'!B58+'4Year'!B58</f>
        <v>1943728862.2800002</v>
      </c>
      <c r="C58" s="87">
        <f>'2Year'!C58+'4Year'!C58</f>
        <v>2065182792</v>
      </c>
      <c r="D58" s="87">
        <f>'2Year'!D58+'4Year'!D58</f>
        <v>1912398626.8299999</v>
      </c>
      <c r="E58" s="87">
        <f>D58-C58</f>
        <v>-152784165.17000008</v>
      </c>
      <c r="F58" s="81">
        <f>IF(ISBLANK(E58),"  ",IF(C58&gt;0,E58/C58,IF(E58&gt;0,1,0)))</f>
        <v>-7.398094045807839E-2</v>
      </c>
      <c r="G58" s="87">
        <f>'2Year'!G58+'4Year'!G58</f>
        <v>1989771367.98</v>
      </c>
      <c r="H58" s="228"/>
    </row>
    <row r="59" spans="1:9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9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9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9" ht="15" customHeight="1" x14ac:dyDescent="0.25">
      <c r="A62" s="73" t="s">
        <v>54</v>
      </c>
      <c r="B62" s="69">
        <f>'2Year'!B62+'4Year'!B62</f>
        <v>792667059.29999995</v>
      </c>
      <c r="C62" s="69">
        <f>'2Year'!C62+'4Year'!C62</f>
        <v>882765947.00600863</v>
      </c>
      <c r="D62" s="69">
        <f>'2Year'!D62+'4Year'!D62</f>
        <v>781961220.01999998</v>
      </c>
      <c r="E62" s="69">
        <f>D62-C62</f>
        <v>-100804726.98600864</v>
      </c>
      <c r="F62" s="70">
        <f t="shared" ref="F62:F75" si="4">IF(ISBLANK(E62),"  ",IF(C62&gt;0,E62/C62,IF(E62&gt;0,1,0)))</f>
        <v>-0.11419190707106253</v>
      </c>
      <c r="G62" s="69">
        <f>'2Year'!G62+'4Year'!G62</f>
        <v>838438592.48000002</v>
      </c>
      <c r="H62" s="227"/>
    </row>
    <row r="63" spans="1:9" ht="15" customHeight="1" x14ac:dyDescent="0.25">
      <c r="A63" s="75" t="s">
        <v>55</v>
      </c>
      <c r="B63" s="69">
        <f>'2Year'!B63+'4Year'!B63</f>
        <v>104849916.09999999</v>
      </c>
      <c r="C63" s="69">
        <f>'2Year'!C63+'4Year'!C63</f>
        <v>105636389</v>
      </c>
      <c r="D63" s="69">
        <f>'2Year'!D63+'4Year'!D63</f>
        <v>104803139.55000001</v>
      </c>
      <c r="E63" s="69">
        <f>D63-C63</f>
        <v>-833249.44999998808</v>
      </c>
      <c r="F63" s="70">
        <f t="shared" si="4"/>
        <v>-7.8879016775174702E-3</v>
      </c>
      <c r="G63" s="69">
        <f>'2Year'!G63+'4Year'!G63</f>
        <v>104803139.55000001</v>
      </c>
      <c r="H63" s="227"/>
    </row>
    <row r="64" spans="1:9" ht="15" customHeight="1" x14ac:dyDescent="0.25">
      <c r="A64" s="75" t="s">
        <v>56</v>
      </c>
      <c r="B64" s="69">
        <f>'2Year'!B64+'4Year'!B64</f>
        <v>8666791.8599999994</v>
      </c>
      <c r="C64" s="69">
        <f>'2Year'!C64+'4Year'!C64</f>
        <v>7122484</v>
      </c>
      <c r="D64" s="69">
        <f>'2Year'!D64+'4Year'!D64</f>
        <v>7103803.9859999996</v>
      </c>
      <c r="E64" s="69">
        <f t="shared" ref="E64:E75" si="5">D64-C64</f>
        <v>-18680.014000000432</v>
      </c>
      <c r="F64" s="70">
        <f t="shared" si="4"/>
        <v>-2.6226824798764635E-3</v>
      </c>
      <c r="G64" s="69">
        <f>'2Year'!G64+'4Year'!G64</f>
        <v>7103803.9859999996</v>
      </c>
      <c r="H64" s="227"/>
    </row>
    <row r="65" spans="1:8" ht="15" customHeight="1" x14ac:dyDescent="0.25">
      <c r="A65" s="75" t="s">
        <v>57</v>
      </c>
      <c r="B65" s="69">
        <f>'2Year'!B65+'4Year'!B65</f>
        <v>202667538.72999999</v>
      </c>
      <c r="C65" s="69">
        <f>'2Year'!C65+'4Year'!C65</f>
        <v>205608111.21000001</v>
      </c>
      <c r="D65" s="69">
        <f>'2Year'!D65+'4Year'!D65</f>
        <v>205134129.48300001</v>
      </c>
      <c r="E65" s="69">
        <f t="shared" si="5"/>
        <v>-473981.72699999809</v>
      </c>
      <c r="F65" s="70">
        <f t="shared" si="4"/>
        <v>-2.3052676482976484E-3</v>
      </c>
      <c r="G65" s="69">
        <f>'2Year'!G65+'4Year'!G65</f>
        <v>205843604.51300001</v>
      </c>
      <c r="H65" s="227"/>
    </row>
    <row r="66" spans="1:8" ht="15" customHeight="1" x14ac:dyDescent="0.25">
      <c r="A66" s="75" t="s">
        <v>58</v>
      </c>
      <c r="B66" s="69">
        <f>'2Year'!B66+'4Year'!B66</f>
        <v>101282450.59</v>
      </c>
      <c r="C66" s="69">
        <f>'2Year'!C66+'4Year'!C66</f>
        <v>104838266.30124502</v>
      </c>
      <c r="D66" s="69">
        <f>'2Year'!D66+'4Year'!D66</f>
        <v>106873486.75600001</v>
      </c>
      <c r="E66" s="69">
        <f t="shared" si="5"/>
        <v>2035220.4547549933</v>
      </c>
      <c r="F66" s="70">
        <f t="shared" si="4"/>
        <v>1.9412954129811127E-2</v>
      </c>
      <c r="G66" s="69">
        <f>'2Year'!G66+'4Year'!G66</f>
        <v>107551285.77600002</v>
      </c>
      <c r="H66" s="227"/>
    </row>
    <row r="67" spans="1:8" ht="15" customHeight="1" x14ac:dyDescent="0.25">
      <c r="A67" s="75" t="s">
        <v>59</v>
      </c>
      <c r="B67" s="69">
        <f>'2Year'!B67+'4Year'!B67</f>
        <v>261438464.56999999</v>
      </c>
      <c r="C67" s="69">
        <f>'2Year'!C67+'4Year'!C67</f>
        <v>275558222.44053602</v>
      </c>
      <c r="D67" s="69">
        <f>'2Year'!D67+'4Year'!D67</f>
        <v>272315094.62099999</v>
      </c>
      <c r="E67" s="69">
        <f t="shared" si="5"/>
        <v>-3243127.8195360303</v>
      </c>
      <c r="F67" s="70">
        <f t="shared" si="4"/>
        <v>-1.1769301568331461E-2</v>
      </c>
      <c r="G67" s="69">
        <f>'2Year'!G67+'4Year'!G67</f>
        <v>273703946.73100001</v>
      </c>
      <c r="H67" s="227"/>
    </row>
    <row r="68" spans="1:8" ht="15" customHeight="1" x14ac:dyDescent="0.25">
      <c r="A68" s="75" t="s">
        <v>60</v>
      </c>
      <c r="B68" s="69">
        <f>'2Year'!B68+'4Year'!B68</f>
        <v>230144797.94</v>
      </c>
      <c r="C68" s="69">
        <f>'2Year'!C68+'4Year'!C68</f>
        <v>233954132.59999999</v>
      </c>
      <c r="D68" s="69">
        <f>'2Year'!D68+'4Year'!D68</f>
        <v>239377076.87</v>
      </c>
      <c r="E68" s="69">
        <f t="shared" si="5"/>
        <v>5422944.2700000107</v>
      </c>
      <c r="F68" s="70">
        <f t="shared" si="4"/>
        <v>2.3179519035347918E-2</v>
      </c>
      <c r="G68" s="69">
        <f>'2Year'!G68+'4Year'!G68</f>
        <v>250851281.87</v>
      </c>
      <c r="H68" s="227"/>
    </row>
    <row r="69" spans="1:8" ht="15" customHeight="1" x14ac:dyDescent="0.25">
      <c r="A69" s="75" t="s">
        <v>61</v>
      </c>
      <c r="B69" s="69">
        <f>'2Year'!B69+'4Year'!B69</f>
        <v>198674775.62</v>
      </c>
      <c r="C69" s="69">
        <f>'2Year'!C69+'4Year'!C69</f>
        <v>208096773</v>
      </c>
      <c r="D69" s="69">
        <f>'2Year'!D69+'4Year'!D69</f>
        <v>197786995.15600002</v>
      </c>
      <c r="E69" s="69">
        <f t="shared" si="5"/>
        <v>-10309777.843999982</v>
      </c>
      <c r="F69" s="70">
        <f t="shared" si="4"/>
        <v>-4.9543189427545722E-2</v>
      </c>
      <c r="G69" s="69">
        <f>'2Year'!G69+'4Year'!G69</f>
        <v>201273849.43600002</v>
      </c>
      <c r="H69" s="227"/>
    </row>
    <row r="70" spans="1:8" s="124" customFormat="1" ht="15" customHeight="1" x14ac:dyDescent="0.25">
      <c r="A70" s="94" t="s">
        <v>62</v>
      </c>
      <c r="B70" s="87">
        <f>'2Year'!B70+'4Year'!B70</f>
        <v>1900391794.7099996</v>
      </c>
      <c r="C70" s="87">
        <f>'2Year'!C70+'4Year'!C70</f>
        <v>2023580325.5577898</v>
      </c>
      <c r="D70" s="87">
        <f>'2Year'!D70+'4Year'!D70</f>
        <v>1915354946.4420002</v>
      </c>
      <c r="E70" s="87">
        <f t="shared" si="5"/>
        <v>-108225379.11578965</v>
      </c>
      <c r="F70" s="81">
        <f t="shared" si="4"/>
        <v>-5.3482126579758017E-2</v>
      </c>
      <c r="G70" s="87">
        <f>'2Year'!G70+'4Year'!G70</f>
        <v>1989569504.3420002</v>
      </c>
      <c r="H70" s="228"/>
    </row>
    <row r="71" spans="1:8" ht="15" customHeight="1" x14ac:dyDescent="0.25">
      <c r="A71" s="75" t="s">
        <v>63</v>
      </c>
      <c r="B71" s="69">
        <f>'2Year'!B71+'4Year'!B71</f>
        <v>0</v>
      </c>
      <c r="C71" s="69">
        <f>'2Year'!C71+'4Year'!C71</f>
        <v>0</v>
      </c>
      <c r="D71" s="69">
        <f>'2Year'!D71+'4Year'!D71</f>
        <v>0</v>
      </c>
      <c r="E71" s="69">
        <f t="shared" si="5"/>
        <v>0</v>
      </c>
      <c r="F71" s="70">
        <f t="shared" si="4"/>
        <v>0</v>
      </c>
      <c r="G71" s="69">
        <f>'2Year'!G71+'4Year'!G71</f>
        <v>0</v>
      </c>
      <c r="H71" s="227"/>
    </row>
    <row r="72" spans="1:8" ht="15" customHeight="1" x14ac:dyDescent="0.25">
      <c r="A72" s="75" t="s">
        <v>64</v>
      </c>
      <c r="B72" s="69">
        <f>'2Year'!B72+'4Year'!B72</f>
        <v>11044886.74</v>
      </c>
      <c r="C72" s="69">
        <f>'2Year'!C72+'4Year'!C72</f>
        <v>9936016</v>
      </c>
      <c r="D72" s="69">
        <f>'2Year'!D72+'4Year'!D72</f>
        <v>-29630945</v>
      </c>
      <c r="E72" s="69">
        <f t="shared" si="5"/>
        <v>-39566961</v>
      </c>
      <c r="F72" s="70">
        <f t="shared" si="4"/>
        <v>-3.9821756526962115</v>
      </c>
      <c r="G72" s="69">
        <f>'2Year'!G72+'4Year'!G72</f>
        <v>-29933019</v>
      </c>
      <c r="H72" s="227"/>
    </row>
    <row r="73" spans="1:8" ht="15" customHeight="1" x14ac:dyDescent="0.25">
      <c r="A73" s="75" t="s">
        <v>65</v>
      </c>
      <c r="B73" s="69">
        <f>'2Year'!B73+'4Year'!B73</f>
        <v>29589640.400000002</v>
      </c>
      <c r="C73" s="69">
        <f>'2Year'!C73+'4Year'!C73</f>
        <v>27654968</v>
      </c>
      <c r="D73" s="69">
        <f>'2Year'!D73+'4Year'!D73</f>
        <v>23136246</v>
      </c>
      <c r="E73" s="69">
        <f t="shared" si="5"/>
        <v>-4518722</v>
      </c>
      <c r="F73" s="70">
        <f t="shared" si="4"/>
        <v>-0.16339639228655048</v>
      </c>
      <c r="G73" s="69">
        <f>'2Year'!G73+'4Year'!G73</f>
        <v>23136246</v>
      </c>
      <c r="H73" s="227"/>
    </row>
    <row r="74" spans="1:8" ht="15" customHeight="1" x14ac:dyDescent="0.25">
      <c r="A74" s="75" t="s">
        <v>66</v>
      </c>
      <c r="B74" s="69">
        <f>'2Year'!B74+'4Year'!B74</f>
        <v>2702539.9</v>
      </c>
      <c r="C74" s="69">
        <f>'2Year'!C74+'4Year'!C74</f>
        <v>4011482</v>
      </c>
      <c r="D74" s="69">
        <f>'2Year'!D74+'4Year'!D74</f>
        <v>3538379</v>
      </c>
      <c r="E74" s="69">
        <f t="shared" si="5"/>
        <v>-473103</v>
      </c>
      <c r="F74" s="70">
        <f t="shared" si="4"/>
        <v>-0.1179372112351495</v>
      </c>
      <c r="G74" s="69">
        <f>'2Year'!G74+'4Year'!G74</f>
        <v>6998636</v>
      </c>
      <c r="H74" s="227"/>
    </row>
    <row r="75" spans="1:8" s="124" customFormat="1" ht="15" customHeight="1" x14ac:dyDescent="0.25">
      <c r="A75" s="95" t="s">
        <v>67</v>
      </c>
      <c r="B75" s="87">
        <f>'2Year'!B75+'4Year'!B75+1</f>
        <v>1943728862.75</v>
      </c>
      <c r="C75" s="87">
        <f>'2Year'!C75+'4Year'!C75</f>
        <v>2065182791.5577898</v>
      </c>
      <c r="D75" s="87">
        <f>'2Year'!D75+'4Year'!D75-1</f>
        <v>1912398625.4420002</v>
      </c>
      <c r="E75" s="87">
        <f t="shared" si="5"/>
        <v>-152784166.11578965</v>
      </c>
      <c r="F75" s="81">
        <f t="shared" si="4"/>
        <v>-7.3980940931888603E-2</v>
      </c>
      <c r="G75" s="87">
        <f>'2Year'!G75+'4Year'!G75-1</f>
        <v>1989771366.3420002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f>'2Year'!B78+'4Year'!B78</f>
        <v>940182436.78999984</v>
      </c>
      <c r="C78" s="69">
        <f>'2Year'!C78+'4Year'!C78</f>
        <v>1012616408.1</v>
      </c>
      <c r="D78" s="69">
        <f>'2Year'!D78+'4Year'!D78</f>
        <v>946745037.64873958</v>
      </c>
      <c r="E78" s="69">
        <f>D78-C78</f>
        <v>-65871370.451260448</v>
      </c>
      <c r="F78" s="70">
        <f t="shared" ref="F78:F96" si="6">IF(ISBLANK(E78),"  ",IF(C78&gt;0,E78/C78,IF(E78&gt;0,1,0)))</f>
        <v>-6.505066471800186E-2</v>
      </c>
      <c r="G78" s="69">
        <f>'2Year'!G78+'4Year'!G78</f>
        <v>991374021.06999981</v>
      </c>
      <c r="H78" s="227"/>
    </row>
    <row r="79" spans="1:8" ht="15" customHeight="1" x14ac:dyDescent="0.25">
      <c r="A79" s="75" t="s">
        <v>70</v>
      </c>
      <c r="B79" s="69">
        <f>'2Year'!B79+'4Year'!B79</f>
        <v>43843701.00999999</v>
      </c>
      <c r="C79" s="69">
        <f>'2Year'!C79+'4Year'!C79</f>
        <v>43790931</v>
      </c>
      <c r="D79" s="69">
        <f>'2Year'!D79+'4Year'!D79</f>
        <v>41621052.536000006</v>
      </c>
      <c r="E79" s="69">
        <f>D79-C79</f>
        <v>-2169878.4639999941</v>
      </c>
      <c r="F79" s="70">
        <f t="shared" si="6"/>
        <v>-4.9550863944865527E-2</v>
      </c>
      <c r="G79" s="69">
        <f>'2Year'!G79+'4Year'!G79</f>
        <v>41621052.536000006</v>
      </c>
      <c r="H79" s="227"/>
    </row>
    <row r="80" spans="1:8" ht="15" customHeight="1" x14ac:dyDescent="0.25">
      <c r="A80" s="75" t="s">
        <v>71</v>
      </c>
      <c r="B80" s="69">
        <f>'2Year'!B80+'4Year'!B80</f>
        <v>411297964.58999997</v>
      </c>
      <c r="C80" s="69">
        <f>'2Year'!C80+'4Year'!C80</f>
        <v>436721438.8577897</v>
      </c>
      <c r="D80" s="69">
        <f>'2Year'!D80+'4Year'!D80</f>
        <v>414934892.2372604</v>
      </c>
      <c r="E80" s="69">
        <f t="shared" ref="E80:E95" si="7">D80-C80</f>
        <v>-21786546.620529294</v>
      </c>
      <c r="F80" s="70">
        <f t="shared" si="6"/>
        <v>-4.9886597455600715E-2</v>
      </c>
      <c r="G80" s="69">
        <f>'2Year'!G80+'4Year'!G80</f>
        <v>429899807.09599996</v>
      </c>
      <c r="H80" s="227"/>
    </row>
    <row r="81" spans="1:8" s="124" customFormat="1" ht="15" customHeight="1" x14ac:dyDescent="0.25">
      <c r="A81" s="94" t="s">
        <v>72</v>
      </c>
      <c r="B81" s="87">
        <f>'2Year'!B81+'4Year'!B81</f>
        <v>1395324102.3900003</v>
      </c>
      <c r="C81" s="87">
        <f>'2Year'!C81+'4Year'!C81</f>
        <v>1493128777.9577897</v>
      </c>
      <c r="D81" s="87">
        <f>'2Year'!D81+'4Year'!D81</f>
        <v>1403300982.4220002</v>
      </c>
      <c r="E81" s="87">
        <f t="shared" si="7"/>
        <v>-89827795.53578949</v>
      </c>
      <c r="F81" s="81">
        <f t="shared" si="6"/>
        <v>-6.0160782420020369E-2</v>
      </c>
      <c r="G81" s="87">
        <f>'2Year'!G81+'4Year'!G81</f>
        <v>1462894880.7020001</v>
      </c>
      <c r="H81" s="228"/>
    </row>
    <row r="82" spans="1:8" ht="15" customHeight="1" x14ac:dyDescent="0.25">
      <c r="A82" s="75" t="s">
        <v>73</v>
      </c>
      <c r="B82" s="69">
        <f>'2Year'!B82+'4Year'!B82</f>
        <v>7199036.0999999996</v>
      </c>
      <c r="C82" s="69">
        <f>'2Year'!C82+'4Year'!C82</f>
        <v>9720701</v>
      </c>
      <c r="D82" s="69">
        <f>'2Year'!D82+'4Year'!D82</f>
        <v>7329983.3100000005</v>
      </c>
      <c r="E82" s="69">
        <f t="shared" si="7"/>
        <v>-2390717.6899999995</v>
      </c>
      <c r="F82" s="70">
        <f t="shared" si="6"/>
        <v>-0.24594087298848091</v>
      </c>
      <c r="G82" s="69">
        <f>'2Year'!G82+'4Year'!G82</f>
        <v>7379983.3100000005</v>
      </c>
      <c r="H82" s="227"/>
    </row>
    <row r="83" spans="1:8" ht="15" customHeight="1" x14ac:dyDescent="0.25">
      <c r="A83" s="75" t="s">
        <v>74</v>
      </c>
      <c r="B83" s="69">
        <f>'2Year'!B83+'4Year'!B83</f>
        <v>140500541.30000001</v>
      </c>
      <c r="C83" s="69">
        <f>'2Year'!C83+'4Year'!C83</f>
        <v>157912218</v>
      </c>
      <c r="D83" s="69">
        <f>'2Year'!D83+'4Year'!D83</f>
        <v>145640062.09</v>
      </c>
      <c r="E83" s="69">
        <f t="shared" si="7"/>
        <v>-12272155.909999996</v>
      </c>
      <c r="F83" s="70">
        <f t="shared" si="6"/>
        <v>-7.7715049952626195E-2</v>
      </c>
      <c r="G83" s="69">
        <f>'2Year'!G83+'4Year'!G83</f>
        <v>148094057.09</v>
      </c>
      <c r="H83" s="227"/>
    </row>
    <row r="84" spans="1:8" ht="15" customHeight="1" x14ac:dyDescent="0.25">
      <c r="A84" s="75" t="s">
        <v>75</v>
      </c>
      <c r="B84" s="69">
        <f>'2Year'!B84+'4Year'!B84</f>
        <v>41697583.029999994</v>
      </c>
      <c r="C84" s="69">
        <f>'2Year'!C84+'4Year'!C84</f>
        <v>36343794</v>
      </c>
      <c r="D84" s="69">
        <f>'2Year'!D84+'4Year'!D84</f>
        <v>38068671.629999995</v>
      </c>
      <c r="E84" s="69">
        <f t="shared" si="7"/>
        <v>1724877.6299999952</v>
      </c>
      <c r="F84" s="70">
        <f t="shared" si="6"/>
        <v>4.7460032103417579E-2</v>
      </c>
      <c r="G84" s="69">
        <f>'2Year'!G84+'4Year'!G84</f>
        <v>38076814</v>
      </c>
      <c r="H84" s="227"/>
    </row>
    <row r="85" spans="1:8" s="124" customFormat="1" ht="15" customHeight="1" x14ac:dyDescent="0.25">
      <c r="A85" s="78" t="s">
        <v>76</v>
      </c>
      <c r="B85" s="87">
        <f>'2Year'!B85+'4Year'!B85</f>
        <v>189397160.43000001</v>
      </c>
      <c r="C85" s="87">
        <f>'2Year'!C85+'4Year'!C85</f>
        <v>203976713</v>
      </c>
      <c r="D85" s="87">
        <f>'2Year'!D85+'4Year'!D85</f>
        <v>191038717.03</v>
      </c>
      <c r="E85" s="87">
        <f t="shared" si="7"/>
        <v>-12937995.969999999</v>
      </c>
      <c r="F85" s="81">
        <f t="shared" si="6"/>
        <v>-6.3428789393228421E-2</v>
      </c>
      <c r="G85" s="87">
        <f>'2Year'!G85+'4Year'!G85</f>
        <v>193550854.40000001</v>
      </c>
      <c r="H85" s="228"/>
    </row>
    <row r="86" spans="1:8" ht="15" customHeight="1" x14ac:dyDescent="0.25">
      <c r="A86" s="75" t="s">
        <v>77</v>
      </c>
      <c r="B86" s="69">
        <f>'2Year'!B86+'4Year'!B86</f>
        <v>35293505.939999998</v>
      </c>
      <c r="C86" s="69">
        <f>'2Year'!C86+'4Year'!C86</f>
        <v>35884110.600000001</v>
      </c>
      <c r="D86" s="69">
        <f>'2Year'!D86+'4Year'!D86</f>
        <v>35840209.439999998</v>
      </c>
      <c r="E86" s="69">
        <f t="shared" si="7"/>
        <v>-43901.160000003874</v>
      </c>
      <c r="F86" s="70">
        <f t="shared" si="6"/>
        <v>-1.2234150231385105E-3</v>
      </c>
      <c r="G86" s="69">
        <f>'2Year'!G86+'4Year'!G86</f>
        <v>36192283.439999998</v>
      </c>
      <c r="H86" s="227"/>
    </row>
    <row r="87" spans="1:8" ht="15" customHeight="1" x14ac:dyDescent="0.25">
      <c r="A87" s="75" t="s">
        <v>78</v>
      </c>
      <c r="B87" s="69">
        <f>'2Year'!B87+'4Year'!B87</f>
        <v>277036504.04999995</v>
      </c>
      <c r="C87" s="69">
        <f>'2Year'!C87+'4Year'!C87</f>
        <v>289025513</v>
      </c>
      <c r="D87" s="69">
        <f>'2Year'!D87+'4Year'!D87</f>
        <v>242744732.23000002</v>
      </c>
      <c r="E87" s="69">
        <f t="shared" si="7"/>
        <v>-46280780.769999981</v>
      </c>
      <c r="F87" s="70">
        <f t="shared" si="6"/>
        <v>-0.16012697387721608</v>
      </c>
      <c r="G87" s="69">
        <f>'2Year'!G87+'4Year'!G87</f>
        <v>257871483.23000002</v>
      </c>
      <c r="H87" s="227"/>
    </row>
    <row r="88" spans="1:8" ht="15" customHeight="1" x14ac:dyDescent="0.25">
      <c r="A88" s="75" t="s">
        <v>79</v>
      </c>
      <c r="B88" s="69">
        <f>'2Year'!B88+'4Year'!B88</f>
        <v>4804743</v>
      </c>
      <c r="C88" s="69">
        <f>'2Year'!C88+'4Year'!C88</f>
        <v>0</v>
      </c>
      <c r="D88" s="69">
        <f>'2Year'!D88+'4Year'!D88</f>
        <v>0</v>
      </c>
      <c r="E88" s="69">
        <f t="shared" si="7"/>
        <v>0</v>
      </c>
      <c r="F88" s="70">
        <f t="shared" si="6"/>
        <v>0</v>
      </c>
      <c r="G88" s="69">
        <f>'2Year'!G88+'4Year'!G88</f>
        <v>0</v>
      </c>
      <c r="H88" s="227"/>
    </row>
    <row r="89" spans="1:8" ht="15" customHeight="1" x14ac:dyDescent="0.25">
      <c r="A89" s="75" t="s">
        <v>80</v>
      </c>
      <c r="B89" s="69">
        <f>'2Year'!B89+'4Year'!B89</f>
        <v>16308454.85</v>
      </c>
      <c r="C89" s="69">
        <f>'2Year'!C89+'4Year'!C89</f>
        <v>20694803</v>
      </c>
      <c r="D89" s="69">
        <f>'2Year'!D89+'4Year'!D89</f>
        <v>20252796.600000001</v>
      </c>
      <c r="E89" s="69">
        <f t="shared" si="7"/>
        <v>-442006.39999999851</v>
      </c>
      <c r="F89" s="70">
        <f t="shared" si="6"/>
        <v>-2.1358328465363913E-2</v>
      </c>
      <c r="G89" s="69">
        <f>'2Year'!G89+'4Year'!G89</f>
        <v>19950722.600000001</v>
      </c>
      <c r="H89" s="227"/>
    </row>
    <row r="90" spans="1:8" s="124" customFormat="1" ht="15" customHeight="1" x14ac:dyDescent="0.25">
      <c r="A90" s="78" t="s">
        <v>81</v>
      </c>
      <c r="B90" s="87">
        <f>'2Year'!B90+'4Year'!B90</f>
        <v>333443207.83999997</v>
      </c>
      <c r="C90" s="87">
        <f>'2Year'!C90+'4Year'!C90</f>
        <v>345604426.60000002</v>
      </c>
      <c r="D90" s="87">
        <f>'2Year'!D90+'4Year'!D90</f>
        <v>298837738.27000004</v>
      </c>
      <c r="E90" s="87">
        <f t="shared" si="7"/>
        <v>-46766688.329999983</v>
      </c>
      <c r="F90" s="81">
        <f t="shared" si="6"/>
        <v>-0.13531854551193986</v>
      </c>
      <c r="G90" s="87">
        <f>'2Year'!G90+'4Year'!G90</f>
        <v>314014489.27000004</v>
      </c>
      <c r="H90" s="228"/>
    </row>
    <row r="91" spans="1:8" ht="15" customHeight="1" x14ac:dyDescent="0.25">
      <c r="A91" s="75" t="s">
        <v>82</v>
      </c>
      <c r="B91" s="69">
        <f>'2Year'!B91+'4Year'!B91</f>
        <v>17564946.399999999</v>
      </c>
      <c r="C91" s="69">
        <f>'2Year'!C91+'4Year'!C91</f>
        <v>16827705</v>
      </c>
      <c r="D91" s="69">
        <f>'2Year'!D91+'4Year'!D91</f>
        <v>11118861.129999999</v>
      </c>
      <c r="E91" s="69">
        <f t="shared" si="7"/>
        <v>-5708843.870000001</v>
      </c>
      <c r="F91" s="70">
        <f t="shared" si="6"/>
        <v>-0.33925267111587715</v>
      </c>
      <c r="G91" s="69">
        <f>'2Year'!G91+'4Year'!G91</f>
        <v>11208816.369999999</v>
      </c>
      <c r="H91" s="227"/>
    </row>
    <row r="92" spans="1:8" ht="15" customHeight="1" x14ac:dyDescent="0.25">
      <c r="A92" s="75" t="s">
        <v>83</v>
      </c>
      <c r="B92" s="69">
        <f>'2Year'!B92+'4Year'!B92</f>
        <v>5522340.8600000003</v>
      </c>
      <c r="C92" s="69">
        <f>'2Year'!C92+'4Year'!C92</f>
        <v>5375994</v>
      </c>
      <c r="D92" s="69">
        <f>'2Year'!D92+'4Year'!D92</f>
        <v>4736079.21</v>
      </c>
      <c r="E92" s="69">
        <f t="shared" si="7"/>
        <v>-639914.79</v>
      </c>
      <c r="F92" s="70">
        <f t="shared" si="6"/>
        <v>-0.11903190182131901</v>
      </c>
      <c r="G92" s="69">
        <f>'2Year'!G92+'4Year'!G92</f>
        <v>4736079.21</v>
      </c>
      <c r="H92" s="227"/>
    </row>
    <row r="93" spans="1:8" ht="15" customHeight="1" x14ac:dyDescent="0.25">
      <c r="A93" s="83" t="s">
        <v>84</v>
      </c>
      <c r="B93" s="69">
        <f>'2Year'!B93+'4Year'!B93</f>
        <v>2477103.23</v>
      </c>
      <c r="C93" s="69">
        <f>'2Year'!C93+'4Year'!C93</f>
        <v>269175</v>
      </c>
      <c r="D93" s="69">
        <f>'2Year'!D93+'4Year'!D93</f>
        <v>2261566</v>
      </c>
      <c r="E93" s="69">
        <f t="shared" si="7"/>
        <v>1992391</v>
      </c>
      <c r="F93" s="70">
        <f t="shared" si="6"/>
        <v>7.401842667409678</v>
      </c>
      <c r="G93" s="69">
        <f>'2Year'!G93+'4Year'!G93</f>
        <v>2261566</v>
      </c>
      <c r="H93" s="227"/>
    </row>
    <row r="94" spans="1:8" s="124" customFormat="1" ht="15" customHeight="1" x14ac:dyDescent="0.25">
      <c r="A94" s="97" t="s">
        <v>85</v>
      </c>
      <c r="B94" s="87">
        <f>'2Year'!B94+'4Year'!B94</f>
        <v>25564390.490000002</v>
      </c>
      <c r="C94" s="87">
        <f>'2Year'!C94+'4Year'!C94</f>
        <v>22472874</v>
      </c>
      <c r="D94" s="87">
        <f>'2Year'!D94+'4Year'!D94</f>
        <v>18116506.34</v>
      </c>
      <c r="E94" s="87">
        <f t="shared" si="7"/>
        <v>-4356367.66</v>
      </c>
      <c r="F94" s="81">
        <f t="shared" si="6"/>
        <v>-0.19385004605997436</v>
      </c>
      <c r="G94" s="87">
        <f>'2Year'!G94+'4Year'!G94</f>
        <v>18206461.580000002</v>
      </c>
      <c r="H94" s="228"/>
    </row>
    <row r="95" spans="1:8" ht="15" customHeight="1" x14ac:dyDescent="0.25">
      <c r="A95" s="83" t="s">
        <v>86</v>
      </c>
      <c r="B95" s="69">
        <f>'2Year'!B95+'4Year'!B95</f>
        <v>0</v>
      </c>
      <c r="C95" s="69">
        <f>'2Year'!C95+'4Year'!C95</f>
        <v>0</v>
      </c>
      <c r="D95" s="69">
        <f>'2Year'!D95+'4Year'!D95</f>
        <v>1104682</v>
      </c>
      <c r="E95" s="69">
        <f t="shared" si="7"/>
        <v>1104682</v>
      </c>
      <c r="F95" s="70">
        <f t="shared" si="6"/>
        <v>1</v>
      </c>
      <c r="G95" s="69">
        <f>'2Year'!G95+'4Year'!G95</f>
        <v>1104682</v>
      </c>
      <c r="H95" s="227"/>
    </row>
    <row r="96" spans="1:8" s="124" customFormat="1" ht="15" customHeight="1" thickBot="1" x14ac:dyDescent="0.3">
      <c r="A96" s="195" t="s">
        <v>67</v>
      </c>
      <c r="B96" s="196">
        <f>'2Year'!B96+'4Year'!B96+1</f>
        <v>1943728863.1500001</v>
      </c>
      <c r="C96" s="196">
        <f>'2Year'!C96+'4Year'!C96</f>
        <v>2065182791.5577898</v>
      </c>
      <c r="D96" s="196">
        <f>'2Year'!D96+'4Year'!D96-1</f>
        <v>1912398625.062</v>
      </c>
      <c r="E96" s="197">
        <f>D96-C96</f>
        <v>-152784166.49578977</v>
      </c>
      <c r="F96" s="198">
        <f t="shared" si="6"/>
        <v>-7.3980941115891735E-2</v>
      </c>
      <c r="G96" s="196">
        <f>'2Year'!G96+'4Year'!G96-1</f>
        <v>1989771366.9520001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" t="s">
        <v>197</v>
      </c>
    </row>
    <row r="99" spans="1:9" x14ac:dyDescent="0.25">
      <c r="A99" s="1" t="s">
        <v>190</v>
      </c>
    </row>
  </sheetData>
  <mergeCells count="1">
    <mergeCell ref="G2:G3"/>
  </mergeCells>
  <hyperlinks>
    <hyperlink ref="I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7" customWidth="1"/>
    <col min="2" max="2" width="23.7109375" style="12" customWidth="1"/>
    <col min="3" max="5" width="23.7109375" style="8" customWidth="1"/>
    <col min="6" max="6" width="23.7109375" style="9" customWidth="1"/>
    <col min="7" max="7" width="27.140625" style="213" bestFit="1" customWidth="1"/>
    <col min="8" max="8" width="7.7109375" style="213" customWidth="1"/>
    <col min="9" max="9" width="11.5703125" style="213" customWidth="1"/>
    <col min="10" max="16384" width="9.140625" style="213"/>
  </cols>
  <sheetData>
    <row r="1" spans="1:9" ht="19.5" customHeight="1" thickBot="1" x14ac:dyDescent="0.3">
      <c r="A1" s="30" t="s">
        <v>0</v>
      </c>
      <c r="B1" s="31"/>
      <c r="D1" s="32" t="s">
        <v>1</v>
      </c>
      <c r="E1" s="29" t="s">
        <v>112</v>
      </c>
      <c r="F1" s="29"/>
      <c r="G1" s="211"/>
      <c r="H1" s="211"/>
      <c r="I1" s="21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21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212"/>
      <c r="I3" s="212"/>
    </row>
    <row r="4" spans="1:9" s="139" customFormat="1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6315483</v>
      </c>
      <c r="C8" s="69">
        <v>6315483</v>
      </c>
      <c r="D8" s="69">
        <v>5286527</v>
      </c>
      <c r="E8" s="69">
        <f>D8-C8</f>
        <v>-1028956</v>
      </c>
      <c r="F8" s="70">
        <f t="shared" ref="F8:F31" si="0">IF(ISBLANK(E8),"  ",IF(C8&gt;0,E8/C8,IF(E8&gt;0,1,0)))</f>
        <v>-0.16292593931453858</v>
      </c>
      <c r="G8" s="69">
        <v>5286527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184214</v>
      </c>
      <c r="C10" s="72">
        <f t="shared" ref="C10:D10" si="1">SUM(C11:C31)</f>
        <v>223816</v>
      </c>
      <c r="D10" s="72">
        <f t="shared" si="1"/>
        <v>191729</v>
      </c>
      <c r="E10" s="69">
        <f t="shared" ref="E10:E31" si="2">D10-C10</f>
        <v>-32087</v>
      </c>
      <c r="F10" s="70">
        <f t="shared" si="0"/>
        <v>-0.14336329842370518</v>
      </c>
      <c r="G10" s="72">
        <f>SUM(G11:G31)</f>
        <v>191729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184214</v>
      </c>
      <c r="C12" s="74">
        <v>223816</v>
      </c>
      <c r="D12" s="74">
        <v>191729</v>
      </c>
      <c r="E12" s="69">
        <f t="shared" si="2"/>
        <v>-32087</v>
      </c>
      <c r="F12" s="70">
        <f t="shared" si="0"/>
        <v>-0.14336329842370518</v>
      </c>
      <c r="G12" s="74">
        <v>191729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214" customFormat="1" ht="15" customHeight="1" x14ac:dyDescent="0.25">
      <c r="A37" s="79" t="s">
        <v>38</v>
      </c>
      <c r="B37" s="80">
        <f>SUM(B8,B9,B10,B33,B35,B36)</f>
        <v>6499697</v>
      </c>
      <c r="C37" s="80">
        <f t="shared" ref="C37:D37" si="3">SUM(C8,C9,C10,C33,C35,C36)</f>
        <v>6539299</v>
      </c>
      <c r="D37" s="80">
        <f t="shared" si="3"/>
        <v>5478256</v>
      </c>
      <c r="E37" s="80">
        <f>D37-C37</f>
        <v>-1061043</v>
      </c>
      <c r="F37" s="81">
        <f>IF(ISBLANK(E37),"  ",IF(C37&gt;0,E37/C37,IF(E37&gt;0,1,0)))</f>
        <v>-0.16225638252662861</v>
      </c>
      <c r="G37" s="80">
        <f>SUM(G8,G9,G10,G33,G35,G36)</f>
        <v>5478256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960000</v>
      </c>
      <c r="C41" s="69">
        <v>960000</v>
      </c>
      <c r="D41" s="69">
        <v>0</v>
      </c>
      <c r="E41" s="69">
        <f t="shared" si="5"/>
        <v>-960000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214" customFormat="1" ht="15" customHeight="1" x14ac:dyDescent="0.25">
      <c r="A44" s="77" t="s">
        <v>45</v>
      </c>
      <c r="B44" s="85">
        <f>SUM(B39:B43)</f>
        <v>960000</v>
      </c>
      <c r="C44" s="85">
        <f t="shared" ref="C44:D44" si="6">SUM(C39:C43)</f>
        <v>960000</v>
      </c>
      <c r="D44" s="85">
        <f t="shared" si="6"/>
        <v>0</v>
      </c>
      <c r="E44" s="87">
        <f t="shared" si="5"/>
        <v>-960000</v>
      </c>
      <c r="F44" s="81">
        <f t="shared" si="4"/>
        <v>-1</v>
      </c>
      <c r="G44" s="85">
        <f>SUM(G39:G43)</f>
        <v>0</v>
      </c>
      <c r="H44" s="228"/>
      <c r="M44" s="21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21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960000</v>
      </c>
      <c r="C48" s="87">
        <v>960000</v>
      </c>
      <c r="D48" s="87">
        <v>0</v>
      </c>
      <c r="E48" s="87">
        <f>D48-C48</f>
        <v>-960000</v>
      </c>
      <c r="F48" s="81">
        <f>IF(ISBLANK(E48)," ",IF(C48&gt;0,E48/C48,IF(E48&gt;0,1,0)))</f>
        <v>-1</v>
      </c>
      <c r="G48" s="87">
        <v>960000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21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214" customFormat="1" ht="15" customHeight="1" x14ac:dyDescent="0.25">
      <c r="A52" s="77" t="s">
        <v>49</v>
      </c>
      <c r="B52" s="85">
        <v>8992598</v>
      </c>
      <c r="C52" s="85">
        <v>9790000</v>
      </c>
      <c r="D52" s="85">
        <v>9790000</v>
      </c>
      <c r="E52" s="85">
        <f>D52-C52</f>
        <v>0</v>
      </c>
      <c r="F52" s="81">
        <f>IF(ISBLANK(E52),"  ",IF(C52&gt;0,E52/C52,IF(E52&gt;0,1,0)))</f>
        <v>0</v>
      </c>
      <c r="G52" s="85">
        <v>9790000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21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21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214" customFormat="1" ht="15" customHeight="1" x14ac:dyDescent="0.25">
      <c r="A58" s="91" t="s">
        <v>52</v>
      </c>
      <c r="B58" s="85">
        <f>SUM(B37,B46,B48,B50,B52,B54,B56)-B44</f>
        <v>15492295</v>
      </c>
      <c r="C58" s="85">
        <f t="shared" ref="C58:D58" si="7">SUM(C37,C46,C48,C50,C52,C54,C56)-C44</f>
        <v>16329299</v>
      </c>
      <c r="D58" s="85">
        <f t="shared" si="7"/>
        <v>15268256</v>
      </c>
      <c r="E58" s="85">
        <f>D58-C58</f>
        <v>-1061043</v>
      </c>
      <c r="F58" s="81">
        <f>IF(ISBLANK(E58),"  ",IF(C58&gt;0,E58/C58,IF(E58&gt;0,1,0)))</f>
        <v>-6.4977865859397882E-2</v>
      </c>
      <c r="G58" s="85">
        <f>SUM(G37,G46,G48,G50,G52,G54,G56)-G44</f>
        <v>16228256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7151027</v>
      </c>
      <c r="C62" s="65">
        <v>7606726</v>
      </c>
      <c r="D62" s="65">
        <v>7256371</v>
      </c>
      <c r="E62" s="232">
        <f>D62-C62</f>
        <v>-350355</v>
      </c>
      <c r="F62" s="70">
        <f t="shared" ref="F62:F75" si="8">IF(ISBLANK(E62),"  ",IF(C62&gt;0,E62/C62,IF(E62&gt;0,1,0)))</f>
        <v>-4.6058580261731527E-2</v>
      </c>
      <c r="G62" s="65">
        <v>8216371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1328253</v>
      </c>
      <c r="C65" s="74">
        <v>1437752</v>
      </c>
      <c r="D65" s="74">
        <v>951200</v>
      </c>
      <c r="E65" s="232">
        <f t="shared" si="9"/>
        <v>-486552</v>
      </c>
      <c r="F65" s="70">
        <f t="shared" si="8"/>
        <v>-0.33841163149138376</v>
      </c>
      <c r="G65" s="74">
        <v>951200</v>
      </c>
      <c r="H65" s="227"/>
    </row>
    <row r="66" spans="1:8" ht="15" customHeight="1" x14ac:dyDescent="0.25">
      <c r="A66" s="75" t="s">
        <v>58</v>
      </c>
      <c r="B66" s="74">
        <v>1608138</v>
      </c>
      <c r="C66" s="74">
        <v>1682241</v>
      </c>
      <c r="D66" s="74">
        <v>1949860</v>
      </c>
      <c r="E66" s="232">
        <f t="shared" si="9"/>
        <v>267619</v>
      </c>
      <c r="F66" s="70">
        <f t="shared" si="8"/>
        <v>0.15908481602814342</v>
      </c>
      <c r="G66" s="74">
        <v>1949860</v>
      </c>
      <c r="H66" s="227"/>
    </row>
    <row r="67" spans="1:8" ht="15" customHeight="1" x14ac:dyDescent="0.25">
      <c r="A67" s="75" t="s">
        <v>59</v>
      </c>
      <c r="B67" s="74">
        <v>3361906</v>
      </c>
      <c r="C67" s="74">
        <v>3458384</v>
      </c>
      <c r="D67" s="74">
        <v>3421825</v>
      </c>
      <c r="E67" s="232">
        <f t="shared" si="9"/>
        <v>-36559</v>
      </c>
      <c r="F67" s="70">
        <f t="shared" si="8"/>
        <v>-1.0571122235124844E-2</v>
      </c>
      <c r="G67" s="74">
        <v>3421825</v>
      </c>
      <c r="H67" s="227"/>
    </row>
    <row r="68" spans="1:8" ht="15" customHeight="1" x14ac:dyDescent="0.25">
      <c r="A68" s="75" t="s">
        <v>60</v>
      </c>
      <c r="B68" s="74">
        <v>37645</v>
      </c>
      <c r="C68" s="74">
        <v>41779</v>
      </c>
      <c r="D68" s="74">
        <v>37645</v>
      </c>
      <c r="E68" s="232">
        <f t="shared" si="9"/>
        <v>-4134</v>
      </c>
      <c r="F68" s="70">
        <f t="shared" si="8"/>
        <v>-9.8949232868187367E-2</v>
      </c>
      <c r="G68" s="74">
        <v>37645</v>
      </c>
      <c r="H68" s="227"/>
    </row>
    <row r="69" spans="1:8" ht="15" customHeight="1" x14ac:dyDescent="0.25">
      <c r="A69" s="75" t="s">
        <v>61</v>
      </c>
      <c r="B69" s="74">
        <v>1640351</v>
      </c>
      <c r="C69" s="74">
        <v>1729601</v>
      </c>
      <c r="D69" s="74">
        <v>1239754</v>
      </c>
      <c r="E69" s="232">
        <f t="shared" si="9"/>
        <v>-489847</v>
      </c>
      <c r="F69" s="70">
        <f t="shared" si="8"/>
        <v>-0.28321387418254268</v>
      </c>
      <c r="G69" s="74">
        <v>1239754</v>
      </c>
      <c r="H69" s="227"/>
    </row>
    <row r="70" spans="1:8" s="214" customFormat="1" ht="15" customHeight="1" x14ac:dyDescent="0.25">
      <c r="A70" s="94" t="s">
        <v>62</v>
      </c>
      <c r="B70" s="80">
        <f>SUM(B62:B69)</f>
        <v>15127320</v>
      </c>
      <c r="C70" s="80">
        <f t="shared" ref="C70:D70" si="10">SUM(C62:C69)</f>
        <v>15956483</v>
      </c>
      <c r="D70" s="80">
        <f t="shared" si="10"/>
        <v>14856655</v>
      </c>
      <c r="E70" s="89">
        <f t="shared" si="9"/>
        <v>-1099828</v>
      </c>
      <c r="F70" s="81">
        <f t="shared" si="8"/>
        <v>-6.8926717748516386E-2</v>
      </c>
      <c r="G70" s="80">
        <f>SUM(G62:G69)</f>
        <v>15816655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364975</v>
      </c>
      <c r="C72" s="74">
        <v>372816</v>
      </c>
      <c r="D72" s="74">
        <v>411601</v>
      </c>
      <c r="E72" s="232">
        <f t="shared" si="9"/>
        <v>38785</v>
      </c>
      <c r="F72" s="70">
        <f t="shared" si="8"/>
        <v>0.10403255225097635</v>
      </c>
      <c r="G72" s="74">
        <v>411601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214" customFormat="1" ht="15" customHeight="1" x14ac:dyDescent="0.25">
      <c r="A75" s="95" t="s">
        <v>67</v>
      </c>
      <c r="B75" s="96">
        <f>SUM(B70,B71:B74)</f>
        <v>15492295</v>
      </c>
      <c r="C75" s="96">
        <f t="shared" ref="C75:D75" si="11">SUM(C70,C71:C74)</f>
        <v>16329299</v>
      </c>
      <c r="D75" s="96">
        <f t="shared" si="11"/>
        <v>15268256</v>
      </c>
      <c r="E75" s="89">
        <f t="shared" si="9"/>
        <v>-1061043</v>
      </c>
      <c r="F75" s="81">
        <f t="shared" si="8"/>
        <v>-6.4977865859397882E-2</v>
      </c>
      <c r="G75" s="96">
        <f>SUM(G70,G71:G74)</f>
        <v>16228256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9014479</v>
      </c>
      <c r="C78" s="69">
        <v>9147994</v>
      </c>
      <c r="D78" s="69">
        <v>8579597</v>
      </c>
      <c r="E78" s="65">
        <f>D78-C78</f>
        <v>-568397</v>
      </c>
      <c r="F78" s="70">
        <f t="shared" ref="F78:F96" si="12">IF(ISBLANK(E78),"  ",IF(C78&gt;0,E78/C78,IF(E78&gt;0,1,0)))</f>
        <v>-6.2133512549308621E-2</v>
      </c>
      <c r="G78" s="69">
        <v>9193997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3780787</v>
      </c>
      <c r="C80" s="65">
        <v>3935453</v>
      </c>
      <c r="D80" s="65">
        <v>3773558</v>
      </c>
      <c r="E80" s="74">
        <f t="shared" ref="E80:E95" si="13">D80-C80</f>
        <v>-161895</v>
      </c>
      <c r="F80" s="70">
        <f t="shared" si="12"/>
        <v>-4.1137576792303197E-2</v>
      </c>
      <c r="G80" s="65">
        <v>4119158</v>
      </c>
      <c r="H80" s="227"/>
    </row>
    <row r="81" spans="1:8" s="214" customFormat="1" ht="15" customHeight="1" x14ac:dyDescent="0.25">
      <c r="A81" s="94" t="s">
        <v>72</v>
      </c>
      <c r="B81" s="96">
        <f>SUM(B78:B80)</f>
        <v>12795266</v>
      </c>
      <c r="C81" s="96">
        <f t="shared" ref="C81:D81" si="14">SUM(C78:C80)</f>
        <v>13083447</v>
      </c>
      <c r="D81" s="96">
        <f t="shared" si="14"/>
        <v>12353155</v>
      </c>
      <c r="E81" s="80">
        <f t="shared" si="13"/>
        <v>-730292</v>
      </c>
      <c r="F81" s="81">
        <f t="shared" si="12"/>
        <v>-5.5818011874087921E-2</v>
      </c>
      <c r="G81" s="96">
        <f>SUM(G78:G80)</f>
        <v>13313155</v>
      </c>
      <c r="H81" s="228"/>
    </row>
    <row r="82" spans="1:8" ht="15" customHeight="1" x14ac:dyDescent="0.25">
      <c r="A82" s="75" t="s">
        <v>73</v>
      </c>
      <c r="B82" s="72">
        <v>65624</v>
      </c>
      <c r="C82" s="72">
        <v>102487</v>
      </c>
      <c r="D82" s="72">
        <v>19654</v>
      </c>
      <c r="E82" s="74">
        <f t="shared" si="13"/>
        <v>-82833</v>
      </c>
      <c r="F82" s="70">
        <f t="shared" si="12"/>
        <v>-0.80822933640364147</v>
      </c>
      <c r="G82" s="72">
        <v>19654</v>
      </c>
      <c r="H82" s="227"/>
    </row>
    <row r="83" spans="1:8" ht="15" customHeight="1" x14ac:dyDescent="0.25">
      <c r="A83" s="75" t="s">
        <v>74</v>
      </c>
      <c r="B83" s="69">
        <v>1629530</v>
      </c>
      <c r="C83" s="69">
        <v>1839737</v>
      </c>
      <c r="D83" s="69">
        <v>1765608</v>
      </c>
      <c r="E83" s="74">
        <f t="shared" si="13"/>
        <v>-74129</v>
      </c>
      <c r="F83" s="70">
        <f t="shared" si="12"/>
        <v>-4.0293259308259825E-2</v>
      </c>
      <c r="G83" s="69">
        <v>1765608</v>
      </c>
      <c r="H83" s="227"/>
    </row>
    <row r="84" spans="1:8" ht="15" customHeight="1" x14ac:dyDescent="0.25">
      <c r="A84" s="75" t="s">
        <v>75</v>
      </c>
      <c r="B84" s="65">
        <v>479279</v>
      </c>
      <c r="C84" s="65">
        <v>611551</v>
      </c>
      <c r="D84" s="65">
        <v>573351</v>
      </c>
      <c r="E84" s="74">
        <f t="shared" si="13"/>
        <v>-38200</v>
      </c>
      <c r="F84" s="70">
        <f t="shared" si="12"/>
        <v>-6.2464128093977445E-2</v>
      </c>
      <c r="G84" s="65">
        <v>573351</v>
      </c>
      <c r="H84" s="227"/>
    </row>
    <row r="85" spans="1:8" s="214" customFormat="1" ht="15" customHeight="1" x14ac:dyDescent="0.25">
      <c r="A85" s="78" t="s">
        <v>76</v>
      </c>
      <c r="B85" s="96">
        <f>SUM(B82:B84)</f>
        <v>2174433</v>
      </c>
      <c r="C85" s="96">
        <f t="shared" ref="C85:D85" si="15">SUM(C82:C84)</f>
        <v>2553775</v>
      </c>
      <c r="D85" s="96">
        <f t="shared" si="15"/>
        <v>2358613</v>
      </c>
      <c r="E85" s="74">
        <f t="shared" si="13"/>
        <v>-195162</v>
      </c>
      <c r="F85" s="81">
        <f t="shared" si="12"/>
        <v>-7.6420984620806459E-2</v>
      </c>
      <c r="G85" s="96">
        <f>SUM(G82:G84)</f>
        <v>2358613</v>
      </c>
      <c r="H85" s="228"/>
    </row>
    <row r="86" spans="1:8" ht="15" customHeight="1" x14ac:dyDescent="0.25">
      <c r="A86" s="75" t="s">
        <v>77</v>
      </c>
      <c r="B86" s="65">
        <v>35923</v>
      </c>
      <c r="C86" s="65">
        <v>41352</v>
      </c>
      <c r="D86" s="65">
        <v>38219</v>
      </c>
      <c r="E86" s="74">
        <f t="shared" si="13"/>
        <v>-3133</v>
      </c>
      <c r="F86" s="70">
        <f t="shared" si="12"/>
        <v>-7.576417101953957E-2</v>
      </c>
      <c r="G86" s="65">
        <v>38219</v>
      </c>
      <c r="H86" s="227"/>
    </row>
    <row r="87" spans="1:8" ht="15" customHeight="1" x14ac:dyDescent="0.25">
      <c r="A87" s="75" t="s">
        <v>78</v>
      </c>
      <c r="B87" s="74">
        <v>49174</v>
      </c>
      <c r="C87" s="74">
        <v>53308</v>
      </c>
      <c r="D87" s="74">
        <v>49174</v>
      </c>
      <c r="E87" s="74">
        <f t="shared" si="13"/>
        <v>-4134</v>
      </c>
      <c r="F87" s="70">
        <f t="shared" si="12"/>
        <v>-7.7549335934568919E-2</v>
      </c>
      <c r="G87" s="74">
        <v>49174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163057</v>
      </c>
      <c r="C89" s="74">
        <v>168475</v>
      </c>
      <c r="D89" s="74">
        <v>154640</v>
      </c>
      <c r="E89" s="74">
        <f t="shared" si="13"/>
        <v>-13835</v>
      </c>
      <c r="F89" s="70">
        <f t="shared" si="12"/>
        <v>-8.211900875500816E-2</v>
      </c>
      <c r="G89" s="74">
        <v>154640</v>
      </c>
      <c r="H89" s="227"/>
    </row>
    <row r="90" spans="1:8" s="214" customFormat="1" ht="15" customHeight="1" x14ac:dyDescent="0.25">
      <c r="A90" s="78" t="s">
        <v>81</v>
      </c>
      <c r="B90" s="80">
        <f>SUM(B86:B89)</f>
        <v>248154</v>
      </c>
      <c r="C90" s="80">
        <f t="shared" ref="C90:D90" si="16">SUM(C86:C89)</f>
        <v>263135</v>
      </c>
      <c r="D90" s="80">
        <f t="shared" si="16"/>
        <v>242033</v>
      </c>
      <c r="E90" s="80">
        <f t="shared" si="13"/>
        <v>-21102</v>
      </c>
      <c r="F90" s="81">
        <f t="shared" si="12"/>
        <v>-8.0194576928192748E-2</v>
      </c>
      <c r="G90" s="80">
        <f>SUM(G86:G89)</f>
        <v>242033</v>
      </c>
      <c r="H90" s="228"/>
    </row>
    <row r="91" spans="1:8" ht="15" customHeight="1" x14ac:dyDescent="0.25">
      <c r="A91" s="75" t="s">
        <v>82</v>
      </c>
      <c r="B91" s="74">
        <v>271895</v>
      </c>
      <c r="C91" s="74">
        <v>418349</v>
      </c>
      <c r="D91" s="74">
        <v>313313</v>
      </c>
      <c r="E91" s="74">
        <f t="shared" si="13"/>
        <v>-105036</v>
      </c>
      <c r="F91" s="70">
        <f t="shared" si="12"/>
        <v>-0.25107266899167918</v>
      </c>
      <c r="G91" s="74">
        <v>313313</v>
      </c>
      <c r="H91" s="227"/>
    </row>
    <row r="92" spans="1:8" ht="15" customHeight="1" x14ac:dyDescent="0.25">
      <c r="A92" s="75" t="s">
        <v>83</v>
      </c>
      <c r="B92" s="74">
        <v>2547</v>
      </c>
      <c r="C92" s="74">
        <v>10593</v>
      </c>
      <c r="D92" s="74">
        <v>1142</v>
      </c>
      <c r="E92" s="74">
        <f t="shared" si="13"/>
        <v>-9451</v>
      </c>
      <c r="F92" s="70">
        <f t="shared" si="12"/>
        <v>-0.89219295761351836</v>
      </c>
      <c r="G92" s="74">
        <v>1142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214" customFormat="1" ht="15" customHeight="1" x14ac:dyDescent="0.25">
      <c r="A94" s="97" t="s">
        <v>85</v>
      </c>
      <c r="B94" s="96">
        <f>SUM(B91:B93)</f>
        <v>274442</v>
      </c>
      <c r="C94" s="96">
        <f t="shared" ref="C94:D94" si="17">SUM(C91:C93)</f>
        <v>428942</v>
      </c>
      <c r="D94" s="96">
        <f t="shared" si="17"/>
        <v>314455</v>
      </c>
      <c r="E94" s="74">
        <f t="shared" si="13"/>
        <v>-114487</v>
      </c>
      <c r="F94" s="81">
        <f t="shared" si="12"/>
        <v>-0.26690554900196295</v>
      </c>
      <c r="G94" s="96">
        <f>SUM(G91:G93)</f>
        <v>314455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214" customFormat="1" ht="15" customHeight="1" thickBot="1" x14ac:dyDescent="0.3">
      <c r="A96" s="195" t="s">
        <v>67</v>
      </c>
      <c r="B96" s="196">
        <f>SUM(B81,B85,B90,B94,B95)</f>
        <v>15492295</v>
      </c>
      <c r="C96" s="196">
        <f t="shared" ref="C96:D96" si="18">SUM(C81,C85,C90,C94,C95)</f>
        <v>16329299</v>
      </c>
      <c r="D96" s="196">
        <f t="shared" si="18"/>
        <v>15268256</v>
      </c>
      <c r="E96" s="196">
        <f>D96-C96</f>
        <v>-1061043</v>
      </c>
      <c r="F96" s="198">
        <f t="shared" si="12"/>
        <v>-6.4977865859397882E-2</v>
      </c>
      <c r="G96" s="196">
        <f>SUM(G81,G85,G90,G94,G95)</f>
        <v>16228256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212"/>
      <c r="H97" s="212"/>
      <c r="I97" s="212"/>
    </row>
    <row r="98" spans="1:9" x14ac:dyDescent="0.25">
      <c r="A98" s="7" t="s">
        <v>197</v>
      </c>
    </row>
    <row r="99" spans="1:9" x14ac:dyDescent="0.25">
      <c r="A99" s="7" t="s">
        <v>190</v>
      </c>
    </row>
  </sheetData>
  <mergeCells count="1">
    <mergeCell ref="G2:G3"/>
  </mergeCells>
  <hyperlinks>
    <hyperlink ref="I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6" t="s">
        <v>111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4092004</v>
      </c>
      <c r="C8" s="69">
        <v>4092004</v>
      </c>
      <c r="D8" s="69">
        <v>3353551</v>
      </c>
      <c r="E8" s="69">
        <f>D8-C8</f>
        <v>-738453</v>
      </c>
      <c r="F8" s="70">
        <f t="shared" ref="F8:F31" si="0">IF(ISBLANK(E8),"  ",IF(C8&gt;0,E8/C8,IF(E8&gt;0,1,0)))</f>
        <v>-0.18046243356555858</v>
      </c>
      <c r="G8" s="69">
        <v>3353551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120138.85</v>
      </c>
      <c r="C10" s="72">
        <f t="shared" ref="C10:D10" si="1">SUM(C11:C31)</f>
        <v>145966</v>
      </c>
      <c r="D10" s="72">
        <f t="shared" si="1"/>
        <v>125040</v>
      </c>
      <c r="E10" s="69">
        <f t="shared" ref="E10:E31" si="2">D10-C10</f>
        <v>-20926</v>
      </c>
      <c r="F10" s="70">
        <f t="shared" si="0"/>
        <v>-0.14336215283011111</v>
      </c>
      <c r="G10" s="72">
        <f>SUM(G11:G31)</f>
        <v>125040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120138.85</v>
      </c>
      <c r="C12" s="74">
        <v>145966</v>
      </c>
      <c r="D12" s="74">
        <v>125040</v>
      </c>
      <c r="E12" s="69">
        <f t="shared" si="2"/>
        <v>-20926</v>
      </c>
      <c r="F12" s="70">
        <f t="shared" si="0"/>
        <v>-0.14336215283011111</v>
      </c>
      <c r="G12" s="74">
        <v>125040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4212142.8499999996</v>
      </c>
      <c r="C37" s="80">
        <f t="shared" ref="C37:D37" si="3">SUM(C8,C9,C10,C33,C35,C36)</f>
        <v>4237970</v>
      </c>
      <c r="D37" s="80">
        <f t="shared" si="3"/>
        <v>3478591</v>
      </c>
      <c r="E37" s="80">
        <f>D37-C37</f>
        <v>-759379</v>
      </c>
      <c r="F37" s="81">
        <f>IF(ISBLANK(E37),"  ",IF(C37&gt;0,E37/C37,IF(E37&gt;0,1,0)))</f>
        <v>-0.17918460961262114</v>
      </c>
      <c r="G37" s="80">
        <f>SUM(G8,G9,G10,G33,G35,G36)</f>
        <v>3478591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1089989</v>
      </c>
      <c r="C41" s="69">
        <v>645000</v>
      </c>
      <c r="D41" s="69">
        <v>0</v>
      </c>
      <c r="E41" s="69">
        <f t="shared" si="5"/>
        <v>-645000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1089989</v>
      </c>
      <c r="C44" s="85">
        <f t="shared" ref="C44:D44" si="6">SUM(C39:C43)</f>
        <v>645000</v>
      </c>
      <c r="D44" s="85">
        <f t="shared" si="6"/>
        <v>0</v>
      </c>
      <c r="E44" s="87">
        <f t="shared" si="5"/>
        <v>-645000</v>
      </c>
      <c r="F44" s="81">
        <f t="shared" si="4"/>
        <v>-1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645000</v>
      </c>
      <c r="C48" s="87">
        <v>645000</v>
      </c>
      <c r="D48" s="87">
        <v>0</v>
      </c>
      <c r="E48" s="87">
        <f>D48-C48</f>
        <v>-645000</v>
      </c>
      <c r="F48" s="81">
        <f>IF(ISBLANK(E48)," ",IF(C48&gt;0,E48/C48,IF(E48&gt;0,1,0)))</f>
        <v>-1</v>
      </c>
      <c r="G48" s="87">
        <v>645000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6368409.2599999988</v>
      </c>
      <c r="C52" s="85">
        <v>6200000</v>
      </c>
      <c r="D52" s="85">
        <v>6200000</v>
      </c>
      <c r="E52" s="85">
        <f>D52-C52</f>
        <v>0</v>
      </c>
      <c r="F52" s="81">
        <f>IF(ISBLANK(E52),"  ",IF(C52&gt;0,E52/C52,IF(E52&gt;0,1,0)))</f>
        <v>0</v>
      </c>
      <c r="G52" s="85">
        <v>6200000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10135563.109999999</v>
      </c>
      <c r="C58" s="85">
        <f t="shared" ref="C58:D58" si="7">SUM(C37,C46,C48,C50,C52,C54,C56)-C44</f>
        <v>10437970</v>
      </c>
      <c r="D58" s="85">
        <f t="shared" si="7"/>
        <v>9678591</v>
      </c>
      <c r="E58" s="85">
        <f>D58-C58</f>
        <v>-759379</v>
      </c>
      <c r="F58" s="81">
        <f>IF(ISBLANK(E58),"  ",IF(C58&gt;0,E58/C58,IF(E58&gt;0,1,0)))</f>
        <v>-7.2751598251384123E-2</v>
      </c>
      <c r="G58" s="85">
        <f>SUM(G37,G46,G48,G50,G52,G54,G56)-G44</f>
        <v>10323591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4499263.3699999992</v>
      </c>
      <c r="C62" s="65">
        <v>4453330</v>
      </c>
      <c r="D62" s="65">
        <v>3654135</v>
      </c>
      <c r="E62" s="232">
        <f>D62-C62</f>
        <v>-799195</v>
      </c>
      <c r="F62" s="70">
        <f t="shared" ref="F62:F75" si="8">IF(ISBLANK(E62),"  ",IF(C62&gt;0,E62/C62,IF(E62&gt;0,1,0)))</f>
        <v>-0.17946008941623459</v>
      </c>
      <c r="G62" s="65">
        <v>4136036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965219.59000000008</v>
      </c>
      <c r="C65" s="74">
        <v>895677</v>
      </c>
      <c r="D65" s="74">
        <v>1006134</v>
      </c>
      <c r="E65" s="232">
        <f t="shared" si="9"/>
        <v>110457</v>
      </c>
      <c r="F65" s="70">
        <f t="shared" si="8"/>
        <v>0.12332235839482314</v>
      </c>
      <c r="G65" s="74">
        <v>1027435.46</v>
      </c>
      <c r="H65" s="227"/>
    </row>
    <row r="66" spans="1:8" ht="15" customHeight="1" x14ac:dyDescent="0.25">
      <c r="A66" s="75" t="s">
        <v>58</v>
      </c>
      <c r="B66" s="74">
        <v>814304.10000000009</v>
      </c>
      <c r="C66" s="74">
        <v>956047</v>
      </c>
      <c r="D66" s="74">
        <v>867718</v>
      </c>
      <c r="E66" s="232">
        <f t="shared" si="9"/>
        <v>-88329</v>
      </c>
      <c r="F66" s="70">
        <f t="shared" si="8"/>
        <v>-9.238980928761871E-2</v>
      </c>
      <c r="G66" s="74">
        <v>923233.3</v>
      </c>
      <c r="H66" s="227"/>
    </row>
    <row r="67" spans="1:8" ht="15" customHeight="1" x14ac:dyDescent="0.25">
      <c r="A67" s="75" t="s">
        <v>59</v>
      </c>
      <c r="B67" s="74">
        <v>2177653.2399999998</v>
      </c>
      <c r="C67" s="74">
        <v>2267335</v>
      </c>
      <c r="D67" s="74">
        <v>2213914</v>
      </c>
      <c r="E67" s="232">
        <f t="shared" si="9"/>
        <v>-53421</v>
      </c>
      <c r="F67" s="70">
        <f t="shared" si="8"/>
        <v>-2.356114116352458E-2</v>
      </c>
      <c r="G67" s="74">
        <v>2219072.21</v>
      </c>
      <c r="H67" s="227"/>
    </row>
    <row r="68" spans="1:8" ht="15" customHeight="1" x14ac:dyDescent="0.25">
      <c r="A68" s="75" t="s">
        <v>60</v>
      </c>
      <c r="B68" s="74">
        <v>5500</v>
      </c>
      <c r="C68" s="74">
        <v>0</v>
      </c>
      <c r="D68" s="74">
        <v>20000</v>
      </c>
      <c r="E68" s="232">
        <f t="shared" si="9"/>
        <v>20000</v>
      </c>
      <c r="F68" s="70">
        <f t="shared" si="8"/>
        <v>1</v>
      </c>
      <c r="G68" s="74">
        <v>20000</v>
      </c>
      <c r="H68" s="227"/>
    </row>
    <row r="69" spans="1:8" ht="15" customHeight="1" x14ac:dyDescent="0.25">
      <c r="A69" s="75" t="s">
        <v>61</v>
      </c>
      <c r="B69" s="74">
        <v>1283664.0100000002</v>
      </c>
      <c r="C69" s="74">
        <v>1456589</v>
      </c>
      <c r="D69" s="74">
        <v>1283687</v>
      </c>
      <c r="E69" s="232">
        <f t="shared" si="9"/>
        <v>-172902</v>
      </c>
      <c r="F69" s="70">
        <f t="shared" si="8"/>
        <v>-0.11870335420629978</v>
      </c>
      <c r="G69" s="74">
        <v>1364810.78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9745604.3099999987</v>
      </c>
      <c r="C70" s="80">
        <f t="shared" ref="C70:D70" si="10">SUM(C62:C69)</f>
        <v>10028978</v>
      </c>
      <c r="D70" s="80">
        <f t="shared" si="10"/>
        <v>9045588</v>
      </c>
      <c r="E70" s="89">
        <f t="shared" si="9"/>
        <v>-983390</v>
      </c>
      <c r="F70" s="81">
        <f t="shared" si="8"/>
        <v>-9.8054856636438925E-2</v>
      </c>
      <c r="G70" s="80">
        <f>SUM(G62:G69)</f>
        <v>9690587.75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301555</v>
      </c>
      <c r="C72" s="74">
        <v>408992</v>
      </c>
      <c r="D72" s="74">
        <v>547429</v>
      </c>
      <c r="E72" s="232">
        <f t="shared" si="9"/>
        <v>138437</v>
      </c>
      <c r="F72" s="70">
        <f t="shared" si="8"/>
        <v>0.3384833933182067</v>
      </c>
      <c r="G72" s="74">
        <v>547429</v>
      </c>
      <c r="H72" s="227"/>
    </row>
    <row r="73" spans="1:8" ht="15" customHeight="1" x14ac:dyDescent="0.25">
      <c r="A73" s="75" t="s">
        <v>65</v>
      </c>
      <c r="B73" s="74">
        <v>88404</v>
      </c>
      <c r="C73" s="74">
        <v>0</v>
      </c>
      <c r="D73" s="74">
        <v>85574</v>
      </c>
      <c r="E73" s="232">
        <f t="shared" si="9"/>
        <v>85574</v>
      </c>
      <c r="F73" s="70">
        <f t="shared" si="8"/>
        <v>1</v>
      </c>
      <c r="G73" s="74">
        <v>85574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10135563.309999999</v>
      </c>
      <c r="C75" s="96">
        <f t="shared" ref="C75:D75" si="11">SUM(C70,C71:C74)</f>
        <v>10437970</v>
      </c>
      <c r="D75" s="96">
        <f t="shared" si="11"/>
        <v>9678591</v>
      </c>
      <c r="E75" s="89">
        <f t="shared" si="9"/>
        <v>-759379</v>
      </c>
      <c r="F75" s="81">
        <f t="shared" si="8"/>
        <v>-7.2751598251384123E-2</v>
      </c>
      <c r="G75" s="96">
        <f>SUM(G70,G71:G74)</f>
        <v>10323590.75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5918378.8900000006</v>
      </c>
      <c r="C78" s="69">
        <v>6218398</v>
      </c>
      <c r="D78" s="69">
        <v>5549631</v>
      </c>
      <c r="E78" s="65">
        <f>D78-C78</f>
        <v>-668767</v>
      </c>
      <c r="F78" s="70">
        <f t="shared" ref="F78:F96" si="12">IF(ISBLANK(E78),"  ",IF(C78&gt;0,E78/C78,IF(E78&gt;0,1,0)))</f>
        <v>-0.1075465095672551</v>
      </c>
      <c r="G78" s="69">
        <v>6036429.1900000004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2417684.75</v>
      </c>
      <c r="C80" s="65">
        <v>2569581</v>
      </c>
      <c r="D80" s="65">
        <v>2309668</v>
      </c>
      <c r="E80" s="74">
        <f t="shared" ref="E80:E95" si="13">D80-C80</f>
        <v>-259913</v>
      </c>
      <c r="F80" s="70">
        <f t="shared" si="12"/>
        <v>-0.10114995401974096</v>
      </c>
      <c r="G80" s="65">
        <v>2467869.56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8336063.6400000006</v>
      </c>
      <c r="C81" s="96">
        <f t="shared" ref="C81:D81" si="14">SUM(C78:C80)</f>
        <v>8787979</v>
      </c>
      <c r="D81" s="96">
        <f t="shared" si="14"/>
        <v>7859299</v>
      </c>
      <c r="E81" s="80">
        <f t="shared" si="13"/>
        <v>-928680</v>
      </c>
      <c r="F81" s="81">
        <f t="shared" si="12"/>
        <v>-0.10567617423755792</v>
      </c>
      <c r="G81" s="96">
        <f>SUM(G78:G80)</f>
        <v>8504298.75</v>
      </c>
      <c r="H81" s="228"/>
    </row>
    <row r="82" spans="1:8" ht="15" customHeight="1" x14ac:dyDescent="0.25">
      <c r="A82" s="75" t="s">
        <v>73</v>
      </c>
      <c r="B82" s="72">
        <v>20867.04</v>
      </c>
      <c r="C82" s="72">
        <v>31950</v>
      </c>
      <c r="D82" s="72">
        <v>2500</v>
      </c>
      <c r="E82" s="74">
        <f t="shared" si="13"/>
        <v>-29450</v>
      </c>
      <c r="F82" s="70">
        <f t="shared" si="12"/>
        <v>-0.92175273865414709</v>
      </c>
      <c r="G82" s="72">
        <v>2500</v>
      </c>
      <c r="H82" s="227"/>
    </row>
    <row r="83" spans="1:8" ht="15" customHeight="1" x14ac:dyDescent="0.25">
      <c r="A83" s="75" t="s">
        <v>74</v>
      </c>
      <c r="B83" s="69">
        <v>1068424.43</v>
      </c>
      <c r="C83" s="69">
        <v>834330</v>
      </c>
      <c r="D83" s="69">
        <v>866975</v>
      </c>
      <c r="E83" s="74">
        <f t="shared" si="13"/>
        <v>32645</v>
      </c>
      <c r="F83" s="70">
        <f t="shared" si="12"/>
        <v>3.9127203864178443E-2</v>
      </c>
      <c r="G83" s="69">
        <v>866975</v>
      </c>
      <c r="H83" s="227"/>
    </row>
    <row r="84" spans="1:8" ht="15" customHeight="1" x14ac:dyDescent="0.25">
      <c r="A84" s="75" t="s">
        <v>75</v>
      </c>
      <c r="B84" s="65">
        <v>234384.81999999998</v>
      </c>
      <c r="C84" s="65">
        <v>198750</v>
      </c>
      <c r="D84" s="65">
        <v>228194</v>
      </c>
      <c r="E84" s="74">
        <f t="shared" si="13"/>
        <v>29444</v>
      </c>
      <c r="F84" s="70">
        <f t="shared" si="12"/>
        <v>0.14814591194968554</v>
      </c>
      <c r="G84" s="65">
        <v>228194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1323676.29</v>
      </c>
      <c r="C85" s="96">
        <f t="shared" ref="C85:D85" si="15">SUM(C82:C84)</f>
        <v>1065030</v>
      </c>
      <c r="D85" s="96">
        <f t="shared" si="15"/>
        <v>1097669</v>
      </c>
      <c r="E85" s="74">
        <f t="shared" si="13"/>
        <v>32639</v>
      </c>
      <c r="F85" s="81">
        <f t="shared" si="12"/>
        <v>3.0646085086805067E-2</v>
      </c>
      <c r="G85" s="96">
        <f>SUM(G82:G84)</f>
        <v>1097669</v>
      </c>
      <c r="H85" s="228"/>
    </row>
    <row r="86" spans="1:8" ht="15" customHeight="1" x14ac:dyDescent="0.25">
      <c r="A86" s="75" t="s">
        <v>77</v>
      </c>
      <c r="B86" s="65">
        <v>54841.56</v>
      </c>
      <c r="C86" s="65">
        <v>140769</v>
      </c>
      <c r="D86" s="65">
        <v>68620</v>
      </c>
      <c r="E86" s="74">
        <f t="shared" si="13"/>
        <v>-72149</v>
      </c>
      <c r="F86" s="70">
        <f t="shared" si="12"/>
        <v>-0.51253472000227318</v>
      </c>
      <c r="G86" s="65">
        <v>68620</v>
      </c>
      <c r="H86" s="227"/>
    </row>
    <row r="87" spans="1:8" ht="15" customHeight="1" x14ac:dyDescent="0.25">
      <c r="A87" s="75" t="s">
        <v>78</v>
      </c>
      <c r="B87" s="74">
        <v>217151.84</v>
      </c>
      <c r="C87" s="74">
        <v>106218</v>
      </c>
      <c r="D87" s="74">
        <v>203600</v>
      </c>
      <c r="E87" s="74">
        <f t="shared" si="13"/>
        <v>97382</v>
      </c>
      <c r="F87" s="70">
        <f t="shared" si="12"/>
        <v>0.91681259296917661</v>
      </c>
      <c r="G87" s="74">
        <v>203600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193687</v>
      </c>
      <c r="C89" s="74">
        <v>303274</v>
      </c>
      <c r="D89" s="74">
        <v>449403</v>
      </c>
      <c r="E89" s="74">
        <f t="shared" si="13"/>
        <v>146129</v>
      </c>
      <c r="F89" s="70">
        <f t="shared" si="12"/>
        <v>0.48183820571496405</v>
      </c>
      <c r="G89" s="74">
        <v>449403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465680.4</v>
      </c>
      <c r="C90" s="80">
        <f t="shared" ref="C90:D90" si="16">SUM(C86:C89)</f>
        <v>550261</v>
      </c>
      <c r="D90" s="80">
        <f t="shared" si="16"/>
        <v>721623</v>
      </c>
      <c r="E90" s="80">
        <f t="shared" si="13"/>
        <v>171362</v>
      </c>
      <c r="F90" s="81">
        <f t="shared" si="12"/>
        <v>0.31141949002382507</v>
      </c>
      <c r="G90" s="80">
        <f>SUM(G86:G89)</f>
        <v>721623</v>
      </c>
      <c r="H90" s="228"/>
    </row>
    <row r="91" spans="1:8" ht="15" customHeight="1" x14ac:dyDescent="0.25">
      <c r="A91" s="75" t="s">
        <v>82</v>
      </c>
      <c r="B91" s="74">
        <v>9904.36</v>
      </c>
      <c r="C91" s="74">
        <v>22500</v>
      </c>
      <c r="D91" s="74">
        <v>0</v>
      </c>
      <c r="E91" s="74">
        <f t="shared" si="13"/>
        <v>-22500</v>
      </c>
      <c r="F91" s="70">
        <f t="shared" si="12"/>
        <v>-1</v>
      </c>
      <c r="G91" s="74">
        <v>0</v>
      </c>
      <c r="H91" s="227"/>
    </row>
    <row r="92" spans="1:8" ht="15" customHeight="1" x14ac:dyDescent="0.25">
      <c r="A92" s="75" t="s">
        <v>83</v>
      </c>
      <c r="B92" s="74">
        <v>238.02</v>
      </c>
      <c r="C92" s="74">
        <v>12200</v>
      </c>
      <c r="D92" s="74">
        <v>0</v>
      </c>
      <c r="E92" s="74">
        <f t="shared" si="13"/>
        <v>-12200</v>
      </c>
      <c r="F92" s="70">
        <f t="shared" si="12"/>
        <v>-1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10142.380000000001</v>
      </c>
      <c r="C94" s="96">
        <f t="shared" ref="C94:D94" si="17">SUM(C91:C93)</f>
        <v>34700</v>
      </c>
      <c r="D94" s="96">
        <f t="shared" si="17"/>
        <v>0</v>
      </c>
      <c r="E94" s="74">
        <f t="shared" si="13"/>
        <v>-34700</v>
      </c>
      <c r="F94" s="81">
        <f t="shared" si="12"/>
        <v>-1</v>
      </c>
      <c r="G94" s="96">
        <f>SUM(G91:G93)</f>
        <v>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10135562.710000001</v>
      </c>
      <c r="C96" s="196">
        <f t="shared" ref="C96:D96" si="18">SUM(C81,C85,C90,C94,C95)</f>
        <v>10437970</v>
      </c>
      <c r="D96" s="196">
        <f t="shared" si="18"/>
        <v>9678591</v>
      </c>
      <c r="E96" s="196">
        <f>D96-C96</f>
        <v>-759379</v>
      </c>
      <c r="F96" s="198">
        <f t="shared" si="12"/>
        <v>-7.2751598251384123E-2</v>
      </c>
      <c r="G96" s="196">
        <f>SUM(G81,G85,G90,G94,G95)</f>
        <v>10323590.75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6" t="s">
        <v>113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5899268</v>
      </c>
      <c r="C8" s="69">
        <v>5899268</v>
      </c>
      <c r="D8" s="69">
        <v>4863587</v>
      </c>
      <c r="E8" s="69">
        <f>D8-C8</f>
        <v>-1035681</v>
      </c>
      <c r="F8" s="70">
        <f t="shared" ref="F8:F31" si="0">IF(ISBLANK(E8),"  ",IF(C8&gt;0,E8/C8,IF(E8&gt;0,1,0)))</f>
        <v>-0.17556093400062517</v>
      </c>
      <c r="G8" s="69">
        <v>4863587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198228</v>
      </c>
      <c r="C10" s="72">
        <f t="shared" ref="C10:D10" si="1">SUM(C11:C31)</f>
        <v>240843</v>
      </c>
      <c r="D10" s="72">
        <f t="shared" si="1"/>
        <v>206315</v>
      </c>
      <c r="E10" s="69">
        <f t="shared" ref="E10:E31" si="2">D10-C10</f>
        <v>-34528</v>
      </c>
      <c r="F10" s="70">
        <f t="shared" si="0"/>
        <v>-0.14336310376469319</v>
      </c>
      <c r="G10" s="72">
        <f>SUM(G11:G31)</f>
        <v>206315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198228</v>
      </c>
      <c r="C12" s="74">
        <v>240843</v>
      </c>
      <c r="D12" s="74">
        <v>206315</v>
      </c>
      <c r="E12" s="69">
        <f t="shared" si="2"/>
        <v>-34528</v>
      </c>
      <c r="F12" s="70">
        <f t="shared" si="0"/>
        <v>-0.14336310376469319</v>
      </c>
      <c r="G12" s="74">
        <v>206315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6097496</v>
      </c>
      <c r="C37" s="80">
        <f t="shared" ref="C37:D37" si="3">SUM(C8,C9,C10,C33,C35,C36)</f>
        <v>6140111</v>
      </c>
      <c r="D37" s="80">
        <f t="shared" si="3"/>
        <v>5069902</v>
      </c>
      <c r="E37" s="80">
        <f>D37-C37</f>
        <v>-1070209</v>
      </c>
      <c r="F37" s="81">
        <f>IF(ISBLANK(E37),"  ",IF(C37&gt;0,E37/C37,IF(E37&gt;0,1,0)))</f>
        <v>-0.17429798907544181</v>
      </c>
      <c r="G37" s="80">
        <f>SUM(G8,G9,G10,G33,G35,G36)</f>
        <v>5069902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5681410</v>
      </c>
      <c r="C41" s="69">
        <v>900000</v>
      </c>
      <c r="D41" s="69">
        <v>0</v>
      </c>
      <c r="E41" s="69">
        <f t="shared" si="5"/>
        <v>-900000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5681410</v>
      </c>
      <c r="C44" s="85">
        <f t="shared" ref="C44:D44" si="6">SUM(C39:C43)</f>
        <v>900000</v>
      </c>
      <c r="D44" s="85">
        <f t="shared" si="6"/>
        <v>0</v>
      </c>
      <c r="E44" s="87">
        <f t="shared" si="5"/>
        <v>-900000</v>
      </c>
      <c r="F44" s="81">
        <f t="shared" si="4"/>
        <v>-1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900000</v>
      </c>
      <c r="C48" s="87">
        <v>900000</v>
      </c>
      <c r="D48" s="87">
        <v>0</v>
      </c>
      <c r="E48" s="87">
        <f>D48-C48</f>
        <v>-900000</v>
      </c>
      <c r="F48" s="81">
        <f>IF(ISBLANK(E48)," ",IF(C48&gt;0,E48/C48,IF(E48&gt;0,1,0)))</f>
        <v>-1</v>
      </c>
      <c r="G48" s="87">
        <v>900000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11295033</v>
      </c>
      <c r="C52" s="85">
        <v>8755000</v>
      </c>
      <c r="D52" s="85">
        <v>9595000</v>
      </c>
      <c r="E52" s="85">
        <f>D52-C52</f>
        <v>840000</v>
      </c>
      <c r="F52" s="81">
        <f>IF(ISBLANK(E52),"  ",IF(C52&gt;0,E52/C52,IF(E52&gt;0,1,0)))</f>
        <v>9.594517418617933E-2</v>
      </c>
      <c r="G52" s="85">
        <v>9595000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12611119</v>
      </c>
      <c r="C58" s="85">
        <f t="shared" ref="C58:D58" si="7">SUM(C37,C46,C48,C50,C52,C54,C56)-C44</f>
        <v>14895111</v>
      </c>
      <c r="D58" s="85">
        <f t="shared" si="7"/>
        <v>14664902</v>
      </c>
      <c r="E58" s="85">
        <f>D58-C58</f>
        <v>-230209</v>
      </c>
      <c r="F58" s="81">
        <f>IF(ISBLANK(E58),"  ",IF(C58&gt;0,E58/C58,IF(E58&gt;0,1,0)))</f>
        <v>-1.5455339674877213E-2</v>
      </c>
      <c r="G58" s="85">
        <f>SUM(G37,G46,G48,G50,G52,G54,G56)-G44</f>
        <v>15564902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5911775</v>
      </c>
      <c r="C62" s="65">
        <v>6905000</v>
      </c>
      <c r="D62" s="65">
        <v>6531000</v>
      </c>
      <c r="E62" s="232">
        <f>D62-C62</f>
        <v>-374000</v>
      </c>
      <c r="F62" s="70">
        <f t="shared" ref="F62:F75" si="8">IF(ISBLANK(E62),"  ",IF(C62&gt;0,E62/C62,IF(E62&gt;0,1,0)))</f>
        <v>-5.4163649529326577E-2</v>
      </c>
      <c r="G62" s="65">
        <v>7224909.4199999999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824738</v>
      </c>
      <c r="C65" s="74">
        <v>1315000</v>
      </c>
      <c r="D65" s="74">
        <v>895000</v>
      </c>
      <c r="E65" s="232">
        <f t="shared" si="9"/>
        <v>-420000</v>
      </c>
      <c r="F65" s="70">
        <f t="shared" si="8"/>
        <v>-0.3193916349809886</v>
      </c>
      <c r="G65" s="74">
        <v>944731.9</v>
      </c>
      <c r="H65" s="227"/>
    </row>
    <row r="66" spans="1:8" ht="15" customHeight="1" x14ac:dyDescent="0.25">
      <c r="A66" s="75" t="s">
        <v>58</v>
      </c>
      <c r="B66" s="74">
        <v>1520168</v>
      </c>
      <c r="C66" s="74">
        <v>1316000</v>
      </c>
      <c r="D66" s="74">
        <v>1584000</v>
      </c>
      <c r="E66" s="232">
        <f t="shared" si="9"/>
        <v>268000</v>
      </c>
      <c r="F66" s="70">
        <f t="shared" si="8"/>
        <v>0.20364741641337386</v>
      </c>
      <c r="G66" s="74">
        <v>1648299.55</v>
      </c>
      <c r="H66" s="227"/>
    </row>
    <row r="67" spans="1:8" ht="15" customHeight="1" x14ac:dyDescent="0.25">
      <c r="A67" s="75" t="s">
        <v>59</v>
      </c>
      <c r="B67" s="74">
        <v>2323895</v>
      </c>
      <c r="C67" s="74">
        <v>2704581</v>
      </c>
      <c r="D67" s="74">
        <v>3262828</v>
      </c>
      <c r="E67" s="232">
        <f t="shared" si="9"/>
        <v>558247</v>
      </c>
      <c r="F67" s="70">
        <f t="shared" si="8"/>
        <v>0.20640794267208118</v>
      </c>
      <c r="G67" s="74">
        <v>3639446.48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232">
        <f t="shared" si="9"/>
        <v>0</v>
      </c>
      <c r="F68" s="70">
        <f t="shared" si="8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1726513</v>
      </c>
      <c r="C69" s="74">
        <v>2350500</v>
      </c>
      <c r="D69" s="74">
        <v>2090000</v>
      </c>
      <c r="E69" s="232">
        <f t="shared" si="9"/>
        <v>-260500</v>
      </c>
      <c r="F69" s="70">
        <f t="shared" si="8"/>
        <v>-0.11082748351414592</v>
      </c>
      <c r="G69" s="74">
        <v>2107514.65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12307089</v>
      </c>
      <c r="C70" s="80">
        <f t="shared" ref="C70:D70" si="10">SUM(C62:C69)</f>
        <v>14591081</v>
      </c>
      <c r="D70" s="80">
        <f t="shared" si="10"/>
        <v>14362828</v>
      </c>
      <c r="E70" s="89">
        <f t="shared" si="9"/>
        <v>-228253</v>
      </c>
      <c r="F70" s="81">
        <f t="shared" si="8"/>
        <v>-1.5643323479596884E-2</v>
      </c>
      <c r="G70" s="80">
        <f>SUM(G62:G69)</f>
        <v>15564902.000000002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304030</v>
      </c>
      <c r="C72" s="74">
        <v>0</v>
      </c>
      <c r="D72" s="74">
        <v>302074</v>
      </c>
      <c r="E72" s="232">
        <f t="shared" si="9"/>
        <v>302074</v>
      </c>
      <c r="F72" s="70">
        <f t="shared" si="8"/>
        <v>1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304030</v>
      </c>
      <c r="D74" s="74">
        <v>0</v>
      </c>
      <c r="E74" s="232">
        <f t="shared" si="9"/>
        <v>-304030</v>
      </c>
      <c r="F74" s="70">
        <f t="shared" si="8"/>
        <v>-1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12611119</v>
      </c>
      <c r="C75" s="96">
        <f t="shared" ref="C75:D75" si="11">SUM(C70,C71:C74)</f>
        <v>14895111</v>
      </c>
      <c r="D75" s="96">
        <f t="shared" si="11"/>
        <v>14664902</v>
      </c>
      <c r="E75" s="89">
        <f t="shared" si="9"/>
        <v>-230209</v>
      </c>
      <c r="F75" s="81">
        <f t="shared" si="8"/>
        <v>-1.5455339674877213E-2</v>
      </c>
      <c r="G75" s="96">
        <f>SUM(G70,G71:G74)</f>
        <v>15564902.000000002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6530177</v>
      </c>
      <c r="C78" s="69">
        <v>8000000</v>
      </c>
      <c r="D78" s="69">
        <v>7350000</v>
      </c>
      <c r="E78" s="65">
        <f>D78-C78</f>
        <v>-650000</v>
      </c>
      <c r="F78" s="70">
        <f t="shared" ref="F78:F96" si="12">IF(ISBLANK(E78),"  ",IF(C78&gt;0,E78/C78,IF(E78&gt;0,1,0)))</f>
        <v>-8.1250000000000003E-2</v>
      </c>
      <c r="G78" s="69">
        <v>8018411.4199999999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2741788.0000000005</v>
      </c>
      <c r="C80" s="65">
        <v>2855000.0000000005</v>
      </c>
      <c r="D80" s="65">
        <v>2955000</v>
      </c>
      <c r="E80" s="74">
        <f t="shared" ref="E80:E95" si="13">D80-C80</f>
        <v>99999.999999999534</v>
      </c>
      <c r="F80" s="70">
        <f t="shared" si="12"/>
        <v>3.5026269702276541E-2</v>
      </c>
      <c r="G80" s="65">
        <v>3186588.58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9271965</v>
      </c>
      <c r="C81" s="96">
        <f t="shared" ref="C81:D81" si="14">SUM(C78:C80)</f>
        <v>10855000</v>
      </c>
      <c r="D81" s="96">
        <f t="shared" si="14"/>
        <v>10305000</v>
      </c>
      <c r="E81" s="80">
        <f t="shared" si="13"/>
        <v>-550000</v>
      </c>
      <c r="F81" s="81">
        <f t="shared" si="12"/>
        <v>-5.0667894979272224E-2</v>
      </c>
      <c r="G81" s="96">
        <f>SUM(G78:G80)</f>
        <v>11205000</v>
      </c>
      <c r="H81" s="228"/>
    </row>
    <row r="82" spans="1:8" ht="15" customHeight="1" x14ac:dyDescent="0.25">
      <c r="A82" s="75" t="s">
        <v>73</v>
      </c>
      <c r="B82" s="72">
        <v>56419</v>
      </c>
      <c r="C82" s="72">
        <v>145500</v>
      </c>
      <c r="D82" s="72">
        <v>10000</v>
      </c>
      <c r="E82" s="74">
        <f t="shared" si="13"/>
        <v>-135500</v>
      </c>
      <c r="F82" s="70">
        <f t="shared" si="12"/>
        <v>-0.93127147766323026</v>
      </c>
      <c r="G82" s="72">
        <v>10000</v>
      </c>
      <c r="H82" s="227"/>
    </row>
    <row r="83" spans="1:8" ht="15" customHeight="1" x14ac:dyDescent="0.25">
      <c r="A83" s="75" t="s">
        <v>74</v>
      </c>
      <c r="B83" s="69">
        <v>1539923</v>
      </c>
      <c r="C83" s="69">
        <v>2065000</v>
      </c>
      <c r="D83" s="69">
        <v>1658000</v>
      </c>
      <c r="E83" s="74">
        <f t="shared" si="13"/>
        <v>-407000</v>
      </c>
      <c r="F83" s="70">
        <f t="shared" si="12"/>
        <v>-0.19709443099273607</v>
      </c>
      <c r="G83" s="69">
        <v>1658000</v>
      </c>
      <c r="H83" s="227"/>
    </row>
    <row r="84" spans="1:8" ht="15" customHeight="1" x14ac:dyDescent="0.25">
      <c r="A84" s="75" t="s">
        <v>75</v>
      </c>
      <c r="B84" s="65">
        <v>498294</v>
      </c>
      <c r="C84" s="65">
        <v>685000</v>
      </c>
      <c r="D84" s="65">
        <v>670000</v>
      </c>
      <c r="E84" s="74">
        <f t="shared" si="13"/>
        <v>-15000</v>
      </c>
      <c r="F84" s="70">
        <f t="shared" si="12"/>
        <v>-2.1897810218978103E-2</v>
      </c>
      <c r="G84" s="65">
        <v>670000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2094636</v>
      </c>
      <c r="C85" s="96">
        <f t="shared" ref="C85:D85" si="15">SUM(C82:C84)</f>
        <v>2895500</v>
      </c>
      <c r="D85" s="96">
        <f t="shared" si="15"/>
        <v>2338000</v>
      </c>
      <c r="E85" s="74">
        <f t="shared" si="13"/>
        <v>-557500</v>
      </c>
      <c r="F85" s="81">
        <f t="shared" si="12"/>
        <v>-0.19254014850630288</v>
      </c>
      <c r="G85" s="96">
        <f>SUM(G82:G84)</f>
        <v>2338000</v>
      </c>
      <c r="H85" s="228"/>
    </row>
    <row r="86" spans="1:8" ht="15" customHeight="1" x14ac:dyDescent="0.25">
      <c r="A86" s="75" t="s">
        <v>77</v>
      </c>
      <c r="B86" s="65">
        <v>679247</v>
      </c>
      <c r="C86" s="65">
        <v>840581</v>
      </c>
      <c r="D86" s="65">
        <v>1719828</v>
      </c>
      <c r="E86" s="74">
        <f t="shared" si="13"/>
        <v>879247</v>
      </c>
      <c r="F86" s="70">
        <f t="shared" si="12"/>
        <v>1.0459991363116701</v>
      </c>
      <c r="G86" s="65">
        <v>2021902</v>
      </c>
      <c r="H86" s="227"/>
    </row>
    <row r="87" spans="1:8" ht="15" customHeight="1" x14ac:dyDescent="0.25">
      <c r="A87" s="75" t="s">
        <v>78</v>
      </c>
      <c r="B87" s="74">
        <v>48082</v>
      </c>
      <c r="C87" s="74">
        <v>0</v>
      </c>
      <c r="D87" s="74">
        <v>0</v>
      </c>
      <c r="E87" s="74">
        <f t="shared" si="13"/>
        <v>0</v>
      </c>
      <c r="F87" s="70">
        <f t="shared" si="12"/>
        <v>0</v>
      </c>
      <c r="G87" s="74">
        <v>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304030</v>
      </c>
      <c r="C89" s="74">
        <v>304030</v>
      </c>
      <c r="D89" s="74">
        <v>302074</v>
      </c>
      <c r="E89" s="74">
        <f t="shared" si="13"/>
        <v>-1956</v>
      </c>
      <c r="F89" s="70">
        <f t="shared" si="12"/>
        <v>-6.4335756339834885E-3</v>
      </c>
      <c r="G89" s="74">
        <v>0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1031359</v>
      </c>
      <c r="C90" s="80">
        <f t="shared" ref="C90:D90" si="16">SUM(C86:C89)</f>
        <v>1144611</v>
      </c>
      <c r="D90" s="80">
        <f t="shared" si="16"/>
        <v>2021902</v>
      </c>
      <c r="E90" s="80">
        <f t="shared" si="13"/>
        <v>877291</v>
      </c>
      <c r="F90" s="81">
        <f t="shared" si="12"/>
        <v>0.76645340644114024</v>
      </c>
      <c r="G90" s="80">
        <f>SUM(G86:G89)</f>
        <v>2021902</v>
      </c>
      <c r="H90" s="228"/>
    </row>
    <row r="91" spans="1:8" ht="15" customHeight="1" x14ac:dyDescent="0.25">
      <c r="A91" s="75" t="s">
        <v>82</v>
      </c>
      <c r="B91" s="74">
        <v>213159</v>
      </c>
      <c r="C91" s="74">
        <v>0</v>
      </c>
      <c r="D91" s="74">
        <v>0</v>
      </c>
      <c r="E91" s="74">
        <f t="shared" si="13"/>
        <v>0</v>
      </c>
      <c r="F91" s="70">
        <f t="shared" si="12"/>
        <v>0</v>
      </c>
      <c r="G91" s="74">
        <v>0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213159</v>
      </c>
      <c r="C94" s="96">
        <f t="shared" ref="C94:D94" si="17">SUM(C91:C93)</f>
        <v>0</v>
      </c>
      <c r="D94" s="96">
        <f t="shared" si="17"/>
        <v>0</v>
      </c>
      <c r="E94" s="74">
        <f t="shared" si="13"/>
        <v>0</v>
      </c>
      <c r="F94" s="81">
        <f t="shared" si="12"/>
        <v>0</v>
      </c>
      <c r="G94" s="96">
        <f>SUM(G91:G93)</f>
        <v>0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12611119</v>
      </c>
      <c r="C96" s="196">
        <f t="shared" ref="C96:D96" si="18">SUM(C81,C85,C90,C94,C95)</f>
        <v>14895111</v>
      </c>
      <c r="D96" s="196">
        <f t="shared" si="18"/>
        <v>14664902</v>
      </c>
      <c r="E96" s="196">
        <f>D96-C96</f>
        <v>-230209</v>
      </c>
      <c r="F96" s="198">
        <f t="shared" si="12"/>
        <v>-1.5455339674877213E-2</v>
      </c>
      <c r="G96" s="196">
        <f>SUM(G81,G85,G90,G94,G95)</f>
        <v>15564902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6" t="s">
        <v>114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13958457</v>
      </c>
      <c r="C8" s="69">
        <v>13958457</v>
      </c>
      <c r="D8" s="69">
        <v>11559709</v>
      </c>
      <c r="E8" s="69">
        <f>D8-C8</f>
        <v>-2398748</v>
      </c>
      <c r="F8" s="70">
        <f t="shared" ref="F8:F31" si="0">IF(ISBLANK(E8),"  ",IF(C8&gt;0,E8/C8,IF(E8&gt;0,1,0)))</f>
        <v>-0.17184908045352004</v>
      </c>
      <c r="G8" s="69">
        <v>11559709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613744</v>
      </c>
      <c r="C10" s="72">
        <f t="shared" ref="C10:D10" si="1">SUM(C11:C31)</f>
        <v>745685</v>
      </c>
      <c r="D10" s="72">
        <f t="shared" si="1"/>
        <v>638782</v>
      </c>
      <c r="E10" s="69">
        <f t="shared" ref="E10:E31" si="2">D10-C10</f>
        <v>-106903</v>
      </c>
      <c r="F10" s="70">
        <f t="shared" si="0"/>
        <v>-0.14336214353245674</v>
      </c>
      <c r="G10" s="72">
        <f>SUM(G11:G31)</f>
        <v>638782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613744</v>
      </c>
      <c r="C12" s="74">
        <v>745685</v>
      </c>
      <c r="D12" s="74">
        <v>638782</v>
      </c>
      <c r="E12" s="69">
        <f t="shared" si="2"/>
        <v>-106903</v>
      </c>
      <c r="F12" s="70">
        <f t="shared" si="0"/>
        <v>-0.14336214353245674</v>
      </c>
      <c r="G12" s="74">
        <v>638782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14572201</v>
      </c>
      <c r="C37" s="80">
        <f t="shared" ref="C37:D37" si="3">SUM(C8,C9,C10,C33,C35,C36)</f>
        <v>14704142</v>
      </c>
      <c r="D37" s="80">
        <f t="shared" si="3"/>
        <v>12198491</v>
      </c>
      <c r="E37" s="80">
        <f>D37-C37</f>
        <v>-2505651</v>
      </c>
      <c r="F37" s="81">
        <f>IF(ISBLANK(E37),"  ",IF(C37&gt;0,E37/C37,IF(E37&gt;0,1,0)))</f>
        <v>-0.17040443434237781</v>
      </c>
      <c r="G37" s="80">
        <f>SUM(G8,G9,G10,G33,G35,G36)</f>
        <v>12198491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2076000</v>
      </c>
      <c r="C41" s="69">
        <v>2076000</v>
      </c>
      <c r="D41" s="69">
        <v>0</v>
      </c>
      <c r="E41" s="69">
        <f t="shared" si="5"/>
        <v>-2076000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2076000</v>
      </c>
      <c r="C44" s="85">
        <f t="shared" ref="C44:D44" si="6">SUM(C39:C43)</f>
        <v>2076000</v>
      </c>
      <c r="D44" s="85">
        <f t="shared" si="6"/>
        <v>0</v>
      </c>
      <c r="E44" s="87">
        <f t="shared" si="5"/>
        <v>-2076000</v>
      </c>
      <c r="F44" s="81">
        <f t="shared" si="4"/>
        <v>-1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2076000</v>
      </c>
      <c r="C48" s="87">
        <v>2076000</v>
      </c>
      <c r="D48" s="87">
        <v>0</v>
      </c>
      <c r="E48" s="87">
        <f>D48-C48</f>
        <v>-2076000</v>
      </c>
      <c r="F48" s="81">
        <f>IF(ISBLANK(E48)," ",IF(C48&gt;0,E48/C48,IF(E48&gt;0,1,0)))</f>
        <v>-1</v>
      </c>
      <c r="G48" s="87">
        <v>2076000</v>
      </c>
      <c r="H48" s="228"/>
    </row>
    <row r="49" spans="1:9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9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9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9" s="124" customFormat="1" ht="15" customHeight="1" x14ac:dyDescent="0.25">
      <c r="A52" s="77" t="s">
        <v>49</v>
      </c>
      <c r="B52" s="85">
        <v>18250000</v>
      </c>
      <c r="C52" s="85">
        <v>18250000</v>
      </c>
      <c r="D52" s="85">
        <v>18250000</v>
      </c>
      <c r="E52" s="85">
        <f>D52-C52</f>
        <v>0</v>
      </c>
      <c r="F52" s="81">
        <f>IF(ISBLANK(E52),"  ",IF(C52&gt;0,E52/C52,IF(E52&gt;0,1,0)))</f>
        <v>0</v>
      </c>
      <c r="G52" s="85">
        <v>18250000</v>
      </c>
      <c r="H52" s="228"/>
    </row>
    <row r="53" spans="1:9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9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9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9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9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9" s="124" customFormat="1" ht="15" customHeight="1" x14ac:dyDescent="0.25">
      <c r="A58" s="91" t="s">
        <v>52</v>
      </c>
      <c r="B58" s="85">
        <f>SUM(B37,B46,B48,B50,B52,B54,B56)-B44</f>
        <v>32822201</v>
      </c>
      <c r="C58" s="85">
        <f t="shared" ref="C58:D58" si="7">SUM(C37,C46,C48,C50,C52,C54,C56)-C44</f>
        <v>32954142</v>
      </c>
      <c r="D58" s="85">
        <f t="shared" si="7"/>
        <v>30448491</v>
      </c>
      <c r="E58" s="85">
        <f>D58-C58</f>
        <v>-2505651</v>
      </c>
      <c r="F58" s="81">
        <f>IF(ISBLANK(E58),"  ",IF(C58&gt;0,E58/C58,IF(E58&gt;0,1,0)))</f>
        <v>-7.6034478457973509E-2</v>
      </c>
      <c r="G58" s="85">
        <f>SUM(G37,G46,G48,G50,G52,G54,G56)-G44</f>
        <v>32524491</v>
      </c>
      <c r="H58" s="228"/>
    </row>
    <row r="59" spans="1:9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9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9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9" ht="15" customHeight="1" x14ac:dyDescent="0.25">
      <c r="A62" s="73" t="s">
        <v>54</v>
      </c>
      <c r="B62" s="65">
        <v>16873569</v>
      </c>
      <c r="C62" s="65">
        <v>17005511</v>
      </c>
      <c r="D62" s="65">
        <v>14687748</v>
      </c>
      <c r="E62" s="232">
        <f>D62-C62</f>
        <v>-2317763</v>
      </c>
      <c r="F62" s="70">
        <f t="shared" ref="F62:F75" si="8">IF(ISBLANK(E62),"  ",IF(C62&gt;0,E62/C62,IF(E62&gt;0,1,0)))</f>
        <v>-0.13629481642745109</v>
      </c>
      <c r="G62" s="65">
        <v>16283748</v>
      </c>
      <c r="H62" s="227"/>
      <c r="I62" s="187"/>
    </row>
    <row r="63" spans="1:9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  <c r="I63" s="187"/>
    </row>
    <row r="64" spans="1:9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  <c r="I64" s="187"/>
    </row>
    <row r="65" spans="1:9" ht="15" customHeight="1" x14ac:dyDescent="0.25">
      <c r="A65" s="75" t="s">
        <v>57</v>
      </c>
      <c r="B65" s="74">
        <v>2938558</v>
      </c>
      <c r="C65" s="74">
        <v>2938558</v>
      </c>
      <c r="D65" s="74">
        <v>2924377</v>
      </c>
      <c r="E65" s="232">
        <f t="shared" si="9"/>
        <v>-14181</v>
      </c>
      <c r="F65" s="70">
        <f t="shared" si="8"/>
        <v>-4.8258363455817447E-3</v>
      </c>
      <c r="G65" s="74">
        <v>3064377</v>
      </c>
      <c r="H65" s="227"/>
      <c r="I65" s="187"/>
    </row>
    <row r="66" spans="1:9" ht="15" customHeight="1" x14ac:dyDescent="0.25">
      <c r="A66" s="75" t="s">
        <v>58</v>
      </c>
      <c r="B66" s="74">
        <v>3806304</v>
      </c>
      <c r="C66" s="74">
        <v>3806304</v>
      </c>
      <c r="D66" s="74">
        <v>4174196</v>
      </c>
      <c r="E66" s="232">
        <f t="shared" si="9"/>
        <v>367892</v>
      </c>
      <c r="F66" s="70">
        <f t="shared" si="8"/>
        <v>9.6653341404154797E-2</v>
      </c>
      <c r="G66" s="74">
        <v>4272196</v>
      </c>
      <c r="H66" s="227"/>
      <c r="I66" s="187"/>
    </row>
    <row r="67" spans="1:9" ht="15" customHeight="1" x14ac:dyDescent="0.25">
      <c r="A67" s="75" t="s">
        <v>59</v>
      </c>
      <c r="B67" s="74">
        <v>5641257</v>
      </c>
      <c r="C67" s="74">
        <v>5641257</v>
      </c>
      <c r="D67" s="74">
        <v>5454121</v>
      </c>
      <c r="E67" s="232">
        <f t="shared" si="9"/>
        <v>-187136</v>
      </c>
      <c r="F67" s="70">
        <f t="shared" si="8"/>
        <v>-3.3172748555862636E-2</v>
      </c>
      <c r="G67" s="74">
        <v>5580121</v>
      </c>
      <c r="H67" s="227"/>
      <c r="I67" s="187"/>
    </row>
    <row r="68" spans="1:9" ht="15" customHeight="1" x14ac:dyDescent="0.25">
      <c r="A68" s="75" t="s">
        <v>60</v>
      </c>
      <c r="B68" s="74">
        <v>28817</v>
      </c>
      <c r="C68" s="74">
        <v>28817</v>
      </c>
      <c r="D68" s="74">
        <v>0</v>
      </c>
      <c r="E68" s="232">
        <f t="shared" si="9"/>
        <v>-28817</v>
      </c>
      <c r="F68" s="70">
        <f t="shared" si="8"/>
        <v>-1</v>
      </c>
      <c r="G68" s="74">
        <v>0</v>
      </c>
      <c r="H68" s="227"/>
      <c r="I68" s="187"/>
    </row>
    <row r="69" spans="1:9" ht="15" customHeight="1" x14ac:dyDescent="0.25">
      <c r="A69" s="75" t="s">
        <v>61</v>
      </c>
      <c r="B69" s="74">
        <v>2704002</v>
      </c>
      <c r="C69" s="74">
        <v>2704002</v>
      </c>
      <c r="D69" s="74">
        <v>2168970</v>
      </c>
      <c r="E69" s="232">
        <f t="shared" si="9"/>
        <v>-535032</v>
      </c>
      <c r="F69" s="70">
        <f t="shared" si="8"/>
        <v>-0.19786671755420299</v>
      </c>
      <c r="G69" s="74">
        <v>2284970</v>
      </c>
      <c r="H69" s="227"/>
      <c r="I69" s="187"/>
    </row>
    <row r="70" spans="1:9" s="124" customFormat="1" ht="15" customHeight="1" x14ac:dyDescent="0.25">
      <c r="A70" s="94" t="s">
        <v>62</v>
      </c>
      <c r="B70" s="80">
        <f>SUM(B62:B69)</f>
        <v>31992507</v>
      </c>
      <c r="C70" s="80">
        <f t="shared" ref="C70:D70" si="10">SUM(C62:C69)</f>
        <v>32124449</v>
      </c>
      <c r="D70" s="80">
        <f t="shared" si="10"/>
        <v>29409412</v>
      </c>
      <c r="E70" s="89">
        <f t="shared" si="9"/>
        <v>-2715037</v>
      </c>
      <c r="F70" s="81">
        <f t="shared" si="8"/>
        <v>-8.4516220029174666E-2</v>
      </c>
      <c r="G70" s="80">
        <f>SUM(G62:G69)</f>
        <v>31485412</v>
      </c>
      <c r="H70" s="228"/>
      <c r="I70" s="187"/>
    </row>
    <row r="71" spans="1:9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  <c r="I71" s="187"/>
    </row>
    <row r="72" spans="1:9" ht="15" customHeight="1" x14ac:dyDescent="0.25">
      <c r="A72" s="75" t="s">
        <v>64</v>
      </c>
      <c r="B72" s="74">
        <v>829693</v>
      </c>
      <c r="C72" s="74">
        <v>829693</v>
      </c>
      <c r="D72" s="74">
        <v>1039079</v>
      </c>
      <c r="E72" s="232">
        <f t="shared" si="9"/>
        <v>209386</v>
      </c>
      <c r="F72" s="70">
        <f t="shared" si="8"/>
        <v>0.25236563403572165</v>
      </c>
      <c r="G72" s="74">
        <v>1039079</v>
      </c>
      <c r="H72" s="227"/>
      <c r="I72" s="187"/>
    </row>
    <row r="73" spans="1:9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  <c r="I73" s="187"/>
    </row>
    <row r="74" spans="1:9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  <c r="I74" s="187"/>
    </row>
    <row r="75" spans="1:9" s="124" customFormat="1" ht="15" customHeight="1" x14ac:dyDescent="0.25">
      <c r="A75" s="95" t="s">
        <v>67</v>
      </c>
      <c r="B75" s="96">
        <f>SUM(B70,B71:B74)+1</f>
        <v>32822201</v>
      </c>
      <c r="C75" s="96">
        <f t="shared" ref="C75:D75" si="11">SUM(C70,C71:C74)</f>
        <v>32954142</v>
      </c>
      <c r="D75" s="96">
        <f t="shared" si="11"/>
        <v>30448491</v>
      </c>
      <c r="E75" s="89">
        <f t="shared" si="9"/>
        <v>-2505651</v>
      </c>
      <c r="F75" s="81">
        <f t="shared" si="8"/>
        <v>-7.6034478457973509E-2</v>
      </c>
      <c r="G75" s="96">
        <f>SUM(G70,G71:G74)</f>
        <v>32524491</v>
      </c>
      <c r="H75" s="228"/>
      <c r="I75" s="187"/>
    </row>
    <row r="76" spans="1:9" ht="15" customHeight="1" x14ac:dyDescent="0.25">
      <c r="A76" s="93"/>
      <c r="B76" s="65"/>
      <c r="C76" s="65"/>
      <c r="D76" s="65"/>
      <c r="E76" s="65"/>
      <c r="F76" s="67"/>
      <c r="G76" s="65"/>
      <c r="H76" s="227"/>
      <c r="I76" s="187"/>
    </row>
    <row r="77" spans="1:9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  <c r="I77" s="187"/>
    </row>
    <row r="78" spans="1:9" ht="15" customHeight="1" x14ac:dyDescent="0.25">
      <c r="A78" s="73" t="s">
        <v>69</v>
      </c>
      <c r="B78" s="69">
        <v>16383615</v>
      </c>
      <c r="C78" s="69">
        <v>16515557</v>
      </c>
      <c r="D78" s="69">
        <v>15374026</v>
      </c>
      <c r="E78" s="65">
        <f>D78-C78</f>
        <v>-1141531</v>
      </c>
      <c r="F78" s="70">
        <f t="shared" ref="F78:F96" si="12">IF(ISBLANK(E78),"  ",IF(C78&gt;0,E78/C78,IF(E78&gt;0,1,0)))</f>
        <v>-6.9118528669665821E-2</v>
      </c>
      <c r="G78" s="69">
        <v>16856026</v>
      </c>
      <c r="H78" s="227"/>
      <c r="I78" s="187"/>
    </row>
    <row r="79" spans="1:9" ht="15" customHeight="1" x14ac:dyDescent="0.25">
      <c r="A79" s="75" t="s">
        <v>70</v>
      </c>
      <c r="B79" s="72">
        <v>252540</v>
      </c>
      <c r="C79" s="72">
        <v>252540</v>
      </c>
      <c r="D79" s="72">
        <v>261000</v>
      </c>
      <c r="E79" s="74">
        <f>D79-C79</f>
        <v>8460</v>
      </c>
      <c r="F79" s="70">
        <f t="shared" si="12"/>
        <v>3.3499643620812543E-2</v>
      </c>
      <c r="G79" s="72">
        <v>261000</v>
      </c>
      <c r="H79" s="227"/>
      <c r="I79" s="187"/>
    </row>
    <row r="80" spans="1:9" ht="15" customHeight="1" x14ac:dyDescent="0.25">
      <c r="A80" s="75" t="s">
        <v>71</v>
      </c>
      <c r="B80" s="65">
        <v>7794291</v>
      </c>
      <c r="C80" s="65">
        <v>7794291</v>
      </c>
      <c r="D80" s="65">
        <v>7644247</v>
      </c>
      <c r="E80" s="74">
        <f t="shared" ref="E80:E95" si="13">D80-C80</f>
        <v>-150044</v>
      </c>
      <c r="F80" s="70">
        <f t="shared" si="12"/>
        <v>-1.9250500141706282E-2</v>
      </c>
      <c r="G80" s="65">
        <v>8238247</v>
      </c>
      <c r="H80" s="227"/>
      <c r="I80" s="187"/>
    </row>
    <row r="81" spans="1:9" s="124" customFormat="1" ht="15" customHeight="1" x14ac:dyDescent="0.25">
      <c r="A81" s="94" t="s">
        <v>72</v>
      </c>
      <c r="B81" s="96">
        <f>SUM(B78:B80)</f>
        <v>24430446</v>
      </c>
      <c r="C81" s="96">
        <f t="shared" ref="C81:D81" si="14">SUM(C78:C80)</f>
        <v>24562388</v>
      </c>
      <c r="D81" s="96">
        <f t="shared" si="14"/>
        <v>23279273</v>
      </c>
      <c r="E81" s="80">
        <f t="shared" si="13"/>
        <v>-1283115</v>
      </c>
      <c r="F81" s="81">
        <f t="shared" si="12"/>
        <v>-5.2239016825237024E-2</v>
      </c>
      <c r="G81" s="96">
        <f>SUM(G78:G80)</f>
        <v>25355273</v>
      </c>
      <c r="H81" s="228"/>
      <c r="I81" s="187"/>
    </row>
    <row r="82" spans="1:9" ht="15" customHeight="1" x14ac:dyDescent="0.25">
      <c r="A82" s="75" t="s">
        <v>73</v>
      </c>
      <c r="B82" s="72">
        <v>212766</v>
      </c>
      <c r="C82" s="72">
        <v>212766</v>
      </c>
      <c r="D82" s="72">
        <v>258500</v>
      </c>
      <c r="E82" s="74">
        <f t="shared" si="13"/>
        <v>45734</v>
      </c>
      <c r="F82" s="70">
        <f t="shared" si="12"/>
        <v>0.21494975701004859</v>
      </c>
      <c r="G82" s="72">
        <v>258500</v>
      </c>
      <c r="H82" s="227"/>
      <c r="I82" s="187"/>
    </row>
    <row r="83" spans="1:9" ht="15" customHeight="1" x14ac:dyDescent="0.25">
      <c r="A83" s="75" t="s">
        <v>74</v>
      </c>
      <c r="B83" s="69">
        <v>4023445</v>
      </c>
      <c r="C83" s="69">
        <v>4023445</v>
      </c>
      <c r="D83" s="69">
        <v>4069210</v>
      </c>
      <c r="E83" s="74">
        <f t="shared" si="13"/>
        <v>45765</v>
      </c>
      <c r="F83" s="70">
        <f t="shared" si="12"/>
        <v>1.1374580738645614E-2</v>
      </c>
      <c r="G83" s="69">
        <v>4069210</v>
      </c>
      <c r="H83" s="227"/>
      <c r="I83" s="187"/>
    </row>
    <row r="84" spans="1:9" ht="15" customHeight="1" x14ac:dyDescent="0.25">
      <c r="A84" s="75" t="s">
        <v>75</v>
      </c>
      <c r="B84" s="65">
        <v>289436</v>
      </c>
      <c r="C84" s="65">
        <v>289436</v>
      </c>
      <c r="D84" s="65">
        <v>282850</v>
      </c>
      <c r="E84" s="74">
        <f t="shared" si="13"/>
        <v>-6586</v>
      </c>
      <c r="F84" s="70">
        <f t="shared" si="12"/>
        <v>-2.2754598598653933E-2</v>
      </c>
      <c r="G84" s="65">
        <v>282850</v>
      </c>
      <c r="H84" s="227"/>
      <c r="I84" s="187"/>
    </row>
    <row r="85" spans="1:9" s="124" customFormat="1" ht="15" customHeight="1" x14ac:dyDescent="0.25">
      <c r="A85" s="78" t="s">
        <v>76</v>
      </c>
      <c r="B85" s="96">
        <f>SUM(B82:B84)</f>
        <v>4525647</v>
      </c>
      <c r="C85" s="96">
        <f t="shared" ref="C85:D85" si="15">SUM(C82:C84)</f>
        <v>4525647</v>
      </c>
      <c r="D85" s="96">
        <f t="shared" si="15"/>
        <v>4610560</v>
      </c>
      <c r="E85" s="74">
        <f t="shared" si="13"/>
        <v>84913</v>
      </c>
      <c r="F85" s="81">
        <f t="shared" si="12"/>
        <v>1.8762621123565314E-2</v>
      </c>
      <c r="G85" s="96">
        <f>SUM(G82:G84)</f>
        <v>4610560</v>
      </c>
      <c r="H85" s="228"/>
      <c r="I85" s="187"/>
    </row>
    <row r="86" spans="1:9" ht="15" customHeight="1" x14ac:dyDescent="0.25">
      <c r="A86" s="75" t="s">
        <v>77</v>
      </c>
      <c r="B86" s="65">
        <v>1199077</v>
      </c>
      <c r="C86" s="65">
        <v>1199077</v>
      </c>
      <c r="D86" s="65">
        <v>1183814</v>
      </c>
      <c r="E86" s="74">
        <f t="shared" si="13"/>
        <v>-15263</v>
      </c>
      <c r="F86" s="70">
        <f t="shared" si="12"/>
        <v>-1.2728957356366605E-2</v>
      </c>
      <c r="G86" s="65">
        <v>1183814</v>
      </c>
      <c r="H86" s="227"/>
      <c r="I86" s="187"/>
    </row>
    <row r="87" spans="1:9" ht="15" customHeight="1" x14ac:dyDescent="0.25">
      <c r="A87" s="75" t="s">
        <v>78</v>
      </c>
      <c r="B87" s="74">
        <v>366449</v>
      </c>
      <c r="C87" s="74">
        <v>366449</v>
      </c>
      <c r="D87" s="74">
        <v>335765</v>
      </c>
      <c r="E87" s="74">
        <f t="shared" si="13"/>
        <v>-30684</v>
      </c>
      <c r="F87" s="70">
        <f t="shared" si="12"/>
        <v>-8.3733343521199405E-2</v>
      </c>
      <c r="G87" s="74">
        <v>335765</v>
      </c>
      <c r="H87" s="227"/>
      <c r="I87" s="187"/>
    </row>
    <row r="88" spans="1:9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  <c r="I88" s="187"/>
    </row>
    <row r="89" spans="1:9" ht="15" customHeight="1" x14ac:dyDescent="0.25">
      <c r="A89" s="75" t="s">
        <v>80</v>
      </c>
      <c r="B89" s="74">
        <v>829693</v>
      </c>
      <c r="C89" s="74">
        <v>829693</v>
      </c>
      <c r="D89" s="74">
        <v>1039079</v>
      </c>
      <c r="E89" s="74">
        <f t="shared" si="13"/>
        <v>209386</v>
      </c>
      <c r="F89" s="70">
        <f t="shared" si="12"/>
        <v>0.25236563403572165</v>
      </c>
      <c r="G89" s="74">
        <v>1039079</v>
      </c>
      <c r="H89" s="227"/>
      <c r="I89" s="187"/>
    </row>
    <row r="90" spans="1:9" s="124" customFormat="1" ht="15" customHeight="1" x14ac:dyDescent="0.25">
      <c r="A90" s="78" t="s">
        <v>81</v>
      </c>
      <c r="B90" s="80">
        <f>SUM(B86:B89)</f>
        <v>2395219</v>
      </c>
      <c r="C90" s="80">
        <f t="shared" ref="C90:D90" si="16">SUM(C86:C89)</f>
        <v>2395219</v>
      </c>
      <c r="D90" s="80">
        <f t="shared" si="16"/>
        <v>2558658</v>
      </c>
      <c r="E90" s="80">
        <f t="shared" si="13"/>
        <v>163439</v>
      </c>
      <c r="F90" s="81">
        <f t="shared" si="12"/>
        <v>6.8235514163840549E-2</v>
      </c>
      <c r="G90" s="80">
        <f>SUM(G86:G89)</f>
        <v>2558658</v>
      </c>
      <c r="H90" s="228"/>
      <c r="I90" s="187"/>
    </row>
    <row r="91" spans="1:9" ht="15" customHeight="1" x14ac:dyDescent="0.25">
      <c r="A91" s="75" t="s">
        <v>82</v>
      </c>
      <c r="B91" s="74">
        <v>1464721</v>
      </c>
      <c r="C91" s="74">
        <v>1464721</v>
      </c>
      <c r="D91" s="74">
        <v>0</v>
      </c>
      <c r="E91" s="74">
        <f t="shared" si="13"/>
        <v>-1464721</v>
      </c>
      <c r="F91" s="70">
        <f t="shared" si="12"/>
        <v>-1</v>
      </c>
      <c r="G91" s="74">
        <v>0</v>
      </c>
      <c r="H91" s="227"/>
      <c r="I91" s="187"/>
    </row>
    <row r="92" spans="1:9" ht="15" customHeight="1" x14ac:dyDescent="0.25">
      <c r="A92" s="75" t="s">
        <v>83</v>
      </c>
      <c r="B92" s="74">
        <v>6167</v>
      </c>
      <c r="C92" s="74">
        <v>6167</v>
      </c>
      <c r="D92" s="74">
        <v>0</v>
      </c>
      <c r="E92" s="74">
        <f t="shared" si="13"/>
        <v>-6167</v>
      </c>
      <c r="F92" s="70">
        <f t="shared" si="12"/>
        <v>-1</v>
      </c>
      <c r="G92" s="74">
        <v>0</v>
      </c>
      <c r="H92" s="227"/>
      <c r="I92" s="187"/>
    </row>
    <row r="93" spans="1:9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  <c r="I93" s="187"/>
    </row>
    <row r="94" spans="1:9" s="124" customFormat="1" ht="15" customHeight="1" x14ac:dyDescent="0.25">
      <c r="A94" s="97" t="s">
        <v>85</v>
      </c>
      <c r="B94" s="96">
        <f>SUM(B91:B93)</f>
        <v>1470888</v>
      </c>
      <c r="C94" s="96">
        <f t="shared" ref="C94:D94" si="17">SUM(C91:C93)</f>
        <v>1470888</v>
      </c>
      <c r="D94" s="96">
        <f t="shared" si="17"/>
        <v>0</v>
      </c>
      <c r="E94" s="74">
        <f t="shared" si="13"/>
        <v>-1470888</v>
      </c>
      <c r="F94" s="81">
        <f t="shared" si="12"/>
        <v>-1</v>
      </c>
      <c r="G94" s="96">
        <f>SUM(G91:G93)</f>
        <v>0</v>
      </c>
      <c r="H94" s="228"/>
      <c r="I94" s="187"/>
    </row>
    <row r="95" spans="1:9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  <c r="I95" s="187"/>
    </row>
    <row r="96" spans="1:9" s="124" customFormat="1" ht="15" customHeight="1" thickBot="1" x14ac:dyDescent="0.3">
      <c r="A96" s="195" t="s">
        <v>67</v>
      </c>
      <c r="B96" s="196">
        <f>SUM(B81,B85,B90,B94,B95)+1</f>
        <v>32822201</v>
      </c>
      <c r="C96" s="196">
        <f t="shared" ref="C96:D96" si="18">SUM(C81,C85,C90,C94,C95)</f>
        <v>32954142</v>
      </c>
      <c r="D96" s="196">
        <f t="shared" si="18"/>
        <v>30448491</v>
      </c>
      <c r="E96" s="196">
        <f>D96-C96</f>
        <v>-2505651</v>
      </c>
      <c r="F96" s="198">
        <f t="shared" si="12"/>
        <v>-7.6034478457973509E-2</v>
      </c>
      <c r="G96" s="196">
        <f>SUM(G81,G85,G90,G94,G95)</f>
        <v>32524491</v>
      </c>
      <c r="H96" s="228"/>
      <c r="I96" s="187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6" t="s">
        <v>208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9152491</v>
      </c>
      <c r="C8" s="69">
        <v>9152491</v>
      </c>
      <c r="D8" s="69">
        <v>8026145</v>
      </c>
      <c r="E8" s="69">
        <f>D8-C8</f>
        <v>-1126346</v>
      </c>
      <c r="F8" s="70">
        <f t="shared" ref="F8:F31" si="0">IF(ISBLANK(E8),"  ",IF(C8&gt;0,E8/C8,IF(E8&gt;0,1,0)))</f>
        <v>-0.12306442038566331</v>
      </c>
      <c r="G8" s="69">
        <v>8026145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894627.67</v>
      </c>
      <c r="C10" s="72">
        <f t="shared" ref="C10:D10" si="1">SUM(C11:C31)</f>
        <v>968484</v>
      </c>
      <c r="D10" s="72">
        <f t="shared" si="1"/>
        <v>858059</v>
      </c>
      <c r="E10" s="69">
        <f t="shared" ref="E10:E31" si="2">D10-C10</f>
        <v>-110425</v>
      </c>
      <c r="F10" s="70">
        <f t="shared" si="0"/>
        <v>-0.11401840402112993</v>
      </c>
      <c r="G10" s="72">
        <f>SUM(G11:G31)</f>
        <v>858059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16</v>
      </c>
      <c r="B12" s="74">
        <v>225438.72</v>
      </c>
      <c r="C12" s="74">
        <v>273903</v>
      </c>
      <c r="D12" s="74">
        <v>234636</v>
      </c>
      <c r="E12" s="69">
        <f t="shared" si="2"/>
        <v>-39267</v>
      </c>
      <c r="F12" s="70">
        <f t="shared" si="0"/>
        <v>-0.14336097085464564</v>
      </c>
      <c r="G12" s="74">
        <v>234636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138564.95000000001</v>
      </c>
      <c r="C14" s="74">
        <v>163957</v>
      </c>
      <c r="D14" s="74">
        <v>78713</v>
      </c>
      <c r="E14" s="69">
        <f t="shared" si="2"/>
        <v>-85244</v>
      </c>
      <c r="F14" s="70">
        <f t="shared" si="0"/>
        <v>-0.51991680745561342</v>
      </c>
      <c r="G14" s="74">
        <v>78713</v>
      </c>
      <c r="H14" s="227"/>
    </row>
    <row r="15" spans="1:9" ht="15" customHeight="1" x14ac:dyDescent="0.25">
      <c r="A15" s="75" t="s">
        <v>19</v>
      </c>
      <c r="B15" s="74">
        <v>530624</v>
      </c>
      <c r="C15" s="74">
        <v>530624</v>
      </c>
      <c r="D15" s="74">
        <v>544710</v>
      </c>
      <c r="E15" s="69">
        <f t="shared" si="2"/>
        <v>14086</v>
      </c>
      <c r="F15" s="70">
        <f t="shared" si="0"/>
        <v>2.6546104209383668E-2</v>
      </c>
      <c r="G15" s="74">
        <v>544710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10047118.67</v>
      </c>
      <c r="C37" s="80">
        <f t="shared" ref="C37:D37" si="3">SUM(C8,C9,C10,C33,C35,C36)</f>
        <v>10120975</v>
      </c>
      <c r="D37" s="80">
        <f t="shared" si="3"/>
        <v>8884204</v>
      </c>
      <c r="E37" s="80">
        <f>D37-C37</f>
        <v>-1236771</v>
      </c>
      <c r="F37" s="81">
        <f>IF(ISBLANK(E37),"  ",IF(C37&gt;0,E37/C37,IF(E37&gt;0,1,0)))</f>
        <v>-0.1221988000167968</v>
      </c>
      <c r="G37" s="80">
        <f>SUM(G8,G9,G10,G33,G35,G36)</f>
        <v>8884204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1229781</v>
      </c>
      <c r="C41" s="69">
        <v>900000</v>
      </c>
      <c r="D41" s="69">
        <v>0</v>
      </c>
      <c r="E41" s="69">
        <f t="shared" si="5"/>
        <v>-900000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1229781</v>
      </c>
      <c r="C44" s="85">
        <f t="shared" ref="C44:D44" si="6">SUM(C39:C43)</f>
        <v>900000</v>
      </c>
      <c r="D44" s="85">
        <f t="shared" si="6"/>
        <v>0</v>
      </c>
      <c r="E44" s="87">
        <f t="shared" si="5"/>
        <v>-900000</v>
      </c>
      <c r="F44" s="81">
        <f t="shared" si="4"/>
        <v>-1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900000</v>
      </c>
      <c r="C48" s="87">
        <v>900000</v>
      </c>
      <c r="D48" s="87"/>
      <c r="E48" s="87">
        <f>D48-C48</f>
        <v>-900000</v>
      </c>
      <c r="F48" s="81">
        <f>IF(ISBLANK(E48)," ",IF(C48&gt;0,E48/C48,IF(E48&gt;0,1,0)))</f>
        <v>-1</v>
      </c>
      <c r="G48" s="87">
        <v>900000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10729780.790000001</v>
      </c>
      <c r="C52" s="85">
        <v>10400000</v>
      </c>
      <c r="D52" s="85">
        <v>10500000</v>
      </c>
      <c r="E52" s="85">
        <f>D52-C52</f>
        <v>100000</v>
      </c>
      <c r="F52" s="81">
        <f>IF(ISBLANK(E52),"  ",IF(C52&gt;0,E52/C52,IF(E52&gt;0,1,0)))</f>
        <v>9.6153846153846159E-3</v>
      </c>
      <c r="G52" s="85">
        <v>10500000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20447118.460000001</v>
      </c>
      <c r="C58" s="85">
        <f t="shared" ref="C58:D58" si="7">SUM(C37,C46,C48,C50,C52,C54,C56)-C44</f>
        <v>20520975</v>
      </c>
      <c r="D58" s="85">
        <f t="shared" si="7"/>
        <v>19384204</v>
      </c>
      <c r="E58" s="85">
        <f>D58-C58</f>
        <v>-1136771</v>
      </c>
      <c r="F58" s="81">
        <f>IF(ISBLANK(E58),"  ",IF(C58&gt;0,E58/C58,IF(E58&gt;0,1,0)))</f>
        <v>-5.5395564781887799E-2</v>
      </c>
      <c r="G58" s="85">
        <f>SUM(G37,G46,G48,G50,G52,G54,G56)-G44</f>
        <v>20284204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8219152</v>
      </c>
      <c r="C62" s="65">
        <v>8267616</v>
      </c>
      <c r="D62" s="65">
        <v>7323898</v>
      </c>
      <c r="E62" s="232">
        <f>D62-C62</f>
        <v>-943718</v>
      </c>
      <c r="F62" s="70">
        <f t="shared" ref="F62:F75" si="8">IF(ISBLANK(E62),"  ",IF(C62&gt;0,E62/C62,IF(E62&gt;0,1,0)))</f>
        <v>-0.11414632706695618</v>
      </c>
      <c r="G62" s="65">
        <v>8175413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2006572</v>
      </c>
      <c r="C65" s="74">
        <v>2006572</v>
      </c>
      <c r="D65" s="74">
        <v>2361410</v>
      </c>
      <c r="E65" s="232">
        <f t="shared" si="9"/>
        <v>354838</v>
      </c>
      <c r="F65" s="70">
        <f t="shared" si="8"/>
        <v>0.17683791062568399</v>
      </c>
      <c r="G65" s="74">
        <v>2393070</v>
      </c>
      <c r="H65" s="227"/>
    </row>
    <row r="66" spans="1:8" ht="15" customHeight="1" x14ac:dyDescent="0.25">
      <c r="A66" s="75" t="s">
        <v>58</v>
      </c>
      <c r="B66" s="74">
        <v>2019304</v>
      </c>
      <c r="C66" s="74">
        <v>2019304</v>
      </c>
      <c r="D66" s="74">
        <v>2109212</v>
      </c>
      <c r="E66" s="232">
        <f t="shared" si="9"/>
        <v>89908</v>
      </c>
      <c r="F66" s="70">
        <f t="shared" si="8"/>
        <v>4.4524251920463685E-2</v>
      </c>
      <c r="G66" s="74">
        <v>2126037</v>
      </c>
      <c r="H66" s="227"/>
    </row>
    <row r="67" spans="1:8" ht="15" customHeight="1" x14ac:dyDescent="0.25">
      <c r="A67" s="75" t="s">
        <v>59</v>
      </c>
      <c r="B67" s="74">
        <v>4709553</v>
      </c>
      <c r="C67" s="74">
        <v>4714125</v>
      </c>
      <c r="D67" s="74">
        <v>4847303</v>
      </c>
      <c r="E67" s="232">
        <f t="shared" si="9"/>
        <v>133178</v>
      </c>
      <c r="F67" s="70">
        <f t="shared" si="8"/>
        <v>2.8250841884761221E-2</v>
      </c>
      <c r="G67" s="74">
        <v>4847303</v>
      </c>
      <c r="H67" s="227"/>
    </row>
    <row r="68" spans="1:8" ht="15" customHeight="1" x14ac:dyDescent="0.25">
      <c r="A68" s="75" t="s">
        <v>60</v>
      </c>
      <c r="B68" s="74">
        <v>36856</v>
      </c>
      <c r="C68" s="74">
        <v>36856</v>
      </c>
      <c r="D68" s="74">
        <v>17500</v>
      </c>
      <c r="E68" s="232">
        <f t="shared" si="9"/>
        <v>-19356</v>
      </c>
      <c r="F68" s="70">
        <f t="shared" si="8"/>
        <v>-0.52517907532016495</v>
      </c>
      <c r="G68" s="74">
        <v>17500</v>
      </c>
      <c r="H68" s="227"/>
    </row>
    <row r="69" spans="1:8" ht="15" customHeight="1" x14ac:dyDescent="0.25">
      <c r="A69" s="75" t="s">
        <v>61</v>
      </c>
      <c r="B69" s="74">
        <v>3143854</v>
      </c>
      <c r="C69" s="74">
        <v>3164675</v>
      </c>
      <c r="D69" s="74">
        <v>2360459</v>
      </c>
      <c r="E69" s="232">
        <f t="shared" si="9"/>
        <v>-804216</v>
      </c>
      <c r="F69" s="70">
        <f t="shared" si="8"/>
        <v>-0.25412277722040966</v>
      </c>
      <c r="G69" s="74">
        <v>2360459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20135291</v>
      </c>
      <c r="C70" s="80">
        <f t="shared" ref="C70:D70" si="10">SUM(C62:C69)</f>
        <v>20209148</v>
      </c>
      <c r="D70" s="80">
        <f t="shared" si="10"/>
        <v>19019782</v>
      </c>
      <c r="E70" s="89">
        <f t="shared" si="9"/>
        <v>-1189366</v>
      </c>
      <c r="F70" s="81">
        <f t="shared" si="8"/>
        <v>-5.8852852183575478E-2</v>
      </c>
      <c r="G70" s="80">
        <f>SUM(G62:G69)</f>
        <v>19919782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311827</v>
      </c>
      <c r="C72" s="74">
        <v>311827</v>
      </c>
      <c r="D72" s="74">
        <v>364422</v>
      </c>
      <c r="E72" s="232">
        <f t="shared" si="9"/>
        <v>52595</v>
      </c>
      <c r="F72" s="70">
        <f t="shared" si="8"/>
        <v>0.16866724177187992</v>
      </c>
      <c r="G72" s="74">
        <v>364422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20447118</v>
      </c>
      <c r="C75" s="96">
        <f t="shared" ref="C75:D75" si="11">SUM(C70,C71:C74)</f>
        <v>20520975</v>
      </c>
      <c r="D75" s="96">
        <f t="shared" si="11"/>
        <v>19384204</v>
      </c>
      <c r="E75" s="89">
        <f t="shared" si="9"/>
        <v>-1136771</v>
      </c>
      <c r="F75" s="81">
        <f t="shared" si="8"/>
        <v>-5.5395564781887799E-2</v>
      </c>
      <c r="G75" s="96">
        <f>SUM(G70,G71:G74)</f>
        <v>20284204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11022102</v>
      </c>
      <c r="C78" s="69">
        <v>11070566</v>
      </c>
      <c r="D78" s="69">
        <v>10700358</v>
      </c>
      <c r="E78" s="65">
        <f>D78-C78</f>
        <v>-370208</v>
      </c>
      <c r="F78" s="70">
        <f t="shared" ref="F78:F96" si="12">IF(ISBLANK(E78),"  ",IF(C78&gt;0,E78/C78,IF(E78&gt;0,1,0)))</f>
        <v>-3.3440747293318154E-2</v>
      </c>
      <c r="G78" s="69">
        <v>11368653</v>
      </c>
      <c r="H78" s="227"/>
    </row>
    <row r="79" spans="1:8" ht="15" customHeight="1" x14ac:dyDescent="0.25">
      <c r="A79" s="75" t="s">
        <v>70</v>
      </c>
      <c r="B79" s="72">
        <v>0</v>
      </c>
      <c r="C79" s="72">
        <v>0</v>
      </c>
      <c r="D79" s="72">
        <v>0</v>
      </c>
      <c r="E79" s="74">
        <f>D79-C79</f>
        <v>0</v>
      </c>
      <c r="F79" s="70">
        <f t="shared" si="12"/>
        <v>0</v>
      </c>
      <c r="G79" s="72">
        <v>0</v>
      </c>
      <c r="H79" s="227"/>
    </row>
    <row r="80" spans="1:8" ht="15" customHeight="1" x14ac:dyDescent="0.25">
      <c r="A80" s="75" t="s">
        <v>71</v>
      </c>
      <c r="B80" s="65">
        <v>4588074</v>
      </c>
      <c r="C80" s="65">
        <v>4588074</v>
      </c>
      <c r="D80" s="65">
        <v>4749687</v>
      </c>
      <c r="E80" s="74">
        <f t="shared" ref="E80:E95" si="13">D80-C80</f>
        <v>161613</v>
      </c>
      <c r="F80" s="70">
        <f t="shared" si="12"/>
        <v>3.522458443346816E-2</v>
      </c>
      <c r="G80" s="65">
        <v>4981392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15610176</v>
      </c>
      <c r="C81" s="96">
        <f t="shared" ref="C81:D81" si="14">SUM(C78:C80)</f>
        <v>15658640</v>
      </c>
      <c r="D81" s="96">
        <f t="shared" si="14"/>
        <v>15450045</v>
      </c>
      <c r="E81" s="80">
        <f t="shared" si="13"/>
        <v>-208595</v>
      </c>
      <c r="F81" s="81">
        <f t="shared" si="12"/>
        <v>-1.3321399559604154E-2</v>
      </c>
      <c r="G81" s="96">
        <f>SUM(G78:G80)</f>
        <v>16350045</v>
      </c>
      <c r="H81" s="228"/>
    </row>
    <row r="82" spans="1:8" ht="15" customHeight="1" x14ac:dyDescent="0.25">
      <c r="A82" s="75" t="s">
        <v>73</v>
      </c>
      <c r="B82" s="72">
        <v>110010</v>
      </c>
      <c r="C82" s="72">
        <v>110010</v>
      </c>
      <c r="D82" s="72">
        <v>171281</v>
      </c>
      <c r="E82" s="74">
        <f t="shared" si="13"/>
        <v>61271</v>
      </c>
      <c r="F82" s="70">
        <f t="shared" si="12"/>
        <v>0.55695845832197077</v>
      </c>
      <c r="G82" s="72">
        <v>171281</v>
      </c>
      <c r="H82" s="227"/>
    </row>
    <row r="83" spans="1:8" ht="15" customHeight="1" x14ac:dyDescent="0.25">
      <c r="A83" s="75" t="s">
        <v>74</v>
      </c>
      <c r="B83" s="69">
        <v>2389736</v>
      </c>
      <c r="C83" s="69">
        <v>2389736</v>
      </c>
      <c r="D83" s="69">
        <v>2075961</v>
      </c>
      <c r="E83" s="74">
        <f t="shared" si="13"/>
        <v>-313775</v>
      </c>
      <c r="F83" s="70">
        <f t="shared" si="12"/>
        <v>-0.13130111443272394</v>
      </c>
      <c r="G83" s="69">
        <v>2075961</v>
      </c>
      <c r="H83" s="227"/>
    </row>
    <row r="84" spans="1:8" ht="15" customHeight="1" x14ac:dyDescent="0.25">
      <c r="A84" s="75" t="s">
        <v>75</v>
      </c>
      <c r="B84" s="65">
        <v>546528</v>
      </c>
      <c r="C84" s="65">
        <v>546528</v>
      </c>
      <c r="D84" s="65">
        <v>332129</v>
      </c>
      <c r="E84" s="74">
        <f t="shared" si="13"/>
        <v>-214399</v>
      </c>
      <c r="F84" s="70">
        <f t="shared" si="12"/>
        <v>-0.39229280110076703</v>
      </c>
      <c r="G84" s="65">
        <v>332129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3046274</v>
      </c>
      <c r="C85" s="96">
        <f t="shared" ref="C85:D85" si="15">SUM(C82:C84)</f>
        <v>3046274</v>
      </c>
      <c r="D85" s="96">
        <f t="shared" si="15"/>
        <v>2579371</v>
      </c>
      <c r="E85" s="74">
        <f t="shared" si="13"/>
        <v>-466903</v>
      </c>
      <c r="F85" s="81">
        <f t="shared" si="12"/>
        <v>-0.15327019171617523</v>
      </c>
      <c r="G85" s="96">
        <f>SUM(G82:G84)</f>
        <v>2579371</v>
      </c>
      <c r="H85" s="228"/>
    </row>
    <row r="86" spans="1:8" ht="15" customHeight="1" x14ac:dyDescent="0.25">
      <c r="A86" s="75" t="s">
        <v>77</v>
      </c>
      <c r="B86" s="65">
        <v>88957</v>
      </c>
      <c r="C86" s="65">
        <v>88957</v>
      </c>
      <c r="D86" s="65">
        <v>112667</v>
      </c>
      <c r="E86" s="74">
        <f t="shared" si="13"/>
        <v>23710</v>
      </c>
      <c r="F86" s="70">
        <f t="shared" si="12"/>
        <v>0.26653326888271861</v>
      </c>
      <c r="G86" s="65">
        <v>112667</v>
      </c>
      <c r="H86" s="227"/>
    </row>
    <row r="87" spans="1:8" ht="15" customHeight="1" x14ac:dyDescent="0.25">
      <c r="A87" s="75" t="s">
        <v>78</v>
      </c>
      <c r="B87" s="74">
        <v>604782</v>
      </c>
      <c r="C87" s="74">
        <v>604782</v>
      </c>
      <c r="D87" s="74">
        <v>539875</v>
      </c>
      <c r="E87" s="74">
        <f t="shared" si="13"/>
        <v>-64907</v>
      </c>
      <c r="F87" s="70">
        <f t="shared" si="12"/>
        <v>-0.10732296926826526</v>
      </c>
      <c r="G87" s="74">
        <v>539875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311827</v>
      </c>
      <c r="C89" s="74">
        <v>311827</v>
      </c>
      <c r="D89" s="74">
        <v>364422</v>
      </c>
      <c r="E89" s="74">
        <f t="shared" si="13"/>
        <v>52595</v>
      </c>
      <c r="F89" s="70">
        <f t="shared" si="12"/>
        <v>0.16866724177187992</v>
      </c>
      <c r="G89" s="74">
        <v>364422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1005566</v>
      </c>
      <c r="C90" s="80">
        <f t="shared" ref="C90:D90" si="16">SUM(C86:C89)</f>
        <v>1005566</v>
      </c>
      <c r="D90" s="80">
        <f t="shared" si="16"/>
        <v>1016964</v>
      </c>
      <c r="E90" s="80">
        <f t="shared" si="13"/>
        <v>11398</v>
      </c>
      <c r="F90" s="81">
        <f t="shared" si="12"/>
        <v>1.1334909891543668E-2</v>
      </c>
      <c r="G90" s="80">
        <f>SUM(G86:G89)</f>
        <v>1016964</v>
      </c>
      <c r="H90" s="228"/>
    </row>
    <row r="91" spans="1:8" ht="15" customHeight="1" x14ac:dyDescent="0.25">
      <c r="A91" s="75" t="s">
        <v>82</v>
      </c>
      <c r="B91" s="74">
        <v>785102</v>
      </c>
      <c r="C91" s="74">
        <v>810495</v>
      </c>
      <c r="D91" s="74">
        <v>337824</v>
      </c>
      <c r="E91" s="74">
        <f t="shared" si="13"/>
        <v>-472671</v>
      </c>
      <c r="F91" s="70">
        <f t="shared" si="12"/>
        <v>-0.58318805174615518</v>
      </c>
      <c r="G91" s="74">
        <v>337824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785102</v>
      </c>
      <c r="C94" s="96">
        <f t="shared" ref="C94:D94" si="17">SUM(C91:C93)</f>
        <v>810495</v>
      </c>
      <c r="D94" s="96">
        <f t="shared" si="17"/>
        <v>337824</v>
      </c>
      <c r="E94" s="74">
        <f t="shared" si="13"/>
        <v>-472671</v>
      </c>
      <c r="F94" s="81">
        <f t="shared" si="12"/>
        <v>-0.58318805174615518</v>
      </c>
      <c r="G94" s="96">
        <f>SUM(G91:G93)</f>
        <v>337824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13"/>
        <v>0</v>
      </c>
      <c r="F95" s="70">
        <f t="shared" si="12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20447118</v>
      </c>
      <c r="C96" s="196">
        <f t="shared" ref="C96:D96" si="18">SUM(C81,C85,C90,C94,C95)</f>
        <v>20520975</v>
      </c>
      <c r="D96" s="196">
        <f t="shared" si="18"/>
        <v>19384204</v>
      </c>
      <c r="E96" s="196">
        <f>D96-C96</f>
        <v>-1136771</v>
      </c>
      <c r="F96" s="198">
        <f t="shared" si="12"/>
        <v>-5.5395564781887799E-2</v>
      </c>
      <c r="G96" s="196">
        <f>SUM(G81,G85,G90,G94,G95)</f>
        <v>20284204</v>
      </c>
      <c r="H96" s="228"/>
    </row>
    <row r="97" spans="1:9" ht="15" customHeight="1" thickTop="1" x14ac:dyDescent="0.4">
      <c r="A97" s="4"/>
      <c r="B97" s="5"/>
      <c r="C97" s="14"/>
      <c r="D97" s="14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">
      <c r="A1" s="30" t="s">
        <v>0</v>
      </c>
      <c r="B1" s="31"/>
      <c r="D1" s="32" t="s">
        <v>1</v>
      </c>
      <c r="E1" s="206" t="s">
        <v>196</v>
      </c>
      <c r="F1" s="33"/>
      <c r="G1" s="210"/>
      <c r="H1" s="21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4270293</v>
      </c>
      <c r="C8" s="69">
        <v>4270293</v>
      </c>
      <c r="D8" s="69">
        <v>3326410</v>
      </c>
      <c r="E8" s="69">
        <f>D8-C8</f>
        <v>-943883</v>
      </c>
      <c r="F8" s="70">
        <f t="shared" ref="F8:F31" si="0">IF(ISBLANK(E8),"  ",IF(C8&gt;0,E8/C8,IF(E8&gt;0,1,0)))</f>
        <v>-0.22103471588483506</v>
      </c>
      <c r="G8" s="69">
        <v>3326410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f>SUM(B11:B31)</f>
        <v>179248.62</v>
      </c>
      <c r="C10" s="72">
        <f t="shared" ref="C10:D10" si="1">SUM(C11:C31)</f>
        <v>217783</v>
      </c>
      <c r="D10" s="72">
        <f t="shared" si="1"/>
        <v>186561</v>
      </c>
      <c r="E10" s="69">
        <f t="shared" ref="E10:E31" si="2">D10-C10</f>
        <v>-31222</v>
      </c>
      <c r="F10" s="70">
        <f t="shared" si="0"/>
        <v>-0.14336288874705555</v>
      </c>
      <c r="G10" s="72">
        <f>SUM(G11:G31)</f>
        <v>186561</v>
      </c>
      <c r="H10" s="227"/>
    </row>
    <row r="11" spans="1:9" ht="15" customHeight="1" x14ac:dyDescent="0.25">
      <c r="A11" s="73" t="s">
        <v>15</v>
      </c>
      <c r="B11" s="74">
        <v>0</v>
      </c>
      <c r="C11" s="74">
        <v>0</v>
      </c>
      <c r="D11" s="74">
        <v>0</v>
      </c>
      <c r="E11" s="69">
        <f t="shared" si="2"/>
        <v>0</v>
      </c>
      <c r="F11" s="70">
        <f t="shared" si="0"/>
        <v>0</v>
      </c>
      <c r="G11" s="74">
        <v>0</v>
      </c>
      <c r="H11" s="227"/>
    </row>
    <row r="12" spans="1:9" ht="15" customHeight="1" x14ac:dyDescent="0.25">
      <c r="A12" s="75" t="s">
        <v>194</v>
      </c>
      <c r="B12" s="74">
        <v>179248.62</v>
      </c>
      <c r="C12" s="74">
        <v>217783</v>
      </c>
      <c r="D12" s="74">
        <v>186561</v>
      </c>
      <c r="E12" s="69">
        <f t="shared" si="2"/>
        <v>-31222</v>
      </c>
      <c r="F12" s="70">
        <f t="shared" si="0"/>
        <v>-0.14336288874705555</v>
      </c>
      <c r="G12" s="74">
        <v>186561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2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2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2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2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2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2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2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2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2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0</v>
      </c>
      <c r="C22" s="74">
        <v>0</v>
      </c>
      <c r="D22" s="74">
        <v>0</v>
      </c>
      <c r="E22" s="69">
        <f t="shared" si="2"/>
        <v>0</v>
      </c>
      <c r="F22" s="70">
        <f t="shared" si="0"/>
        <v>0</v>
      </c>
      <c r="G22" s="74">
        <v>0</v>
      </c>
      <c r="H22" s="227"/>
    </row>
    <row r="23" spans="1:8" ht="15" customHeight="1" x14ac:dyDescent="0.25">
      <c r="A23" s="76" t="s">
        <v>27</v>
      </c>
      <c r="B23" s="74">
        <v>0</v>
      </c>
      <c r="C23" s="74">
        <v>0</v>
      </c>
      <c r="D23" s="74">
        <v>0</v>
      </c>
      <c r="E23" s="69">
        <f t="shared" si="2"/>
        <v>0</v>
      </c>
      <c r="F23" s="70">
        <f t="shared" si="0"/>
        <v>0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2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2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2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2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0</v>
      </c>
      <c r="C28" s="74">
        <v>0</v>
      </c>
      <c r="D28" s="74">
        <v>0</v>
      </c>
      <c r="E28" s="69">
        <f t="shared" si="2"/>
        <v>0</v>
      </c>
      <c r="F28" s="70">
        <f t="shared" si="0"/>
        <v>0</v>
      </c>
      <c r="G28" s="74">
        <v>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2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2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2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f>SUM(B8,B9,B10,B33,B35,B36)</f>
        <v>4449541.62</v>
      </c>
      <c r="C37" s="80">
        <f t="shared" ref="C37:D37" si="3">SUM(C8,C9,C10,C33,C35,C36)</f>
        <v>4488076</v>
      </c>
      <c r="D37" s="80">
        <f t="shared" si="3"/>
        <v>3512971</v>
      </c>
      <c r="E37" s="80">
        <f>D37-C37</f>
        <v>-975105</v>
      </c>
      <c r="F37" s="81">
        <f>IF(ISBLANK(E37),"  ",IF(C37&gt;0,E37/C37,IF(E37&gt;0,1,0)))</f>
        <v>-0.21726570583920593</v>
      </c>
      <c r="G37" s="80">
        <f>SUM(G8,G9,G10,G33,G35,G36)</f>
        <v>3512971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4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69">
        <f t="shared" ref="E40:E44" si="5">D40-C40</f>
        <v>0</v>
      </c>
      <c r="F40" s="70">
        <f t="shared" si="4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1322119</v>
      </c>
      <c r="C41" s="69">
        <v>931000</v>
      </c>
      <c r="D41" s="69">
        <v>0</v>
      </c>
      <c r="E41" s="69">
        <f t="shared" si="5"/>
        <v>-931000</v>
      </c>
      <c r="F41" s="70">
        <f t="shared" si="4"/>
        <v>-1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69">
        <f t="shared" si="5"/>
        <v>0</v>
      </c>
      <c r="F42" s="70">
        <f t="shared" si="4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69">
        <f t="shared" si="5"/>
        <v>0</v>
      </c>
      <c r="F43" s="70">
        <f t="shared" si="4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f>SUM(B39:B43)</f>
        <v>1322119</v>
      </c>
      <c r="C44" s="85">
        <f t="shared" ref="C44:D44" si="6">SUM(C39:C43)</f>
        <v>931000</v>
      </c>
      <c r="D44" s="85">
        <f t="shared" si="6"/>
        <v>0</v>
      </c>
      <c r="E44" s="87">
        <f t="shared" si="5"/>
        <v>-931000</v>
      </c>
      <c r="F44" s="81">
        <f t="shared" si="4"/>
        <v>-1</v>
      </c>
      <c r="G44" s="85">
        <f>SUM(G39:G43)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0</v>
      </c>
      <c r="C46" s="87">
        <v>0</v>
      </c>
      <c r="D46" s="87">
        <v>0</v>
      </c>
      <c r="E46" s="87">
        <f>D46-C46</f>
        <v>0</v>
      </c>
      <c r="F46" s="81">
        <f>IF(ISBLANK(E46),"  ",IF(C46&gt;0,E46/C46,IF(E46&gt;0,1,0)))</f>
        <v>0</v>
      </c>
      <c r="G46" s="87"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931000</v>
      </c>
      <c r="C48" s="87">
        <v>931000</v>
      </c>
      <c r="D48" s="87">
        <v>0</v>
      </c>
      <c r="E48" s="87">
        <f>D48-C48</f>
        <v>-931000</v>
      </c>
      <c r="F48" s="81">
        <f>IF(ISBLANK(E48)," ",IF(C48&gt;0,E48/C48,IF(E48&gt;0,1,0)))</f>
        <v>-1</v>
      </c>
      <c r="G48" s="87">
        <v>931000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5">
        <v>2687923.58</v>
      </c>
      <c r="C52" s="85">
        <v>2730000</v>
      </c>
      <c r="D52" s="85">
        <v>2850000</v>
      </c>
      <c r="E52" s="85">
        <f>D52-C52</f>
        <v>120000</v>
      </c>
      <c r="F52" s="81">
        <f>IF(ISBLANK(E52),"  ",IF(C52&gt;0,E52/C52,IF(E52&gt;0,1,0)))</f>
        <v>4.3956043956043959E-2</v>
      </c>
      <c r="G52" s="85">
        <v>2850000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9">
        <v>0</v>
      </c>
      <c r="C54" s="89">
        <v>0</v>
      </c>
      <c r="D54" s="89">
        <v>0</v>
      </c>
      <c r="E54" s="89">
        <f>D54-C54</f>
        <v>0</v>
      </c>
      <c r="F54" s="81">
        <f>IF(ISBLANK(E54),"  ",IF(C54&gt;0,E54/C54,IF(E54&gt;0,1,0)))</f>
        <v>0</v>
      </c>
      <c r="G54" s="89">
        <v>0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5">
        <f>SUM(B37,B46,B48,B50,B52,B54,B56)-B44</f>
        <v>6746346.2000000002</v>
      </c>
      <c r="C58" s="85">
        <f t="shared" ref="C58:D58" si="7">SUM(C37,C46,C48,C50,C52,C54,C56)-C44</f>
        <v>7218076</v>
      </c>
      <c r="D58" s="85">
        <f t="shared" si="7"/>
        <v>6362971</v>
      </c>
      <c r="E58" s="85">
        <f>D58-C58</f>
        <v>-855105</v>
      </c>
      <c r="F58" s="81">
        <f>IF(ISBLANK(E58),"  ",IF(C58&gt;0,E58/C58,IF(E58&gt;0,1,0)))</f>
        <v>-0.11846716493425671</v>
      </c>
      <c r="G58" s="85">
        <f>SUM(G37,G46,G48,G50,G52,G54,G56)-G44</f>
        <v>7293971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5">
        <v>3441380.34</v>
      </c>
      <c r="C62" s="65">
        <v>3801715.0060086302</v>
      </c>
      <c r="D62" s="65">
        <v>2444206.9</v>
      </c>
      <c r="E62" s="232">
        <f>D62-C62</f>
        <v>-1357508.1060086302</v>
      </c>
      <c r="F62" s="70">
        <f t="shared" ref="F62:F75" si="8">IF(ISBLANK(E62),"  ",IF(C62&gt;0,E62/C62,IF(E62&gt;0,1,0)))</f>
        <v>-0.35707781984264514</v>
      </c>
      <c r="G62" s="65">
        <v>3375206.9</v>
      </c>
      <c r="H62" s="227"/>
    </row>
    <row r="63" spans="1:8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232">
        <f t="shared" ref="E63:E75" si="9">D63-C63</f>
        <v>0</v>
      </c>
      <c r="F63" s="70">
        <f t="shared" si="8"/>
        <v>0</v>
      </c>
      <c r="G63" s="74">
        <v>0</v>
      </c>
      <c r="H63" s="227"/>
    </row>
    <row r="64" spans="1:8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232">
        <f t="shared" si="9"/>
        <v>0</v>
      </c>
      <c r="F64" s="70">
        <f t="shared" si="8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113697.71</v>
      </c>
      <c r="C65" s="74">
        <v>239814</v>
      </c>
      <c r="D65" s="74">
        <v>142497.19999999998</v>
      </c>
      <c r="E65" s="232">
        <f t="shared" si="9"/>
        <v>-97316.800000000017</v>
      </c>
      <c r="F65" s="70">
        <f t="shared" si="8"/>
        <v>-0.40580116256765669</v>
      </c>
      <c r="G65" s="74">
        <v>142497.19999999998</v>
      </c>
      <c r="H65" s="227"/>
    </row>
    <row r="66" spans="1:8" ht="15" customHeight="1" x14ac:dyDescent="0.25">
      <c r="A66" s="75" t="s">
        <v>58</v>
      </c>
      <c r="B66" s="74">
        <v>716964.57000000007</v>
      </c>
      <c r="C66" s="74">
        <v>606700.30124501593</v>
      </c>
      <c r="D66" s="74">
        <v>833293.04</v>
      </c>
      <c r="E66" s="232">
        <f t="shared" si="9"/>
        <v>226592.73875498411</v>
      </c>
      <c r="F66" s="70">
        <f t="shared" si="8"/>
        <v>0.37348380788667951</v>
      </c>
      <c r="G66" s="74">
        <v>833293.04</v>
      </c>
      <c r="H66" s="227"/>
    </row>
    <row r="67" spans="1:8" ht="15" customHeight="1" x14ac:dyDescent="0.25">
      <c r="A67" s="75" t="s">
        <v>59</v>
      </c>
      <c r="B67" s="74">
        <v>1920920.52</v>
      </c>
      <c r="C67" s="74">
        <v>1954360.440536038</v>
      </c>
      <c r="D67" s="74">
        <v>2293400</v>
      </c>
      <c r="E67" s="232">
        <f t="shared" si="9"/>
        <v>339039.55946396198</v>
      </c>
      <c r="F67" s="70">
        <f t="shared" si="8"/>
        <v>0.17347852137805803</v>
      </c>
      <c r="G67" s="74">
        <v>2293400</v>
      </c>
      <c r="H67" s="227"/>
    </row>
    <row r="68" spans="1:8" ht="15" customHeight="1" x14ac:dyDescent="0.25">
      <c r="A68" s="75" t="s">
        <v>60</v>
      </c>
      <c r="B68" s="74">
        <v>3750</v>
      </c>
      <c r="C68" s="74">
        <v>0</v>
      </c>
      <c r="D68" s="74">
        <v>0</v>
      </c>
      <c r="E68" s="232">
        <f t="shared" si="9"/>
        <v>0</v>
      </c>
      <c r="F68" s="70">
        <f t="shared" si="8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549633.35</v>
      </c>
      <c r="C69" s="74">
        <v>615486</v>
      </c>
      <c r="D69" s="74">
        <v>649573.7699999999</v>
      </c>
      <c r="E69" s="232">
        <f t="shared" si="9"/>
        <v>34087.769999999902</v>
      </c>
      <c r="F69" s="70">
        <f t="shared" si="8"/>
        <v>5.5383501818075311E-2</v>
      </c>
      <c r="G69" s="74">
        <v>649573.7699999999</v>
      </c>
      <c r="H69" s="227"/>
    </row>
    <row r="70" spans="1:8" s="124" customFormat="1" ht="15" customHeight="1" x14ac:dyDescent="0.25">
      <c r="A70" s="94" t="s">
        <v>62</v>
      </c>
      <c r="B70" s="80">
        <f>SUM(B62:B69)</f>
        <v>6746346.4900000002</v>
      </c>
      <c r="C70" s="80">
        <f t="shared" ref="C70:D70" si="10">SUM(C62:C69)</f>
        <v>7218075.7477896838</v>
      </c>
      <c r="D70" s="80">
        <f t="shared" si="10"/>
        <v>6362970.9100000001</v>
      </c>
      <c r="E70" s="89">
        <f t="shared" si="9"/>
        <v>-855104.8377896836</v>
      </c>
      <c r="F70" s="81">
        <f t="shared" si="8"/>
        <v>-0.11846714660088369</v>
      </c>
      <c r="G70" s="80">
        <f>SUM(G62:G69)</f>
        <v>7293970.9100000001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232">
        <f t="shared" si="9"/>
        <v>0</v>
      </c>
      <c r="F71" s="70">
        <f t="shared" si="8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232">
        <f t="shared" si="9"/>
        <v>0</v>
      </c>
      <c r="F72" s="70">
        <f t="shared" si="8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232">
        <f t="shared" si="9"/>
        <v>0</v>
      </c>
      <c r="F73" s="70">
        <f t="shared" si="8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232">
        <f t="shared" si="9"/>
        <v>0</v>
      </c>
      <c r="F74" s="70">
        <f t="shared" si="8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f>SUM(B70,B71:B74)</f>
        <v>6746346.4900000002</v>
      </c>
      <c r="C75" s="96">
        <f t="shared" ref="C75:D75" si="11">SUM(C70,C71:C74)</f>
        <v>7218075.7477896838</v>
      </c>
      <c r="D75" s="96">
        <f t="shared" si="11"/>
        <v>6362970.9100000001</v>
      </c>
      <c r="E75" s="89">
        <f t="shared" si="9"/>
        <v>-855104.8377896836</v>
      </c>
      <c r="F75" s="81">
        <f t="shared" si="8"/>
        <v>-0.11846714660088369</v>
      </c>
      <c r="G75" s="96">
        <f>SUM(G70,G71:G74)</f>
        <v>7293970.9100000001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3744554.9299999992</v>
      </c>
      <c r="C78" s="69">
        <v>4049841.9</v>
      </c>
      <c r="D78" s="69">
        <v>3247116.6887396323</v>
      </c>
      <c r="E78" s="65">
        <f>D78-C78</f>
        <v>-802725.21126036765</v>
      </c>
      <c r="F78" s="70">
        <f t="shared" ref="F78:F96" si="12">IF(ISBLANK(E78),"  ",IF(C78&gt;0,E78/C78,IF(E78&gt;0,1,0)))</f>
        <v>-0.19821149345616867</v>
      </c>
      <c r="G78" s="69">
        <v>3836433.2800000003</v>
      </c>
      <c r="H78" s="227"/>
    </row>
    <row r="79" spans="1:8" ht="15" customHeight="1" x14ac:dyDescent="0.25">
      <c r="A79" s="75" t="s">
        <v>70</v>
      </c>
      <c r="B79" s="72">
        <v>0</v>
      </c>
      <c r="C79" s="69">
        <v>0</v>
      </c>
      <c r="D79" s="69">
        <v>0</v>
      </c>
      <c r="E79" s="74">
        <f>D79-C79</f>
        <v>0</v>
      </c>
      <c r="F79" s="70">
        <f t="shared" si="12"/>
        <v>0</v>
      </c>
      <c r="G79" s="69">
        <v>0</v>
      </c>
      <c r="H79" s="227"/>
    </row>
    <row r="80" spans="1:8" ht="15" customHeight="1" x14ac:dyDescent="0.25">
      <c r="A80" s="75" t="s">
        <v>71</v>
      </c>
      <c r="B80" s="65">
        <v>1964250.5400000003</v>
      </c>
      <c r="C80" s="69">
        <v>2008447.8477896838</v>
      </c>
      <c r="D80" s="69">
        <v>1815505.4412603679</v>
      </c>
      <c r="E80" s="74">
        <f t="shared" ref="E80:E95" si="13">D80-C80</f>
        <v>-192942.40652931598</v>
      </c>
      <c r="F80" s="70">
        <f t="shared" si="12"/>
        <v>-9.606543019857397E-2</v>
      </c>
      <c r="G80" s="69">
        <v>2157188.85</v>
      </c>
      <c r="H80" s="227"/>
    </row>
    <row r="81" spans="1:8" s="124" customFormat="1" ht="15" customHeight="1" x14ac:dyDescent="0.25">
      <c r="A81" s="94" t="s">
        <v>72</v>
      </c>
      <c r="B81" s="96">
        <f>SUM(B78:B80)</f>
        <v>5708805.4699999997</v>
      </c>
      <c r="C81" s="96">
        <f t="shared" ref="C81:D81" si="14">SUM(C78:C80)</f>
        <v>6058289.7477896838</v>
      </c>
      <c r="D81" s="96">
        <f t="shared" si="14"/>
        <v>5062622.13</v>
      </c>
      <c r="E81" s="80">
        <f t="shared" si="13"/>
        <v>-995667.61778968386</v>
      </c>
      <c r="F81" s="81">
        <f t="shared" si="12"/>
        <v>-0.16434796935107715</v>
      </c>
      <c r="G81" s="96">
        <f>SUM(G78:G80)</f>
        <v>5993622.1300000008</v>
      </c>
      <c r="H81" s="228"/>
    </row>
    <row r="82" spans="1:8" ht="15" customHeight="1" x14ac:dyDescent="0.25">
      <c r="A82" s="75" t="s">
        <v>73</v>
      </c>
      <c r="B82" s="72">
        <v>8571.31</v>
      </c>
      <c r="C82" s="72">
        <v>21050</v>
      </c>
      <c r="D82" s="72">
        <v>10742.41</v>
      </c>
      <c r="E82" s="74">
        <f t="shared" si="13"/>
        <v>-10307.59</v>
      </c>
      <c r="F82" s="70">
        <f t="shared" si="12"/>
        <v>-0.48967173396674585</v>
      </c>
      <c r="G82" s="72">
        <v>10742.41</v>
      </c>
      <c r="H82" s="227"/>
    </row>
    <row r="83" spans="1:8" ht="15" customHeight="1" x14ac:dyDescent="0.25">
      <c r="A83" s="75" t="s">
        <v>74</v>
      </c>
      <c r="B83" s="69">
        <v>596277.42000000004</v>
      </c>
      <c r="C83" s="69">
        <v>710986</v>
      </c>
      <c r="D83" s="69">
        <v>752013.63</v>
      </c>
      <c r="E83" s="74">
        <f t="shared" si="13"/>
        <v>41027.630000000005</v>
      </c>
      <c r="F83" s="70">
        <f t="shared" si="12"/>
        <v>5.7705257206189721E-2</v>
      </c>
      <c r="G83" s="69">
        <v>752013.63</v>
      </c>
      <c r="H83" s="227"/>
    </row>
    <row r="84" spans="1:8" ht="15" customHeight="1" x14ac:dyDescent="0.25">
      <c r="A84" s="75" t="s">
        <v>75</v>
      </c>
      <c r="B84" s="65">
        <v>37894.410000000003</v>
      </c>
      <c r="C84" s="65">
        <v>49500</v>
      </c>
      <c r="D84" s="65">
        <v>47492.91</v>
      </c>
      <c r="E84" s="74">
        <f t="shared" si="13"/>
        <v>-2007.0899999999965</v>
      </c>
      <c r="F84" s="70">
        <f t="shared" si="12"/>
        <v>-4.0547272727272654E-2</v>
      </c>
      <c r="G84" s="65">
        <v>47492.91</v>
      </c>
      <c r="H84" s="227"/>
    </row>
    <row r="85" spans="1:8" s="124" customFormat="1" ht="15" customHeight="1" x14ac:dyDescent="0.25">
      <c r="A85" s="78" t="s">
        <v>76</v>
      </c>
      <c r="B85" s="96">
        <f>SUM(B82:B84)</f>
        <v>642743.14000000013</v>
      </c>
      <c r="C85" s="96">
        <f t="shared" ref="C85:D85" si="15">SUM(C82:C84)</f>
        <v>781536</v>
      </c>
      <c r="D85" s="96">
        <f t="shared" si="15"/>
        <v>810248.95000000007</v>
      </c>
      <c r="E85" s="74">
        <f t="shared" si="13"/>
        <v>28712.95000000007</v>
      </c>
      <c r="F85" s="81">
        <f t="shared" si="12"/>
        <v>3.6739126540556125E-2</v>
      </c>
      <c r="G85" s="96">
        <f>SUM(G82:G84)</f>
        <v>810248.95000000007</v>
      </c>
      <c r="H85" s="228"/>
    </row>
    <row r="86" spans="1:8" ht="15" customHeight="1" x14ac:dyDescent="0.25">
      <c r="A86" s="75" t="s">
        <v>77</v>
      </c>
      <c r="B86" s="65">
        <v>16316.92</v>
      </c>
      <c r="C86" s="65">
        <v>38250</v>
      </c>
      <c r="D86" s="65">
        <v>20449.98</v>
      </c>
      <c r="E86" s="74">
        <f t="shared" si="13"/>
        <v>-17800.02</v>
      </c>
      <c r="F86" s="70">
        <f t="shared" si="12"/>
        <v>-0.46536</v>
      </c>
      <c r="G86" s="65">
        <v>20449.98</v>
      </c>
      <c r="H86" s="227"/>
    </row>
    <row r="87" spans="1:8" ht="15" customHeight="1" x14ac:dyDescent="0.25">
      <c r="A87" s="75" t="s">
        <v>78</v>
      </c>
      <c r="B87" s="74">
        <v>3750</v>
      </c>
      <c r="C87" s="74">
        <v>0</v>
      </c>
      <c r="D87" s="74">
        <v>0</v>
      </c>
      <c r="E87" s="74">
        <f t="shared" si="13"/>
        <v>0</v>
      </c>
      <c r="F87" s="70">
        <f t="shared" si="12"/>
        <v>0</v>
      </c>
      <c r="G87" s="74">
        <v>0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13"/>
        <v>0</v>
      </c>
      <c r="F88" s="70">
        <f t="shared" si="12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374035</v>
      </c>
      <c r="C89" s="74">
        <v>340000</v>
      </c>
      <c r="D89" s="74">
        <v>468777.6</v>
      </c>
      <c r="E89" s="74">
        <f t="shared" si="13"/>
        <v>128777.59999999998</v>
      </c>
      <c r="F89" s="70">
        <f t="shared" si="12"/>
        <v>0.37875764705882348</v>
      </c>
      <c r="G89" s="74">
        <v>468777.6</v>
      </c>
      <c r="H89" s="227"/>
    </row>
    <row r="90" spans="1:8" s="124" customFormat="1" ht="15" customHeight="1" x14ac:dyDescent="0.25">
      <c r="A90" s="78" t="s">
        <v>81</v>
      </c>
      <c r="B90" s="80">
        <f>SUM(B86:B89)</f>
        <v>394101.92</v>
      </c>
      <c r="C90" s="80">
        <f t="shared" ref="C90:D90" si="16">SUM(C86:C89)</f>
        <v>378250</v>
      </c>
      <c r="D90" s="80">
        <f t="shared" si="16"/>
        <v>489227.57999999996</v>
      </c>
      <c r="E90" s="80">
        <f t="shared" si="13"/>
        <v>110977.57999999996</v>
      </c>
      <c r="F90" s="81">
        <f t="shared" si="12"/>
        <v>0.29339743555849296</v>
      </c>
      <c r="G90" s="80">
        <f>SUM(G86:G89)</f>
        <v>489227.57999999996</v>
      </c>
      <c r="H90" s="228"/>
    </row>
    <row r="91" spans="1:8" ht="15" customHeight="1" x14ac:dyDescent="0.25">
      <c r="A91" s="75" t="s">
        <v>82</v>
      </c>
      <c r="B91" s="74">
        <v>695.96</v>
      </c>
      <c r="C91" s="74">
        <v>0</v>
      </c>
      <c r="D91" s="74">
        <v>872.25</v>
      </c>
      <c r="E91" s="74">
        <f t="shared" si="13"/>
        <v>872.25</v>
      </c>
      <c r="F91" s="70">
        <f t="shared" si="12"/>
        <v>1</v>
      </c>
      <c r="G91" s="74">
        <v>872.25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13"/>
        <v>0</v>
      </c>
      <c r="F92" s="70">
        <f t="shared" si="12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13"/>
        <v>0</v>
      </c>
      <c r="F93" s="70">
        <f t="shared" si="12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f>SUM(B91:B93)</f>
        <v>695.96</v>
      </c>
      <c r="C94" s="96">
        <f t="shared" ref="C94:D94" si="17">SUM(C91:C93)</f>
        <v>0</v>
      </c>
      <c r="D94" s="96">
        <f t="shared" si="17"/>
        <v>872.25</v>
      </c>
      <c r="E94" s="74">
        <f t="shared" si="13"/>
        <v>872.25</v>
      </c>
      <c r="F94" s="81">
        <f t="shared" si="12"/>
        <v>1</v>
      </c>
      <c r="G94" s="96">
        <f>SUM(G91:G93)</f>
        <v>872.25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112">
        <v>0</v>
      </c>
      <c r="E95" s="74">
        <f t="shared" si="13"/>
        <v>0</v>
      </c>
      <c r="F95" s="70">
        <f t="shared" si="12"/>
        <v>0</v>
      </c>
      <c r="G95" s="72"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SUM(B81,B85,B90,B94,B95)</f>
        <v>6746346.4899999993</v>
      </c>
      <c r="C96" s="196">
        <f t="shared" ref="C96:D96" si="18">SUM(C81,C85,C90,C94,C95)</f>
        <v>7218075.7477896838</v>
      </c>
      <c r="D96" s="196">
        <f t="shared" si="18"/>
        <v>6362970.9100000001</v>
      </c>
      <c r="E96" s="196">
        <f>D96-C96</f>
        <v>-855104.8377896836</v>
      </c>
      <c r="F96" s="198">
        <f t="shared" si="12"/>
        <v>-0.11846714660088369</v>
      </c>
      <c r="G96" s="197">
        <f>SUM(G81,G85,G90,G94,G95)</f>
        <v>7293970.9100000011</v>
      </c>
      <c r="H96" s="228"/>
    </row>
    <row r="97" spans="1:9" ht="15" customHeight="1" thickTop="1" x14ac:dyDescent="0.4">
      <c r="A97" s="4"/>
      <c r="B97" s="14"/>
      <c r="C97" s="14"/>
      <c r="D97" s="14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5"/>
      <c r="D1" s="32" t="s">
        <v>1</v>
      </c>
      <c r="E1" s="29" t="s">
        <v>132</v>
      </c>
      <c r="F1" s="40"/>
    </row>
    <row r="2" spans="1:9" ht="19.5" customHeight="1" thickBot="1" x14ac:dyDescent="0.35">
      <c r="A2" s="30" t="s">
        <v>2</v>
      </c>
      <c r="B2" s="31"/>
      <c r="C2" s="36"/>
      <c r="D2" s="36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221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BOR!B8+ULBoard!B8+SUBoard!B8+LCTCBoard!B8+Online!B8+AE!B8+RR!B8</f>
        <v>28347966</v>
      </c>
      <c r="C8" s="69">
        <f>BOR!C8+ULBoard!C8+SUBoard!C8+LCTCBoard!C8+Online!C8+AE!C8+RR!C8</f>
        <v>28347966</v>
      </c>
      <c r="D8" s="69">
        <f>BOR!D8+ULBoard!D8+SUBoard!D8+LCTCBoard!D8+Online!D8+AE!D8+RR!D8</f>
        <v>26746840</v>
      </c>
      <c r="E8" s="69">
        <f>D8-C8</f>
        <v>-1601126</v>
      </c>
      <c r="F8" s="70">
        <f t="shared" ref="F8:F31" si="0">IF(ISBLANK(E8),"  ",IF(C8&gt;0,E8/C8,IF(E8&gt;0,1,0)))</f>
        <v>-5.6481159882864257E-2</v>
      </c>
      <c r="G8" s="69">
        <f>BOR!G8+ULBoard!G8+SUBoard!G8+LCTCBoard!G8+Online!G8+AE!G8+RR!G8</f>
        <v>26746840</v>
      </c>
      <c r="H8" s="227"/>
    </row>
    <row r="9" spans="1:9" ht="15" customHeight="1" x14ac:dyDescent="0.25">
      <c r="A9" s="68" t="s">
        <v>13</v>
      </c>
      <c r="B9" s="69">
        <f>BOR!B9+ULBoard!B9+SUBoard!B9+LCTCBoard!B9+Online!B9+AE!B9+RR!B9</f>
        <v>0</v>
      </c>
      <c r="C9" s="69">
        <f>BOR!C9+ULBoard!C9+SUBoard!C9+LCTCBoard!C9+Online!C9+AE!C9+RR!C9</f>
        <v>0</v>
      </c>
      <c r="D9" s="69">
        <f>BOR!D9+ULBoard!D9+SUBoard!D9+LCTCBoard!D9+Online!D9+AE!D9+RR!D9</f>
        <v>0</v>
      </c>
      <c r="E9" s="69">
        <f>D9-C9</f>
        <v>0</v>
      </c>
      <c r="F9" s="70">
        <f t="shared" si="0"/>
        <v>0</v>
      </c>
      <c r="G9" s="69">
        <f>BOR!G9+ULBoard!G9+SUBoard!G9+LCTCBoard!G9+Online!G9+AE!G9+RR!G9</f>
        <v>0</v>
      </c>
      <c r="H9" s="227"/>
    </row>
    <row r="10" spans="1:9" ht="15" customHeight="1" x14ac:dyDescent="0.25">
      <c r="A10" s="71" t="s">
        <v>14</v>
      </c>
      <c r="B10" s="69">
        <f>BOR!B10+ULBoard!B10+SUBoard!B10+LCTCBoard!B10+Online!B10+AE!B10+RR!B10</f>
        <v>31422309</v>
      </c>
      <c r="C10" s="69">
        <f>BOR!C10+ULBoard!C10+SUBoard!C10+LCTCBoard!C10+Online!C10+AE!C10+RR!C10</f>
        <v>34772000</v>
      </c>
      <c r="D10" s="69">
        <f>BOR!D10+ULBoard!D10+SUBoard!D10+LCTCBoard!D10+Online!D10+AE!D10+RR!D10</f>
        <v>34450000</v>
      </c>
      <c r="E10" s="69">
        <f t="shared" ref="E10:E31" si="1">D10-C10</f>
        <v>-322000</v>
      </c>
      <c r="F10" s="70">
        <f t="shared" si="0"/>
        <v>-9.2603243989416769E-3</v>
      </c>
      <c r="G10" s="69">
        <f>BOR!G10+ULBoard!G10+SUBoard!G10+LCTCBoard!G10+Online!G10+AE!G10+RR!G10</f>
        <v>34450000</v>
      </c>
      <c r="H10" s="227"/>
    </row>
    <row r="11" spans="1:9" ht="15" customHeight="1" x14ac:dyDescent="0.25">
      <c r="A11" s="73" t="s">
        <v>15</v>
      </c>
      <c r="B11" s="69">
        <f>BOR!B11+ULBoard!B11+SUBoard!B11+LCTCBoard!B11+Online!B11+AE!B11+RR!B11</f>
        <v>2020000</v>
      </c>
      <c r="C11" s="69">
        <f>BOR!C11+ULBoard!C11+SUBoard!C11+LCTCBoard!C11+Online!C11+AE!C11+RR!C11</f>
        <v>2142000</v>
      </c>
      <c r="D11" s="69">
        <f>BOR!D11+ULBoard!D11+SUBoard!D11+LCTCBoard!D11+Online!D11+AE!D11+RR!D11</f>
        <v>20000</v>
      </c>
      <c r="E11" s="69">
        <f t="shared" si="1"/>
        <v>-2122000</v>
      </c>
      <c r="F11" s="70">
        <f t="shared" si="0"/>
        <v>-0.99066293183940246</v>
      </c>
      <c r="G11" s="69">
        <f>BOR!G11+ULBoard!G11+SUBoard!G11+LCTCBoard!G11+Online!G11+AE!G11+RR!G11</f>
        <v>20000</v>
      </c>
      <c r="H11" s="227"/>
    </row>
    <row r="12" spans="1:9" ht="15" customHeight="1" x14ac:dyDescent="0.25">
      <c r="A12" s="75" t="s">
        <v>16</v>
      </c>
      <c r="B12" s="69">
        <f>BOR!B12+ULBoard!B12+SUBoard!B12+LCTCBoard!B12+Online!B12+AE!B12+RR!B12</f>
        <v>0</v>
      </c>
      <c r="C12" s="69">
        <f>BOR!C12+ULBoard!C12+SUBoard!C12+LCTCBoard!C12+Online!C12+AE!C12+RR!C12</f>
        <v>0</v>
      </c>
      <c r="D12" s="69">
        <f>BOR!D12+ULBoard!D12+SUBoard!D12+LCTCBoard!D12+Online!D12+AE!D12+RR!D12</f>
        <v>0</v>
      </c>
      <c r="E12" s="69">
        <f t="shared" si="1"/>
        <v>0</v>
      </c>
      <c r="F12" s="70">
        <f t="shared" si="0"/>
        <v>0</v>
      </c>
      <c r="G12" s="69">
        <f>BOR!G12+ULBoard!G12+SUBoard!G12+LCTCBoard!G12+Online!G12+AE!G12+RR!G12</f>
        <v>0</v>
      </c>
      <c r="H12" s="227"/>
    </row>
    <row r="13" spans="1:9" ht="15" customHeight="1" x14ac:dyDescent="0.25">
      <c r="A13" s="75" t="s">
        <v>17</v>
      </c>
      <c r="B13" s="69">
        <f>BOR!B13+ULBoard!B13+SUBoard!B13+LCTCBoard!B13+Online!B13+AE!B13+RR!B13</f>
        <v>0</v>
      </c>
      <c r="C13" s="69">
        <f>BOR!C13+ULBoard!C13+SUBoard!C13+LCTCBoard!C13+Online!C13+AE!C13+RR!C13</f>
        <v>0</v>
      </c>
      <c r="D13" s="69">
        <f>BOR!D13+ULBoard!D13+SUBoard!D13+LCTCBoard!D13+Online!D13+AE!D13+RR!D13</f>
        <v>0</v>
      </c>
      <c r="E13" s="69">
        <f t="shared" si="1"/>
        <v>0</v>
      </c>
      <c r="F13" s="70">
        <f t="shared" si="0"/>
        <v>0</v>
      </c>
      <c r="G13" s="69">
        <f>BOR!G13+ULBoard!G13+SUBoard!G13+LCTCBoard!G13+Online!G13+AE!G13+RR!G13</f>
        <v>0</v>
      </c>
      <c r="H13" s="227"/>
    </row>
    <row r="14" spans="1:9" ht="15" customHeight="1" x14ac:dyDescent="0.25">
      <c r="A14" s="75" t="s">
        <v>18</v>
      </c>
      <c r="B14" s="69">
        <f>BOR!B14+ULBoard!B14+SUBoard!B14+LCTCBoard!B14+Online!B14+AE!B14+RR!B14</f>
        <v>0</v>
      </c>
      <c r="C14" s="69">
        <f>BOR!C14+ULBoard!C14+SUBoard!C14+LCTCBoard!C14+Online!C14+AE!C14+RR!C14</f>
        <v>0</v>
      </c>
      <c r="D14" s="69">
        <f>BOR!D14+ULBoard!D14+SUBoard!D14+LCTCBoard!D14+Online!D14+AE!D14+RR!D14</f>
        <v>0</v>
      </c>
      <c r="E14" s="69">
        <f t="shared" si="1"/>
        <v>0</v>
      </c>
      <c r="F14" s="70">
        <f t="shared" si="0"/>
        <v>0</v>
      </c>
      <c r="G14" s="69">
        <f>BOR!G14+ULBoard!G14+SUBoard!G14+LCTCBoard!G14+Online!G14+AE!G14+RR!G14</f>
        <v>0</v>
      </c>
      <c r="H14" s="227"/>
    </row>
    <row r="15" spans="1:9" ht="15" customHeight="1" x14ac:dyDescent="0.25">
      <c r="A15" s="75" t="s">
        <v>19</v>
      </c>
      <c r="B15" s="69">
        <f>BOR!B15+ULBoard!B15+SUBoard!B15+LCTCBoard!B15+Online!B15+AE!B15+RR!B15</f>
        <v>0</v>
      </c>
      <c r="C15" s="69">
        <f>BOR!C15+ULBoard!C15+SUBoard!C15+LCTCBoard!C15+Online!C15+AE!C15+RR!C15</f>
        <v>0</v>
      </c>
      <c r="D15" s="69">
        <f>BOR!D15+ULBoard!D15+SUBoard!D15+LCTCBoard!D15+Online!D15+AE!D15+RR!D15</f>
        <v>0</v>
      </c>
      <c r="E15" s="69">
        <f t="shared" si="1"/>
        <v>0</v>
      </c>
      <c r="F15" s="70">
        <f t="shared" si="0"/>
        <v>0</v>
      </c>
      <c r="G15" s="69">
        <f>BOR!G15+ULBoard!G15+SUBoard!G15+LCTCBoard!G15+Online!G15+AE!G15+RR!G15</f>
        <v>0</v>
      </c>
      <c r="H15" s="227"/>
    </row>
    <row r="16" spans="1:9" ht="15" customHeight="1" x14ac:dyDescent="0.25">
      <c r="A16" s="75" t="s">
        <v>20</v>
      </c>
      <c r="B16" s="69">
        <f>BOR!B16+ULBoard!B16+SUBoard!B16+LCTCBoard!B16+Online!B16+AE!B16+RR!B16</f>
        <v>0</v>
      </c>
      <c r="C16" s="69">
        <f>BOR!C16+ULBoard!C16+SUBoard!C16+LCTCBoard!C16+Online!C16+AE!C16+RR!C16</f>
        <v>0</v>
      </c>
      <c r="D16" s="69">
        <f>BOR!D16+ULBoard!D16+SUBoard!D16+LCTCBoard!D16+Online!D16+AE!D16+RR!D16</f>
        <v>0</v>
      </c>
      <c r="E16" s="69">
        <f t="shared" si="1"/>
        <v>0</v>
      </c>
      <c r="F16" s="70">
        <f t="shared" si="0"/>
        <v>0</v>
      </c>
      <c r="G16" s="69">
        <f>BOR!G16+ULBoard!G16+SUBoard!G16+LCTCBoard!G16+Online!G16+AE!G16+RR!G16</f>
        <v>0</v>
      </c>
      <c r="H16" s="227"/>
    </row>
    <row r="17" spans="1:8" ht="15" customHeight="1" x14ac:dyDescent="0.25">
      <c r="A17" s="75" t="s">
        <v>21</v>
      </c>
      <c r="B17" s="69">
        <f>BOR!B17+ULBoard!B17+SUBoard!B17+LCTCBoard!B17+Online!B17+AE!B17+RR!B17</f>
        <v>0</v>
      </c>
      <c r="C17" s="69">
        <f>BOR!C17+ULBoard!C17+SUBoard!C17+LCTCBoard!C17+Online!C17+AE!C17+RR!C17</f>
        <v>0</v>
      </c>
      <c r="D17" s="69">
        <f>BOR!D17+ULBoard!D17+SUBoard!D17+LCTCBoard!D17+Online!D17+AE!D17+RR!D17</f>
        <v>0</v>
      </c>
      <c r="E17" s="69">
        <f t="shared" si="1"/>
        <v>0</v>
      </c>
      <c r="F17" s="70">
        <f t="shared" si="0"/>
        <v>0</v>
      </c>
      <c r="G17" s="69">
        <f>BOR!G17+ULBoard!G17+SUBoard!G17+LCTCBoard!G17+Online!G17+AE!G17+RR!G17</f>
        <v>0</v>
      </c>
      <c r="H17" s="227"/>
    </row>
    <row r="18" spans="1:8" ht="15" customHeight="1" x14ac:dyDescent="0.25">
      <c r="A18" s="75" t="s">
        <v>22</v>
      </c>
      <c r="B18" s="69">
        <f>BOR!B18+ULBoard!B18+SUBoard!B18+LCTCBoard!B18+Online!B18+AE!B18+RR!B18</f>
        <v>0</v>
      </c>
      <c r="C18" s="69">
        <f>BOR!C18+ULBoard!C18+SUBoard!C18+LCTCBoard!C18+Online!C18+AE!C18+RR!C18</f>
        <v>0</v>
      </c>
      <c r="D18" s="69">
        <f>BOR!D18+ULBoard!D18+SUBoard!D18+LCTCBoard!D18+Online!D18+AE!D18+RR!D18</f>
        <v>0</v>
      </c>
      <c r="E18" s="69">
        <f t="shared" si="1"/>
        <v>0</v>
      </c>
      <c r="F18" s="70">
        <f t="shared" si="0"/>
        <v>0</v>
      </c>
      <c r="G18" s="69">
        <f>BOR!G18+ULBoard!G18+SUBoard!G18+LCTCBoard!G18+Online!G18+AE!G18+RR!G18</f>
        <v>0</v>
      </c>
      <c r="H18" s="227"/>
    </row>
    <row r="19" spans="1:8" ht="15" customHeight="1" x14ac:dyDescent="0.25">
      <c r="A19" s="75" t="s">
        <v>23</v>
      </c>
      <c r="B19" s="69">
        <f>BOR!B19+ULBoard!B19+SUBoard!B19+LCTCBoard!B19+Online!B19+AE!B19+RR!B19</f>
        <v>0</v>
      </c>
      <c r="C19" s="69">
        <f>BOR!C19+ULBoard!C19+SUBoard!C19+LCTCBoard!C19+Online!C19+AE!C19+RR!C19</f>
        <v>0</v>
      </c>
      <c r="D19" s="69">
        <f>BOR!D19+ULBoard!D19+SUBoard!D19+LCTCBoard!D19+Online!D19+AE!D19+RR!D19</f>
        <v>0</v>
      </c>
      <c r="E19" s="69">
        <f t="shared" si="1"/>
        <v>0</v>
      </c>
      <c r="F19" s="70">
        <f t="shared" si="0"/>
        <v>0</v>
      </c>
      <c r="G19" s="69">
        <f>BOR!G19+ULBoard!G19+SUBoard!G19+LCTCBoard!G19+Online!G19+AE!G19+RR!G19</f>
        <v>0</v>
      </c>
      <c r="H19" s="227"/>
    </row>
    <row r="20" spans="1:8" ht="15" customHeight="1" x14ac:dyDescent="0.25">
      <c r="A20" s="75" t="s">
        <v>24</v>
      </c>
      <c r="B20" s="69">
        <f>BOR!B20+ULBoard!B20+SUBoard!B20+LCTCBoard!B20+Online!B20+AE!B20+RR!B20</f>
        <v>0</v>
      </c>
      <c r="C20" s="69">
        <f>BOR!C20+ULBoard!C20+SUBoard!C20+LCTCBoard!C20+Online!C20+AE!C20+RR!C20</f>
        <v>0</v>
      </c>
      <c r="D20" s="69">
        <f>BOR!D20+ULBoard!D20+SUBoard!D20+LCTCBoard!D20+Online!D20+AE!D20+RR!D20</f>
        <v>0</v>
      </c>
      <c r="E20" s="69">
        <f t="shared" si="1"/>
        <v>0</v>
      </c>
      <c r="F20" s="70">
        <f t="shared" si="0"/>
        <v>0</v>
      </c>
      <c r="G20" s="69">
        <f>BOR!G20+ULBoard!G20+SUBoard!G20+LCTCBoard!G20+Online!G20+AE!G20+RR!G20</f>
        <v>0</v>
      </c>
      <c r="H20" s="227"/>
    </row>
    <row r="21" spans="1:8" ht="15" customHeight="1" x14ac:dyDescent="0.25">
      <c r="A21" s="75" t="s">
        <v>25</v>
      </c>
      <c r="B21" s="69">
        <f>BOR!B21+ULBoard!B21+SUBoard!B21+LCTCBoard!B21+Online!B21+AE!B21+RR!B21</f>
        <v>0</v>
      </c>
      <c r="C21" s="69">
        <f>BOR!C21+ULBoard!C21+SUBoard!C21+LCTCBoard!C21+Online!C21+AE!C21+RR!C21</f>
        <v>0</v>
      </c>
      <c r="D21" s="69">
        <f>BOR!D21+ULBoard!D21+SUBoard!D21+LCTCBoard!D21+Online!D21+AE!D21+RR!D21</f>
        <v>0</v>
      </c>
      <c r="E21" s="69">
        <f t="shared" si="1"/>
        <v>0</v>
      </c>
      <c r="F21" s="70">
        <f t="shared" si="0"/>
        <v>0</v>
      </c>
      <c r="G21" s="69">
        <f>BOR!G21+ULBoard!G21+SUBoard!G21+LCTCBoard!G21+Online!G21+AE!G21+RR!G21</f>
        <v>0</v>
      </c>
      <c r="H21" s="227"/>
    </row>
    <row r="22" spans="1:8" ht="15" customHeight="1" x14ac:dyDescent="0.25">
      <c r="A22" s="75" t="s">
        <v>26</v>
      </c>
      <c r="B22" s="69">
        <f>BOR!B22+ULBoard!B22+SUBoard!B22+LCTCBoard!B22+Online!B22+AE!B22+RR!B22</f>
        <v>19190297</v>
      </c>
      <c r="C22" s="69">
        <f>BOR!C22+ULBoard!C22+SUBoard!C22+LCTCBoard!C22+Online!C22+AE!C22+RR!C22</f>
        <v>22230000</v>
      </c>
      <c r="D22" s="69">
        <f>BOR!D22+ULBoard!D22+SUBoard!D22+LCTCBoard!D22+Online!D22+AE!D22+RR!D22</f>
        <v>24230000</v>
      </c>
      <c r="E22" s="69">
        <f t="shared" si="1"/>
        <v>2000000</v>
      </c>
      <c r="F22" s="70">
        <f t="shared" si="0"/>
        <v>8.9968511021142603E-2</v>
      </c>
      <c r="G22" s="69">
        <f>BOR!G22+ULBoard!G22+SUBoard!G22+LCTCBoard!G22+Online!G22+AE!G22+RR!G22</f>
        <v>24230000</v>
      </c>
      <c r="H22" s="227"/>
    </row>
    <row r="23" spans="1:8" ht="15" customHeight="1" x14ac:dyDescent="0.25">
      <c r="A23" s="76" t="s">
        <v>27</v>
      </c>
      <c r="B23" s="69">
        <f>BOR!B23+ULBoard!B23+SUBoard!B23+LCTCBoard!B23+Online!B23+AE!B23+RR!B23</f>
        <v>12012</v>
      </c>
      <c r="C23" s="69">
        <f>BOR!C23+ULBoard!C23+SUBoard!C23+LCTCBoard!C23+Online!C23+AE!C23+RR!C23</f>
        <v>200000</v>
      </c>
      <c r="D23" s="69">
        <f>BOR!D23+ULBoard!D23+SUBoard!D23+LCTCBoard!D23+Online!D23+AE!D23+RR!D23</f>
        <v>0</v>
      </c>
      <c r="E23" s="69">
        <f t="shared" si="1"/>
        <v>-200000</v>
      </c>
      <c r="F23" s="70">
        <f t="shared" si="0"/>
        <v>-1</v>
      </c>
      <c r="G23" s="69">
        <f>BOR!G23+ULBoard!G23+SUBoard!G23+LCTCBoard!G23+Online!G23+AE!G23+RR!G23</f>
        <v>0</v>
      </c>
      <c r="H23" s="227"/>
    </row>
    <row r="24" spans="1:8" ht="15" customHeight="1" x14ac:dyDescent="0.25">
      <c r="A24" s="76" t="s">
        <v>28</v>
      </c>
      <c r="B24" s="69">
        <f>BOR!B24+ULBoard!B24+SUBoard!B24+LCTCBoard!B24+Online!B24+AE!B24+RR!B24</f>
        <v>10000000</v>
      </c>
      <c r="C24" s="69">
        <f>BOR!C24+ULBoard!C24+SUBoard!C24+LCTCBoard!C24+Online!C24+AE!C24+RR!C24</f>
        <v>10000000</v>
      </c>
      <c r="D24" s="69">
        <f>BOR!D24+ULBoard!D24+SUBoard!D24+LCTCBoard!D24+Online!D24+AE!D24+RR!D24</f>
        <v>10000000</v>
      </c>
      <c r="E24" s="69">
        <f t="shared" si="1"/>
        <v>0</v>
      </c>
      <c r="F24" s="70">
        <f t="shared" si="0"/>
        <v>0</v>
      </c>
      <c r="G24" s="69">
        <f>BOR!G24+ULBoard!G24+SUBoard!G24+LCTCBoard!G24+Online!G24+AE!G24+RR!G24</f>
        <v>10000000</v>
      </c>
      <c r="H24" s="227"/>
    </row>
    <row r="25" spans="1:8" ht="15" customHeight="1" x14ac:dyDescent="0.25">
      <c r="A25" s="76" t="s">
        <v>29</v>
      </c>
      <c r="B25" s="69">
        <f>BOR!B25+ULBoard!B25+SUBoard!B25+LCTCBoard!B25+Online!B25+AE!B25+RR!B25</f>
        <v>0</v>
      </c>
      <c r="C25" s="69">
        <f>BOR!C25+ULBoard!C25+SUBoard!C25+LCTCBoard!C25+Online!C25+AE!C25+RR!C25</f>
        <v>0</v>
      </c>
      <c r="D25" s="69">
        <f>BOR!D25+ULBoard!D25+SUBoard!D25+LCTCBoard!D25+Online!D25+AE!D25+RR!D25</f>
        <v>0</v>
      </c>
      <c r="E25" s="69">
        <f t="shared" si="1"/>
        <v>0</v>
      </c>
      <c r="F25" s="70">
        <f t="shared" si="0"/>
        <v>0</v>
      </c>
      <c r="G25" s="69">
        <f>BOR!G25+ULBoard!G25+SUBoard!G25+LCTCBoard!G25+Online!G25+AE!G25+RR!G25</f>
        <v>0</v>
      </c>
      <c r="H25" s="227"/>
    </row>
    <row r="26" spans="1:8" ht="15" customHeight="1" x14ac:dyDescent="0.25">
      <c r="A26" s="76" t="s">
        <v>30</v>
      </c>
      <c r="B26" s="69">
        <f>BOR!B26+ULBoard!B26+SUBoard!B26+LCTCBoard!B26+Online!B26+AE!B26+RR!B26</f>
        <v>0</v>
      </c>
      <c r="C26" s="69">
        <f>BOR!C26+ULBoard!C26+SUBoard!C26+LCTCBoard!C26+Online!C26+AE!C26+RR!C26</f>
        <v>0</v>
      </c>
      <c r="D26" s="69">
        <f>BOR!D26+ULBoard!D26+SUBoard!D26+LCTCBoard!D26+Online!D26+AE!D26+RR!D26</f>
        <v>0</v>
      </c>
      <c r="E26" s="69">
        <f t="shared" si="1"/>
        <v>0</v>
      </c>
      <c r="F26" s="70">
        <f t="shared" si="0"/>
        <v>0</v>
      </c>
      <c r="G26" s="69">
        <f>BOR!G26+ULBoard!G26+SUBoard!G26+LCTCBoard!G26+Online!G26+AE!G26+RR!G26</f>
        <v>0</v>
      </c>
      <c r="H26" s="227"/>
    </row>
    <row r="27" spans="1:8" ht="15" customHeight="1" x14ac:dyDescent="0.25">
      <c r="A27" s="76" t="s">
        <v>31</v>
      </c>
      <c r="B27" s="69">
        <f>BOR!B27+ULBoard!B27+SUBoard!B27+LCTCBoard!B27+Online!B27+AE!B27+RR!B27</f>
        <v>0</v>
      </c>
      <c r="C27" s="69">
        <f>BOR!C27+ULBoard!C27+SUBoard!C27+LCTCBoard!C27+Online!C27+AE!C27+RR!C27</f>
        <v>0</v>
      </c>
      <c r="D27" s="69">
        <f>BOR!D27+ULBoard!D27+SUBoard!D27+LCTCBoard!D27+Online!D27+AE!D27+RR!D27</f>
        <v>0</v>
      </c>
      <c r="E27" s="69">
        <f t="shared" si="1"/>
        <v>0</v>
      </c>
      <c r="F27" s="70">
        <f t="shared" si="0"/>
        <v>0</v>
      </c>
      <c r="G27" s="69">
        <f>BOR!G27+ULBoard!G27+SUBoard!G27+LCTCBoard!G27+Online!G27+AE!G27+RR!G27</f>
        <v>0</v>
      </c>
      <c r="H27" s="227"/>
    </row>
    <row r="28" spans="1:8" ht="15" customHeight="1" x14ac:dyDescent="0.25">
      <c r="A28" s="76" t="s">
        <v>87</v>
      </c>
      <c r="B28" s="69">
        <f>BOR!B28+ULBoard!B28+SUBoard!B28+LCTCBoard!B28+Online!B28+AE!B28+RR!B28</f>
        <v>200000</v>
      </c>
      <c r="C28" s="69">
        <f>BOR!C28+ULBoard!C28+SUBoard!C28+LCTCBoard!C28+Online!C28+AE!C28+RR!C28</f>
        <v>200000</v>
      </c>
      <c r="D28" s="69">
        <f>BOR!D28+ULBoard!D28+SUBoard!D28+LCTCBoard!D28+Online!D28+AE!D28+RR!D28</f>
        <v>200000</v>
      </c>
      <c r="E28" s="69">
        <f t="shared" si="1"/>
        <v>0</v>
      </c>
      <c r="F28" s="70">
        <f t="shared" si="0"/>
        <v>0</v>
      </c>
      <c r="G28" s="69">
        <f>BOR!G28+ULBoard!G28+SUBoard!G28+LCTCBoard!G28+Online!G28+AE!G28+RR!G28</f>
        <v>200000</v>
      </c>
      <c r="H28" s="227"/>
    </row>
    <row r="29" spans="1:8" ht="15" customHeight="1" x14ac:dyDescent="0.25">
      <c r="A29" s="76" t="s">
        <v>32</v>
      </c>
      <c r="B29" s="69">
        <f>BOR!B29+ULBoard!B29+SUBoard!B29+LCTCBoard!B29+Online!B29+AE!B29+RR!B29</f>
        <v>0</v>
      </c>
      <c r="C29" s="69">
        <f>BOR!C29+ULBoard!C29+SUBoard!C29+LCTCBoard!C29+Online!C29+AE!C29+RR!C29</f>
        <v>0</v>
      </c>
      <c r="D29" s="69">
        <f>BOR!D29+ULBoard!D29+SUBoard!D29+LCTCBoard!D29+Online!D29+AE!D29+RR!D29</f>
        <v>0</v>
      </c>
      <c r="E29" s="69">
        <f t="shared" si="1"/>
        <v>0</v>
      </c>
      <c r="F29" s="70">
        <f t="shared" si="0"/>
        <v>0</v>
      </c>
      <c r="G29" s="69">
        <f>BOR!G29+ULBoard!G29+SUBoard!G29+LCTCBoard!G29+Online!G29+AE!G29+RR!G29</f>
        <v>0</v>
      </c>
      <c r="H29" s="227"/>
    </row>
    <row r="30" spans="1:8" ht="15" customHeight="1" x14ac:dyDescent="0.25">
      <c r="A30" s="217" t="s">
        <v>201</v>
      </c>
      <c r="B30" s="69">
        <f>BOR!B30+ULBoard!B30+SUBoard!B30+LCTCBoard!B30+Online!B30+AE!B30+RR!B30</f>
        <v>0</v>
      </c>
      <c r="C30" s="69">
        <f>BOR!C30+ULBoard!C30+SUBoard!C30+LCTCBoard!C30+Online!C30+AE!C30+RR!C30</f>
        <v>0</v>
      </c>
      <c r="D30" s="69">
        <f>BOR!D30+ULBoard!D30+SUBoard!D30+LCTCBoard!D30+Online!D30+AE!D30+RR!D30</f>
        <v>0</v>
      </c>
      <c r="E30" s="69">
        <f t="shared" si="1"/>
        <v>0</v>
      </c>
      <c r="F30" s="70">
        <f t="shared" si="0"/>
        <v>0</v>
      </c>
      <c r="G30" s="69">
        <f>BOR!G30+ULBoard!G30+SUBoard!G30+LCTCBoard!G30+Online!G30+AE!G30+RR!G30</f>
        <v>0</v>
      </c>
      <c r="H30" s="227"/>
    </row>
    <row r="31" spans="1:8" ht="15" customHeight="1" x14ac:dyDescent="0.25">
      <c r="A31" s="76" t="s">
        <v>202</v>
      </c>
      <c r="B31" s="69">
        <f>BOR!B31+ULBoard!B31+SUBoard!B31+LCTCBoard!B31+Online!B31+AE!B31+RR!B31</f>
        <v>0</v>
      </c>
      <c r="C31" s="69">
        <f>BOR!C31+ULBoard!C31+SUBoard!C31+LCTCBoard!C31+Online!C31+AE!C31+RR!C31</f>
        <v>0</v>
      </c>
      <c r="D31" s="69">
        <f>BOR!D31+ULBoard!D31+SUBoard!D31+LCTCBoard!D31+Online!D31+AE!D31+RR!D31</f>
        <v>0</v>
      </c>
      <c r="E31" s="69">
        <f t="shared" si="1"/>
        <v>0</v>
      </c>
      <c r="F31" s="70">
        <f t="shared" si="0"/>
        <v>0</v>
      </c>
      <c r="G31" s="69">
        <f>BOR!G31+ULBoard!G31+SUBoard!G31+LCTCBoard!G31+Online!G31+AE!G31+RR!G31</f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>
        <f>BOR!G32+ULBoard!G32+SUBoard!G32+LCTCBoard!G32+Online!G32+AE!G32+RR!G32</f>
        <v>0</v>
      </c>
      <c r="H32" s="227"/>
    </row>
    <row r="33" spans="1:13" ht="15" customHeight="1" x14ac:dyDescent="0.25">
      <c r="A33" s="73" t="s">
        <v>34</v>
      </c>
      <c r="B33" s="69">
        <f>BOR!B33+ULBoard!B33+SUBoard!B33+LCTCBoard!B33+Online!B33+AE!B33+RR!B33</f>
        <v>0</v>
      </c>
      <c r="C33" s="69">
        <f>BOR!C33+ULBoard!C33+SUBoard!C33+LCTCBoard!C33+Online!C33+AE!C33+RR!C33</f>
        <v>0</v>
      </c>
      <c r="D33" s="69">
        <f>BOR!D33+ULBoard!D33+SUBoard!D33+LCTCBoard!D33+Online!D33+AE!D33+RR!D33</f>
        <v>0</v>
      </c>
      <c r="E33" s="69">
        <f>D33-C33</f>
        <v>0</v>
      </c>
      <c r="F33" s="70">
        <f>IF(ISBLANK(E33),"  ",IF(C33&gt;0,E33/C33,IF(E33&gt;0,1,0)))</f>
        <v>0</v>
      </c>
      <c r="G33" s="69">
        <f>BOR!G33+ULBoard!G33+SUBoard!G33+LCTCBoard!G33+Online!G33+AE!G33+RR!G33</f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>
        <f>BOR!G34+ULBoard!G34+SUBoard!G34+LCTCBoard!G34+Online!G34+AE!G34+RR!G34</f>
        <v>0</v>
      </c>
      <c r="H34" s="227"/>
    </row>
    <row r="35" spans="1:13" ht="15" customHeight="1" x14ac:dyDescent="0.25">
      <c r="A35" s="73" t="s">
        <v>34</v>
      </c>
      <c r="B35" s="69">
        <f>BOR!B35+ULBoard!B35+SUBoard!B35+LCTCBoard!B35+Online!B35+AE!B35+RR!B35</f>
        <v>0</v>
      </c>
      <c r="C35" s="69">
        <f>BOR!C35+ULBoard!C35+SUBoard!C35+LCTCBoard!C35+Online!C35+AE!C35+RR!C35</f>
        <v>0</v>
      </c>
      <c r="D35" s="69">
        <f>BOR!D35+ULBoard!D35+SUBoard!D35+LCTCBoard!D35+Online!D35+AE!D35+RR!D35</f>
        <v>0</v>
      </c>
      <c r="E35" s="69">
        <f>D35-C35</f>
        <v>0</v>
      </c>
      <c r="F35" s="70">
        <f>IF(ISBLANK(E35),"  ",IF(C35&gt;0,E35/C35,IF(E35&gt;0,1,0)))</f>
        <v>0</v>
      </c>
      <c r="G35" s="69">
        <f>BOR!G35+ULBoard!G35+SUBoard!G35+LCTCBoard!G35+Online!G35+AE!G35+RR!G35</f>
        <v>0</v>
      </c>
      <c r="H35" s="227"/>
    </row>
    <row r="36" spans="1:13" ht="15" customHeight="1" x14ac:dyDescent="0.25">
      <c r="A36" s="75" t="s">
        <v>36</v>
      </c>
      <c r="B36" s="72"/>
      <c r="C36" s="72"/>
      <c r="D36" s="72"/>
      <c r="E36" s="72"/>
      <c r="F36" s="70" t="s">
        <v>37</v>
      </c>
      <c r="G36" s="69">
        <f>BOR!G36+ULBoard!G36+SUBoard!G36+LCTCBoard!G36+Online!G36+AE!G36+RR!G36</f>
        <v>0</v>
      </c>
      <c r="H36" s="227"/>
    </row>
    <row r="37" spans="1:13" s="124" customFormat="1" ht="15" customHeight="1" x14ac:dyDescent="0.25">
      <c r="A37" s="79" t="s">
        <v>38</v>
      </c>
      <c r="B37" s="87">
        <f>BOR!B37+ULBoard!B37+SUBoard!B37+LCTCBoard!B37+Online!B37+AE!B37+RR!B37</f>
        <v>59770275</v>
      </c>
      <c r="C37" s="87">
        <f>BOR!C37+ULBoard!C37+SUBoard!C37+LCTCBoard!C37+Online!C37+AE!C37+RR!C37</f>
        <v>63119966</v>
      </c>
      <c r="D37" s="87">
        <f>BOR!D37+ULBoard!D37+SUBoard!D37+LCTCBoard!D37+Online!D37+AE!D37+RR!D37</f>
        <v>61196840</v>
      </c>
      <c r="E37" s="87">
        <f>D37-C37</f>
        <v>-1923126</v>
      </c>
      <c r="F37" s="81">
        <f>IF(ISBLANK(E37),"  ",IF(C37&gt;0,E37/C37,IF(E37&gt;0,1,0)))</f>
        <v>-3.0467792077074313E-2</v>
      </c>
      <c r="G37" s="87">
        <f>BOR!G37+ULBoard!G37+SUBoard!G37+LCTCBoard!G37+Online!G37+AE!G37+RR!G37</f>
        <v>61196840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>
        <f>BOR!G38+ULBoard!G38+SUBoard!G38+LCTCBoard!G38+Online!G38+AE!G38+RR!G38</f>
        <v>0</v>
      </c>
      <c r="H38" s="227"/>
    </row>
    <row r="39" spans="1:13" ht="15" customHeight="1" x14ac:dyDescent="0.25">
      <c r="A39" s="82" t="s">
        <v>40</v>
      </c>
      <c r="B39" s="69">
        <f>BOR!B39+ULBoard!B39+SUBoard!B39+LCTCBoard!B39+Online!B39+AE!B39+RR!B39</f>
        <v>0</v>
      </c>
      <c r="C39" s="69">
        <f>BOR!C39+ULBoard!C39+SUBoard!C39+LCTCBoard!C39+Online!C39+AE!C39+RR!C39</f>
        <v>0</v>
      </c>
      <c r="D39" s="69">
        <f>BOR!D39+ULBoard!D39+SUBoard!D39+LCTCBoard!D39+Online!D39+AE!D39+RR!D39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BOR!G39+ULBoard!G39+SUBoard!G39+LCTCBoard!G39+Online!G39+AE!G39+RR!G39</f>
        <v>0</v>
      </c>
      <c r="H39" s="227"/>
    </row>
    <row r="40" spans="1:13" ht="15" customHeight="1" x14ac:dyDescent="0.25">
      <c r="A40" s="83" t="s">
        <v>41</v>
      </c>
      <c r="B40" s="69">
        <f>BOR!B40+ULBoard!B40+SUBoard!B40+LCTCBoard!B40+Online!B40+AE!B40+RR!B40</f>
        <v>0</v>
      </c>
      <c r="C40" s="69">
        <f>BOR!C40+ULBoard!C40+SUBoard!C40+LCTCBoard!C40+Online!C40+AE!C40+RR!C40</f>
        <v>0</v>
      </c>
      <c r="D40" s="69">
        <f>BOR!D40+ULBoard!D40+SUBoard!D40+LCTCBoard!D40+Online!D40+AE!D40+RR!D40</f>
        <v>0</v>
      </c>
      <c r="E40" s="69">
        <f>D40-C40</f>
        <v>0</v>
      </c>
      <c r="F40" s="70">
        <f t="shared" si="2"/>
        <v>0</v>
      </c>
      <c r="G40" s="69">
        <f>BOR!G40+ULBoard!G40+SUBoard!G40+LCTCBoard!G40+Online!G40+AE!G40+RR!G40</f>
        <v>0</v>
      </c>
      <c r="H40" s="227"/>
    </row>
    <row r="41" spans="1:13" ht="15" customHeight="1" x14ac:dyDescent="0.25">
      <c r="A41" s="83" t="s">
        <v>42</v>
      </c>
      <c r="B41" s="69">
        <f>BOR!B41+ULBoard!B41+SUBoard!B41+LCTCBoard!B41+Online!B41+AE!B41+RR!B41</f>
        <v>0</v>
      </c>
      <c r="C41" s="69">
        <f>BOR!C41+ULBoard!C41+SUBoard!C41+LCTCBoard!C41+Online!C41+AE!C41+RR!C41</f>
        <v>0</v>
      </c>
      <c r="D41" s="69">
        <f>BOR!D41+ULBoard!D41+SUBoard!D41+LCTCBoard!D41+Online!D41+AE!D41+RR!D41</f>
        <v>0</v>
      </c>
      <c r="E41" s="69">
        <f t="shared" ref="E41:E44" si="3">D41-C41</f>
        <v>0</v>
      </c>
      <c r="F41" s="70">
        <f t="shared" si="2"/>
        <v>0</v>
      </c>
      <c r="G41" s="69">
        <f>BOR!G41+ULBoard!G41+SUBoard!G41+LCTCBoard!G41+Online!G41+AE!G41+RR!G41</f>
        <v>0</v>
      </c>
      <c r="H41" s="227"/>
    </row>
    <row r="42" spans="1:13" ht="15" customHeight="1" x14ac:dyDescent="0.25">
      <c r="A42" s="83" t="s">
        <v>43</v>
      </c>
      <c r="B42" s="69">
        <f>BOR!B42+ULBoard!B42+SUBoard!B42+LCTCBoard!B42+Online!B42+AE!B42+RR!B42</f>
        <v>0</v>
      </c>
      <c r="C42" s="69">
        <f>BOR!C42+ULBoard!C42+SUBoard!C42+LCTCBoard!C42+Online!C42+AE!C42+RR!C42</f>
        <v>0</v>
      </c>
      <c r="D42" s="69">
        <f>BOR!D42+ULBoard!D42+SUBoard!D42+LCTCBoard!D42+Online!D42+AE!D42+RR!D42</f>
        <v>0</v>
      </c>
      <c r="E42" s="69">
        <f t="shared" si="3"/>
        <v>0</v>
      </c>
      <c r="F42" s="70">
        <f t="shared" si="2"/>
        <v>0</v>
      </c>
      <c r="G42" s="69">
        <f>BOR!G42+ULBoard!G42+SUBoard!G42+LCTCBoard!G42+Online!G42+AE!G42+RR!G42</f>
        <v>0</v>
      </c>
      <c r="H42" s="227"/>
    </row>
    <row r="43" spans="1:13" ht="15" customHeight="1" x14ac:dyDescent="0.25">
      <c r="A43" s="84" t="s">
        <v>44</v>
      </c>
      <c r="B43" s="69">
        <f>BOR!B43+ULBoard!B43+SUBoard!B43+LCTCBoard!B43+Online!B43+AE!B43+RR!B43</f>
        <v>0</v>
      </c>
      <c r="C43" s="69">
        <f>BOR!C43+ULBoard!C43+SUBoard!C43+LCTCBoard!C43+Online!C43+AE!C43+RR!C43</f>
        <v>0</v>
      </c>
      <c r="D43" s="69">
        <f>BOR!D43+ULBoard!D43+SUBoard!D43+LCTCBoard!D43+Online!D43+AE!D43+RR!D43</f>
        <v>0</v>
      </c>
      <c r="E43" s="69">
        <f t="shared" si="3"/>
        <v>0</v>
      </c>
      <c r="F43" s="70">
        <f t="shared" si="2"/>
        <v>0</v>
      </c>
      <c r="G43" s="69">
        <f>BOR!G43+ULBoard!G43+SUBoard!G43+LCTCBoard!G43+Online!G43+AE!G43+RR!G43</f>
        <v>0</v>
      </c>
      <c r="H43" s="227"/>
    </row>
    <row r="44" spans="1:13" s="124" customFormat="1" ht="15" customHeight="1" x14ac:dyDescent="0.25">
      <c r="A44" s="77" t="s">
        <v>45</v>
      </c>
      <c r="B44" s="87">
        <f>BOR!B44+ULBoard!B44+SUBoard!B44+LCTCBoard!B44+Online!B44+AE!B44+RR!B44</f>
        <v>0</v>
      </c>
      <c r="C44" s="87">
        <f>BOR!C44+ULBoard!C44+SUBoard!C44+LCTCBoard!C44+Online!C44+AE!C44+RR!C44</f>
        <v>0</v>
      </c>
      <c r="D44" s="87">
        <f>BOR!D44+ULBoard!D44+SUBoard!D44+LCTCBoard!D44+Online!D44+AE!D44+RR!D44</f>
        <v>0</v>
      </c>
      <c r="E44" s="87">
        <f t="shared" si="3"/>
        <v>0</v>
      </c>
      <c r="F44" s="81">
        <f t="shared" si="2"/>
        <v>0</v>
      </c>
      <c r="G44" s="87">
        <f>BOR!G44+ULBoard!G44+SUBoard!G44+LCTCBoard!G44+Online!G44+AE!G44+RR!G44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80">
        <f>BOR!G45+ULBoard!G45+SUBoard!G45+LCTCBoard!G45+Online!G45+AE!G45+RR!G45</f>
        <v>0</v>
      </c>
      <c r="H45" s="227"/>
    </row>
    <row r="46" spans="1:13" s="124" customFormat="1" ht="15" customHeight="1" x14ac:dyDescent="0.25">
      <c r="A46" s="86" t="s">
        <v>47</v>
      </c>
      <c r="B46" s="87">
        <f>BOR!B46+ULBoard!B46+SUBoard!B46+LCTCBoard!B46+Online!B46+AE!B46+RR!B46</f>
        <v>5713708</v>
      </c>
      <c r="C46" s="87">
        <f>BOR!C46+ULBoard!C46+SUBoard!C46+LCTCBoard!C46+Online!C46+AE!C46+RR!C46</f>
        <v>8581735</v>
      </c>
      <c r="D46" s="87">
        <f>BOR!D46+ULBoard!D46+SUBoard!D46+LCTCBoard!D46+Online!D46+AE!D46+RR!D46</f>
        <v>9818704</v>
      </c>
      <c r="E46" s="87">
        <f>D46-C46</f>
        <v>1236969</v>
      </c>
      <c r="F46" s="81">
        <f>IF(ISBLANK(E46),"  ",IF(C46&gt;0,E46/C46,IF(E46&gt;0,1,0)))</f>
        <v>0.14413973398153171</v>
      </c>
      <c r="G46" s="87">
        <f>BOR!G46+ULBoard!G46+SUBoard!G46+LCTCBoard!G46+Online!G46+AE!G46+RR!G46</f>
        <v>9818704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>
        <f>BOR!G47+ULBoard!G47+SUBoard!G47+LCTCBoard!G47+Online!G47+AE!G47+RR!G47</f>
        <v>0</v>
      </c>
      <c r="H47" s="228"/>
    </row>
    <row r="48" spans="1:13" ht="15" customHeight="1" x14ac:dyDescent="0.25">
      <c r="A48" s="86" t="s">
        <v>200</v>
      </c>
      <c r="B48" s="87">
        <f>BOR!B48+ULBoard!B48+SUBoard!B48+LCTCBoard!B48+Online!B48</f>
        <v>0</v>
      </c>
      <c r="C48" s="87">
        <f>BOR!C48+ULBoard!C48+SUBoard!C48+LCTCBoard!C48+Online!C48</f>
        <v>0</v>
      </c>
      <c r="D48" s="87">
        <f>BOR!D48+ULBoard!D48+SUBoard!D48+LCTCBoard!D48+Online!D48</f>
        <v>3250000</v>
      </c>
      <c r="E48" s="87">
        <f>D48-C48</f>
        <v>3250000</v>
      </c>
      <c r="F48" s="81">
        <f>IF(ISBLANK(E48)," ",IF(C48&gt;0,E48/C48,IF(E48&gt;0,1,0)))</f>
        <v>1</v>
      </c>
      <c r="G48" s="87">
        <f>BOR!G48+ULBoard!G48+SUBoard!G48+LCTCBoard!G48+Online!G48+AE!G48+RR!G48</f>
        <v>3250000</v>
      </c>
      <c r="H48" s="228"/>
    </row>
    <row r="49" spans="1:8" ht="15" customHeight="1" x14ac:dyDescent="0.25">
      <c r="A49" s="73"/>
      <c r="B49" s="65"/>
      <c r="C49" s="65"/>
      <c r="D49" s="65"/>
      <c r="E49" s="65"/>
      <c r="F49" s="67"/>
      <c r="G49" s="80">
        <f>BOR!G49+ULBoard!G49+SUBoard!G49+LCTCBoard!G49+Online!G49+AE!G49+RR!G49</f>
        <v>0</v>
      </c>
      <c r="H49" s="227"/>
    </row>
    <row r="50" spans="1:8" s="124" customFormat="1" ht="15" customHeight="1" x14ac:dyDescent="0.25">
      <c r="A50" s="86" t="s">
        <v>48</v>
      </c>
      <c r="B50" s="87">
        <f>BOR!B50+ULBoard!B50+SUBoard!B50+LCTCBoard!B50+Online!B50</f>
        <v>0</v>
      </c>
      <c r="C50" s="87">
        <f>BOR!C50+ULBoard!C50+SUBoard!C50+LCTCBoard!C50+Online!C50</f>
        <v>0</v>
      </c>
      <c r="D50" s="87">
        <f>BOR!D50+ULBoard!D50+SUBoard!D50+LCTCBoard!D50+Online!D50</f>
        <v>0</v>
      </c>
      <c r="E50" s="87">
        <f>D50-C50</f>
        <v>0</v>
      </c>
      <c r="F50" s="81">
        <f>IF(ISBLANK(E50),"  ",IF(C50&gt;0,E50/C50,IF(E50&gt;0,1,0)))</f>
        <v>0</v>
      </c>
      <c r="G50" s="87">
        <f>BOR!G50+ULBoard!G50+SUBoard!G50+LCTCBoard!G50+Online!G50+AE!G50+RR!G50</f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80">
        <f>BOR!G51+ULBoard!G51+SUBoard!G51+LCTCBoard!G51+Online!G51+AE!G51+RR!G51</f>
        <v>0</v>
      </c>
      <c r="H51" s="227"/>
    </row>
    <row r="52" spans="1:8" s="124" customFormat="1" ht="15" customHeight="1" x14ac:dyDescent="0.25">
      <c r="A52" s="77" t="s">
        <v>49</v>
      </c>
      <c r="B52" s="87">
        <f>BOR!B52+ULBoard!B52+SUBoard!B52+LCTCBoard!B52+Online!B52+AE!B52+RR!B52</f>
        <v>4150557</v>
      </c>
      <c r="C52" s="87">
        <f>BOR!C52+ULBoard!C52+SUBoard!C52+LCTCBoard!C52+Online!C52+AE!C52+RR!C52</f>
        <v>5544299</v>
      </c>
      <c r="D52" s="87">
        <f>BOR!D52+ULBoard!D52+SUBoard!D52+LCTCBoard!D52+Online!D52+AE!D52+RR!D52</f>
        <v>5744299</v>
      </c>
      <c r="E52" s="87">
        <f>D52-C52</f>
        <v>200000</v>
      </c>
      <c r="F52" s="81">
        <f>IF(ISBLANK(E52),"  ",IF(C52&gt;0,E52/C52,IF(E52&gt;0,1,0)))</f>
        <v>3.6073090574660564E-2</v>
      </c>
      <c r="G52" s="87">
        <f>BOR!G52+ULBoard!G52+SUBoard!G52+LCTCBoard!G52+Online!G52+AE!G52+RR!G52</f>
        <v>5744299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80">
        <f>BOR!G53+ULBoard!G53+SUBoard!G53+LCTCBoard!G53+Online!G53+AE!G53+RR!G53</f>
        <v>0</v>
      </c>
      <c r="H53" s="227"/>
    </row>
    <row r="54" spans="1:8" s="124" customFormat="1" ht="15" customHeight="1" x14ac:dyDescent="0.25">
      <c r="A54" s="88" t="s">
        <v>50</v>
      </c>
      <c r="B54" s="87">
        <f>BOR!B54+ULBoard!B54+SUBoard!B54+LCTCBoard!B54+Online!B54+AE!B54+RR!B54</f>
        <v>6539047</v>
      </c>
      <c r="C54" s="87">
        <f>BOR!C54+ULBoard!C54+SUBoard!C54+LCTCBoard!C54+Online!C54+AE!C54+RR!C54</f>
        <v>12172314</v>
      </c>
      <c r="D54" s="87">
        <f>BOR!D54+ULBoard!D54+SUBoard!D54+LCTCBoard!D54+Online!D54+AE!D54+RR!D54</f>
        <v>12172314</v>
      </c>
      <c r="E54" s="87">
        <f>D54-C54</f>
        <v>0</v>
      </c>
      <c r="F54" s="81">
        <f>IF(ISBLANK(E54),"  ",IF(C54&gt;0,E54/C54,IF(E54&gt;0,1,0)))</f>
        <v>0</v>
      </c>
      <c r="G54" s="87">
        <f>BOR!G54+ULBoard!G54+SUBoard!G54+LCTCBoard!G54+Online!G54+AE!G54+RR!G54</f>
        <v>12172314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80">
        <f>BOR!G55+ULBoard!G55+SUBoard!G55+LCTCBoard!G55+Online!G55+AE!G55+RR!G55</f>
        <v>0</v>
      </c>
      <c r="H55" s="227"/>
    </row>
    <row r="56" spans="1:8" s="124" customFormat="1" ht="15" customHeight="1" x14ac:dyDescent="0.25">
      <c r="A56" s="77" t="s">
        <v>51</v>
      </c>
      <c r="B56" s="87">
        <f>BOR!B56+ULBoard!B56+SUBoard!B56+LCTCBoard!B56+Online!B56+AE!B56+RR!B56</f>
        <v>0</v>
      </c>
      <c r="C56" s="87">
        <f>BOR!C56+ULBoard!C56+SUBoard!C56+LCTCBoard!C56+Online!C56+AE!C56+RR!C56</f>
        <v>0</v>
      </c>
      <c r="D56" s="87">
        <f>BOR!D56+ULBoard!D56+SUBoard!D56+LCTCBoard!D56+Online!D56+AE!D56+RR!D56</f>
        <v>0</v>
      </c>
      <c r="E56" s="87">
        <f>D56-C56</f>
        <v>0</v>
      </c>
      <c r="F56" s="81">
        <f>IF(ISBLANK(E56),"  ",IF(C56&gt;0,E56/C56,IF(E56&gt;0,1,0)))</f>
        <v>0</v>
      </c>
      <c r="G56" s="87">
        <f>BOR!G56+ULBoard!G56+SUBoard!G56+LCTCBoard!G56+Online!G56+AE!G56+RR!G56</f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80">
        <f>BOR!G57+ULBoard!G57+SUBoard!G57+LCTCBoard!G57+Online!G57+AE!G57+RR!G57</f>
        <v>0</v>
      </c>
      <c r="H57" s="227"/>
    </row>
    <row r="58" spans="1:8" s="124" customFormat="1" ht="15" customHeight="1" x14ac:dyDescent="0.25">
      <c r="A58" s="91" t="s">
        <v>52</v>
      </c>
      <c r="B58" s="87">
        <f>B56+B54+B52+B50+B46+-B44+B37</f>
        <v>76173587</v>
      </c>
      <c r="C58" s="87">
        <f>C56+C54+C52+C50+C46+-C44+C37</f>
        <v>89418314</v>
      </c>
      <c r="D58" s="87">
        <f>D56+D54+D52+D50+D48+D46+-D44+D37</f>
        <v>92182157</v>
      </c>
      <c r="E58" s="87">
        <f>D58-C58</f>
        <v>2763843</v>
      </c>
      <c r="F58" s="81">
        <f>IF(ISBLANK(E58),"  ",IF(C58&gt;0,E58/C58,IF(E58&gt;0,1,0)))</f>
        <v>3.0909137920001488E-2</v>
      </c>
      <c r="G58" s="87">
        <f>BOR!G58+ULBoard!G58+SUBoard!G58+LCTCBoard!G58+Online!G58+AE!G58+RR!G58</f>
        <v>92182157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>
        <f>BOR!G59+ULBoard!G59+SUBoard!G59+LCTCBoard!G59+Online!G59+AE!G59+RR!G59</f>
        <v>0</v>
      </c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>
        <f>BOR!G60+ULBoard!G60+SUBoard!G60+LCTCBoard!G60+Online!G60+AE!G60+RR!G60</f>
        <v>0</v>
      </c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>
        <f>BOR!G61+ULBoard!G61+SUBoard!G61+LCTCBoard!G61+Online!G61+AE!G61+RR!G61</f>
        <v>0</v>
      </c>
      <c r="H61" s="227"/>
    </row>
    <row r="62" spans="1:8" ht="15" customHeight="1" x14ac:dyDescent="0.25">
      <c r="A62" s="73" t="s">
        <v>54</v>
      </c>
      <c r="B62" s="69">
        <f>BOR!B62+ULBoard!B62+SUBoard!B62+LCTCBoard!B62+Online!B62+AE!B62+RR!B62</f>
        <v>48620311.480000004</v>
      </c>
      <c r="C62" s="69">
        <f>BOR!C62+ULBoard!C62+SUBoard!C62+LCTCBoard!C62+Online!C62+AE!C62+RR!C62</f>
        <v>61828354</v>
      </c>
      <c r="D62" s="69">
        <f>BOR!D62+ULBoard!D62+SUBoard!D62+LCTCBoard!D62+Online!D62+AE!D62+RR!D62</f>
        <v>65550005</v>
      </c>
      <c r="E62" s="69">
        <f>D62-C62</f>
        <v>3721651</v>
      </c>
      <c r="F62" s="70">
        <f t="shared" ref="F62:F75" si="4">IF(ISBLANK(E62),"  ",IF(C62&gt;0,E62/C62,IF(E62&gt;0,1,0)))</f>
        <v>6.01932731380816E-2</v>
      </c>
      <c r="G62" s="69">
        <f>BOR!G62+ULBoard!G62+SUBoard!G62+LCTCBoard!G62+Online!G62+AE!G62+RR!G62</f>
        <v>65550005</v>
      </c>
      <c r="H62" s="227"/>
    </row>
    <row r="63" spans="1:8" ht="15" customHeight="1" x14ac:dyDescent="0.25">
      <c r="A63" s="75" t="s">
        <v>55</v>
      </c>
      <c r="B63" s="69">
        <f>BOR!B63+ULBoard!B63+SUBoard!B63+LCTCBoard!B63+Online!B63+AE!B63+RR!B63</f>
        <v>0</v>
      </c>
      <c r="C63" s="69">
        <f>BOR!C63+ULBoard!C63+SUBoard!C63+LCTCBoard!C63+Online!C63+AE!C63+RR!C63</f>
        <v>0</v>
      </c>
      <c r="D63" s="69">
        <f>BOR!D63+ULBoard!D63+SUBoard!D63+LCTCBoard!D63+Online!D63+AE!D63+RR!D63</f>
        <v>0</v>
      </c>
      <c r="E63" s="69">
        <f>D63-C63</f>
        <v>0</v>
      </c>
      <c r="F63" s="70">
        <f t="shared" si="4"/>
        <v>0</v>
      </c>
      <c r="G63" s="69">
        <f>BOR!G63+ULBoard!G63+SUBoard!G63+LCTCBoard!G63+Online!G63+AE!G63+RR!G63</f>
        <v>0</v>
      </c>
      <c r="H63" s="227"/>
    </row>
    <row r="64" spans="1:8" ht="15" customHeight="1" x14ac:dyDescent="0.25">
      <c r="A64" s="75" t="s">
        <v>56</v>
      </c>
      <c r="B64" s="69">
        <f>BOR!B64+ULBoard!B64+SUBoard!B64+LCTCBoard!B64+Online!B64+AE!B64+RR!B64</f>
        <v>0</v>
      </c>
      <c r="C64" s="69">
        <f>BOR!C64+ULBoard!C64+SUBoard!C64+LCTCBoard!C64+Online!C64+AE!C64+RR!C64</f>
        <v>0</v>
      </c>
      <c r="D64" s="69">
        <f>BOR!D64+ULBoard!D64+SUBoard!D64+LCTCBoard!D64+Online!D64+AE!D64+RR!D64</f>
        <v>0</v>
      </c>
      <c r="E64" s="69">
        <f t="shared" ref="E64:E75" si="5">D64-C64</f>
        <v>0</v>
      </c>
      <c r="F64" s="70">
        <f t="shared" si="4"/>
        <v>0</v>
      </c>
      <c r="G64" s="69">
        <f>BOR!G64+ULBoard!G64+SUBoard!G64+LCTCBoard!G64+Online!G64+AE!G64+RR!G64</f>
        <v>0</v>
      </c>
      <c r="H64" s="227"/>
    </row>
    <row r="65" spans="1:8" ht="15" customHeight="1" x14ac:dyDescent="0.25">
      <c r="A65" s="75" t="s">
        <v>57</v>
      </c>
      <c r="B65" s="69">
        <f>BOR!B65+ULBoard!B65+SUBoard!B65+LCTCBoard!B65+Online!B65+AE!B65+RR!B65</f>
        <v>6195317</v>
      </c>
      <c r="C65" s="69">
        <f>BOR!C65+ULBoard!C65+SUBoard!C65+LCTCBoard!C65+Online!C65+AE!C65+RR!C65</f>
        <v>6207278</v>
      </c>
      <c r="D65" s="69">
        <f>BOR!D65+ULBoard!D65+SUBoard!D65+LCTCBoard!D65+Online!D65+AE!D65+RR!D65</f>
        <v>4216216</v>
      </c>
      <c r="E65" s="69">
        <f t="shared" si="5"/>
        <v>-1991062</v>
      </c>
      <c r="F65" s="70">
        <f t="shared" si="4"/>
        <v>-0.32076249847356603</v>
      </c>
      <c r="G65" s="69">
        <f>BOR!G65+ULBoard!G65+SUBoard!G65+LCTCBoard!G65+Online!G65+AE!G65+RR!G65</f>
        <v>4216216</v>
      </c>
      <c r="H65" s="227"/>
    </row>
    <row r="66" spans="1:8" ht="15" customHeight="1" x14ac:dyDescent="0.25">
      <c r="A66" s="75" t="s">
        <v>58</v>
      </c>
      <c r="B66" s="69">
        <f>BOR!B66+ULBoard!B66+SUBoard!B66+LCTCBoard!B66+Online!B66+AE!B66+RR!B66</f>
        <v>0</v>
      </c>
      <c r="C66" s="69">
        <f>BOR!C66+ULBoard!C66+SUBoard!C66+LCTCBoard!C66+Online!C66+AE!C66+RR!C66</f>
        <v>0</v>
      </c>
      <c r="D66" s="69">
        <f>BOR!D66+ULBoard!D66+SUBoard!D66+LCTCBoard!D66+Online!D66+AE!D66+RR!D66</f>
        <v>0</v>
      </c>
      <c r="E66" s="69">
        <f t="shared" si="5"/>
        <v>0</v>
      </c>
      <c r="F66" s="70">
        <f t="shared" si="4"/>
        <v>0</v>
      </c>
      <c r="G66" s="69">
        <f>BOR!G66+ULBoard!G66+SUBoard!G66+LCTCBoard!G66+Online!G66+AE!G66+RR!G66</f>
        <v>0</v>
      </c>
      <c r="H66" s="227"/>
    </row>
    <row r="67" spans="1:8" ht="15" customHeight="1" x14ac:dyDescent="0.25">
      <c r="A67" s="75" t="s">
        <v>59</v>
      </c>
      <c r="B67" s="69">
        <f>BOR!B67+ULBoard!B67+SUBoard!B67+LCTCBoard!B67+Online!B67+AE!B67+RR!B67</f>
        <v>10854286.98</v>
      </c>
      <c r="C67" s="69">
        <f>BOR!C67+ULBoard!C67+SUBoard!C67+LCTCBoard!C67+Online!C67+AE!C67+RR!C67</f>
        <v>10879010</v>
      </c>
      <c r="D67" s="69">
        <f>BOR!D67+ULBoard!D67+SUBoard!D67+LCTCBoard!D67+Online!D67+AE!D67+RR!D67</f>
        <v>11913712</v>
      </c>
      <c r="E67" s="69">
        <f t="shared" si="5"/>
        <v>1034702</v>
      </c>
      <c r="F67" s="70">
        <f t="shared" si="4"/>
        <v>9.5109941070005449E-2</v>
      </c>
      <c r="G67" s="69">
        <f>BOR!G67+ULBoard!G67+SUBoard!G67+LCTCBoard!G67+Online!G67+AE!G67+RR!G67</f>
        <v>11913712</v>
      </c>
      <c r="H67" s="227"/>
    </row>
    <row r="68" spans="1:8" ht="15" customHeight="1" x14ac:dyDescent="0.25">
      <c r="A68" s="75" t="s">
        <v>60</v>
      </c>
      <c r="B68" s="69">
        <f>BOR!B68+ULBoard!B68+SUBoard!B68+LCTCBoard!B68+Online!B68+AE!B68+RR!B68</f>
        <v>0</v>
      </c>
      <c r="C68" s="69">
        <f>BOR!C68+ULBoard!C68+SUBoard!C68+LCTCBoard!C68+Online!C68+AE!C68+RR!C68</f>
        <v>0</v>
      </c>
      <c r="D68" s="69">
        <f>BOR!D68+ULBoard!D68+SUBoard!D68+LCTCBoard!D68+Online!D68+AE!D68+RR!D68</f>
        <v>0</v>
      </c>
      <c r="E68" s="69">
        <f t="shared" si="5"/>
        <v>0</v>
      </c>
      <c r="F68" s="70">
        <f t="shared" si="4"/>
        <v>0</v>
      </c>
      <c r="G68" s="69">
        <f>BOR!G68+ULBoard!G68+SUBoard!G68+LCTCBoard!G68+Online!G68+AE!G68+RR!G68</f>
        <v>0</v>
      </c>
      <c r="H68" s="227"/>
    </row>
    <row r="69" spans="1:8" ht="15" customHeight="1" x14ac:dyDescent="0.25">
      <c r="A69" s="75" t="s">
        <v>61</v>
      </c>
      <c r="B69" s="69">
        <f>BOR!B69+ULBoard!B69+SUBoard!B69+LCTCBoard!B69+Online!B69+AE!B69+RR!B69</f>
        <v>0</v>
      </c>
      <c r="C69" s="69">
        <f>BOR!C69+ULBoard!C69+SUBoard!C69+LCTCBoard!C69+Online!C69+AE!C69+RR!C69</f>
        <v>0</v>
      </c>
      <c r="D69" s="69">
        <f>BOR!D69+ULBoard!D69+SUBoard!D69+LCTCBoard!D69+Online!D69+AE!D69+RR!D69</f>
        <v>0</v>
      </c>
      <c r="E69" s="69">
        <f t="shared" si="5"/>
        <v>0</v>
      </c>
      <c r="F69" s="70">
        <f t="shared" si="4"/>
        <v>0</v>
      </c>
      <c r="G69" s="69">
        <f>BOR!G69+ULBoard!G69+SUBoard!G69+LCTCBoard!G69+Online!G69+AE!G69+RR!G69</f>
        <v>0</v>
      </c>
      <c r="H69" s="227"/>
    </row>
    <row r="70" spans="1:8" s="124" customFormat="1" ht="15" customHeight="1" x14ac:dyDescent="0.25">
      <c r="A70" s="94" t="s">
        <v>62</v>
      </c>
      <c r="B70" s="87">
        <f>BOR!B70+ULBoard!B70+SUBoard!B70+LCTCBoard!B70+Online!B70+AE!B70+RR!B70</f>
        <v>65669915.460000001</v>
      </c>
      <c r="C70" s="87">
        <f>BOR!C70+ULBoard!C70+SUBoard!C70+LCTCBoard!C70+Online!C70+AE!C70+RR!C70</f>
        <v>78914642</v>
      </c>
      <c r="D70" s="87">
        <f>BOR!D70+ULBoard!D70+SUBoard!D70+LCTCBoard!D70+Online!D70+AE!D70+RR!D70</f>
        <v>81679933</v>
      </c>
      <c r="E70" s="87">
        <f t="shared" si="5"/>
        <v>2765291</v>
      </c>
      <c r="F70" s="81">
        <f t="shared" si="4"/>
        <v>3.5041545268620744E-2</v>
      </c>
      <c r="G70" s="87">
        <f>BOR!G70+ULBoard!G70+SUBoard!G70+LCTCBoard!G70+Online!G70+AE!G70+RR!G70</f>
        <v>81679933</v>
      </c>
      <c r="H70" s="228"/>
    </row>
    <row r="71" spans="1:8" ht="15" customHeight="1" x14ac:dyDescent="0.25">
      <c r="A71" s="75" t="s">
        <v>63</v>
      </c>
      <c r="B71" s="69">
        <f>BOR!B71+ULBoard!B71+SUBoard!B71+LCTCBoard!B71+Online!B71+AE!B71+RR!B71</f>
        <v>0</v>
      </c>
      <c r="C71" s="69">
        <f>BOR!C71+ULBoard!C71+SUBoard!C71+LCTCBoard!C71+Online!C71+AE!C71+RR!C71</f>
        <v>0</v>
      </c>
      <c r="D71" s="69">
        <f>BOR!D71+ULBoard!D71+SUBoard!D71+LCTCBoard!D71+Online!D71+AE!D71+RR!D71</f>
        <v>0</v>
      </c>
      <c r="E71" s="69">
        <f t="shared" si="5"/>
        <v>0</v>
      </c>
      <c r="F71" s="70">
        <f t="shared" si="4"/>
        <v>0</v>
      </c>
      <c r="G71" s="69">
        <f>BOR!G71+ULBoard!G71+SUBoard!G71+LCTCBoard!G71+Online!G71+AE!G71+RR!G71</f>
        <v>0</v>
      </c>
      <c r="H71" s="227"/>
    </row>
    <row r="72" spans="1:8" ht="15" customHeight="1" x14ac:dyDescent="0.25">
      <c r="A72" s="75" t="s">
        <v>64</v>
      </c>
      <c r="B72" s="69">
        <f>BOR!B72+ULBoard!B72+SUBoard!B72+LCTCBoard!B72+Online!B72+AE!B72+RR!B72</f>
        <v>503672</v>
      </c>
      <c r="C72" s="69">
        <f>BOR!C72+ULBoard!C72+SUBoard!C72+LCTCBoard!C72+Online!C72+AE!C72+RR!C72</f>
        <v>503672</v>
      </c>
      <c r="D72" s="69">
        <f>BOR!D72+ULBoard!D72+SUBoard!D72+LCTCBoard!D72+Online!D72+AE!D72+RR!D72</f>
        <v>502224</v>
      </c>
      <c r="E72" s="69">
        <f t="shared" si="5"/>
        <v>-1448</v>
      </c>
      <c r="F72" s="70">
        <f t="shared" si="4"/>
        <v>-2.874886831112311E-3</v>
      </c>
      <c r="G72" s="69">
        <f>BOR!G72+ULBoard!G72+SUBoard!G72+LCTCBoard!G72+Online!G72+AE!G72+RR!G72</f>
        <v>502224</v>
      </c>
      <c r="H72" s="227"/>
    </row>
    <row r="73" spans="1:8" ht="15" customHeight="1" x14ac:dyDescent="0.25">
      <c r="A73" s="75" t="s">
        <v>65</v>
      </c>
      <c r="B73" s="69">
        <f>BOR!B73+ULBoard!B73+SUBoard!B73+LCTCBoard!B73+Online!B73+AE!B73+RR!B73</f>
        <v>0</v>
      </c>
      <c r="C73" s="69">
        <f>BOR!C73+ULBoard!C73+SUBoard!C73+LCTCBoard!C73+Online!C73+AE!C73+RR!C73</f>
        <v>0</v>
      </c>
      <c r="D73" s="69">
        <f>BOR!D73+ULBoard!D73+SUBoard!D73+LCTCBoard!D73+Online!D73+AE!D73+RR!D73</f>
        <v>0</v>
      </c>
      <c r="E73" s="69">
        <f t="shared" si="5"/>
        <v>0</v>
      </c>
      <c r="F73" s="70">
        <f t="shared" si="4"/>
        <v>0</v>
      </c>
      <c r="G73" s="69">
        <f>BOR!G73+ULBoard!G73+SUBoard!G73+LCTCBoard!G73+Online!G73+AE!G73+RR!G73</f>
        <v>0</v>
      </c>
      <c r="H73" s="227"/>
    </row>
    <row r="74" spans="1:8" ht="15" customHeight="1" x14ac:dyDescent="0.25">
      <c r="A74" s="75" t="s">
        <v>66</v>
      </c>
      <c r="B74" s="69">
        <f>BOR!B74+ULBoard!B74+SUBoard!B74+LCTCBoard!B74+Online!B74+AE!B74+RR!B74</f>
        <v>10000000</v>
      </c>
      <c r="C74" s="69">
        <f>BOR!C74+ULBoard!C74+SUBoard!C74+LCTCBoard!C74+Online!C74+AE!C74+RR!C74</f>
        <v>10000000</v>
      </c>
      <c r="D74" s="69">
        <f>BOR!D74+ULBoard!D74+SUBoard!D74+LCTCBoard!D74+Online!D74+AE!D74+RR!D74</f>
        <v>10000000</v>
      </c>
      <c r="E74" s="69">
        <f t="shared" si="5"/>
        <v>0</v>
      </c>
      <c r="F74" s="70">
        <f t="shared" si="4"/>
        <v>0</v>
      </c>
      <c r="G74" s="69">
        <f>BOR!G74+ULBoard!G74+SUBoard!G74+LCTCBoard!G74+Online!G74+AE!G74+RR!G74</f>
        <v>10000000</v>
      </c>
      <c r="H74" s="227"/>
    </row>
    <row r="75" spans="1:8" s="124" customFormat="1" ht="15" customHeight="1" x14ac:dyDescent="0.25">
      <c r="A75" s="95" t="s">
        <v>67</v>
      </c>
      <c r="B75" s="87">
        <f>BOR!B75+ULBoard!B75+SUBoard!B75+LCTCBoard!B75+Online!B75+AE!B75+RR!B75</f>
        <v>76173587.460000008</v>
      </c>
      <c r="C75" s="87">
        <f>BOR!C75+ULBoard!C75+SUBoard!C75+LCTCBoard!C75+Online!C75+AE!C75+RR!C75</f>
        <v>89418314</v>
      </c>
      <c r="D75" s="87">
        <f>BOR!D75+ULBoard!D75+SUBoard!D75+LCTCBoard!D75+Online!D75+AE!D75+RR!D75</f>
        <v>92182157</v>
      </c>
      <c r="E75" s="87">
        <f t="shared" si="5"/>
        <v>2763843</v>
      </c>
      <c r="F75" s="81">
        <f t="shared" si="4"/>
        <v>3.0909137920001488E-2</v>
      </c>
      <c r="G75" s="87">
        <f>BOR!G75+ULBoard!G75+SUBoard!G75+LCTCBoard!G75+Online!G75+AE!G75+RR!G75</f>
        <v>92182157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74">
        <f>BOR!G76+ULBoard!G76+SUBoard!G76+LCTCBoard!G76+Online!G76+AE!G76+RR!G76</f>
        <v>0</v>
      </c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>
        <f>BOR!G77+ULBoard!G77+SUBoard!G77+LCTCBoard!G77+Online!G77+AE!G77+RR!G77</f>
        <v>0</v>
      </c>
      <c r="H77" s="227"/>
    </row>
    <row r="78" spans="1:8" ht="15" customHeight="1" x14ac:dyDescent="0.25">
      <c r="A78" s="73" t="s">
        <v>69</v>
      </c>
      <c r="B78" s="69">
        <f>BOR!B78+ULBoard!B78+SUBoard!B78+LCTCBoard!B78+Online!B78+AE!B78+RR!B78</f>
        <v>12488810.1</v>
      </c>
      <c r="C78" s="69">
        <f>BOR!C78+ULBoard!C78+SUBoard!C78+LCTCBoard!C78+Online!C78+AE!C78+RR!C78</f>
        <v>12610000.17</v>
      </c>
      <c r="D78" s="69">
        <f>BOR!D78+ULBoard!D78+SUBoard!D78+LCTCBoard!D78+Online!D78+AE!D78+RR!D78</f>
        <v>12653823.050000001</v>
      </c>
      <c r="E78" s="69">
        <f>D78-C78</f>
        <v>43822.88000000082</v>
      </c>
      <c r="F78" s="70">
        <f t="shared" ref="F78:F96" si="6">IF(ISBLANK(E78),"  ",IF(C78&gt;0,E78/C78,IF(E78&gt;0,1,0)))</f>
        <v>3.4752481688508034E-3</v>
      </c>
      <c r="G78" s="69">
        <f>BOR!G78+ULBoard!G78+SUBoard!G78+LCTCBoard!G78+Online!G78+AE!G78+RR!G78</f>
        <v>12653823.050000001</v>
      </c>
      <c r="H78" s="227"/>
    </row>
    <row r="79" spans="1:8" ht="15" customHeight="1" x14ac:dyDescent="0.25">
      <c r="A79" s="75" t="s">
        <v>70</v>
      </c>
      <c r="B79" s="69">
        <f>BOR!B79+ULBoard!B79+SUBoard!B79+LCTCBoard!B79+Online!B79+AE!B79+RR!B79</f>
        <v>329105.81</v>
      </c>
      <c r="C79" s="69">
        <f>BOR!C79+ULBoard!C79+SUBoard!C79+LCTCBoard!C79+Online!C79+AE!C79+RR!C79</f>
        <v>340087</v>
      </c>
      <c r="D79" s="69">
        <f>BOR!D79+ULBoard!D79+SUBoard!D79+LCTCBoard!D79+Online!D79+AE!D79+RR!D79</f>
        <v>270646</v>
      </c>
      <c r="E79" s="69">
        <f>D79-C79</f>
        <v>-69441</v>
      </c>
      <c r="F79" s="70">
        <f t="shared" si="6"/>
        <v>-0.20418598770314655</v>
      </c>
      <c r="G79" s="69">
        <f>BOR!G79+ULBoard!G79+SUBoard!G79+LCTCBoard!G79+Online!G79+AE!G79+RR!G79</f>
        <v>270646</v>
      </c>
      <c r="H79" s="227"/>
    </row>
    <row r="80" spans="1:8" ht="15" customHeight="1" x14ac:dyDescent="0.25">
      <c r="A80" s="75" t="s">
        <v>71</v>
      </c>
      <c r="B80" s="69">
        <f>BOR!B80+ULBoard!B80+SUBoard!B80+LCTCBoard!B80+Online!B80+AE!B80+RR!B80</f>
        <v>5182696.16</v>
      </c>
      <c r="C80" s="69">
        <f>BOR!C80+ULBoard!C80+SUBoard!C80+LCTCBoard!C80+Online!C80+AE!C80+RR!C80</f>
        <v>5388037.8300000001</v>
      </c>
      <c r="D80" s="69">
        <f>BOR!D80+ULBoard!D80+SUBoard!D80+LCTCBoard!D80+Online!D80+AE!D80+RR!D80</f>
        <v>5405673.9500000002</v>
      </c>
      <c r="E80" s="69">
        <f t="shared" ref="E80:E95" si="7">D80-C80</f>
        <v>17636.120000000112</v>
      </c>
      <c r="F80" s="70">
        <f t="shared" si="6"/>
        <v>3.273198993111025E-3</v>
      </c>
      <c r="G80" s="69">
        <f>BOR!G80+ULBoard!G80+SUBoard!G80+LCTCBoard!G80+Online!G80+AE!G80+RR!G80</f>
        <v>5405673.9500000002</v>
      </c>
      <c r="H80" s="227"/>
    </row>
    <row r="81" spans="1:8" s="124" customFormat="1" ht="15" customHeight="1" x14ac:dyDescent="0.25">
      <c r="A81" s="94" t="s">
        <v>72</v>
      </c>
      <c r="B81" s="87">
        <f>BOR!B81+ULBoard!B81+SUBoard!B81+LCTCBoard!B81+Online!B81+AE!B81+RR!B81</f>
        <v>18000612.07</v>
      </c>
      <c r="C81" s="87">
        <f>BOR!C81+ULBoard!C81+SUBoard!C81+LCTCBoard!C81+Online!C81+AE!C81+RR!C81</f>
        <v>18338125</v>
      </c>
      <c r="D81" s="87">
        <f>BOR!D81+ULBoard!D81+SUBoard!D81+LCTCBoard!D81+Online!D81+AE!D81+RR!D81</f>
        <v>18330143</v>
      </c>
      <c r="E81" s="87">
        <f t="shared" si="7"/>
        <v>-7982</v>
      </c>
      <c r="F81" s="81">
        <f t="shared" si="6"/>
        <v>-4.3526805494018607E-4</v>
      </c>
      <c r="G81" s="69">
        <f>BOR!G81+ULBoard!G81+SUBoard!G81+LCTCBoard!G81+Online!G81+AE!G81+RR!G81</f>
        <v>18330143</v>
      </c>
      <c r="H81" s="228"/>
    </row>
    <row r="82" spans="1:8" ht="15" customHeight="1" x14ac:dyDescent="0.25">
      <c r="A82" s="75" t="s">
        <v>73</v>
      </c>
      <c r="B82" s="69">
        <f>BOR!B82+ULBoard!B82+SUBoard!B82+LCTCBoard!B82+Online!B82+AE!B82+RR!B82</f>
        <v>245447.03999999998</v>
      </c>
      <c r="C82" s="69">
        <f>BOR!C82+ULBoard!C82+SUBoard!C82+LCTCBoard!C82+Online!C82+AE!C82+RR!C82</f>
        <v>433972</v>
      </c>
      <c r="D82" s="69">
        <f>BOR!D82+ULBoard!D82+SUBoard!D82+LCTCBoard!D82+Online!D82+AE!D82+RR!D82</f>
        <v>388500</v>
      </c>
      <c r="E82" s="69">
        <f t="shared" si="7"/>
        <v>-45472</v>
      </c>
      <c r="F82" s="70">
        <f t="shared" si="6"/>
        <v>-0.10478095360991031</v>
      </c>
      <c r="G82" s="69">
        <f>BOR!G82+ULBoard!G82+SUBoard!G82+LCTCBoard!G82+Online!G82+AE!G82+RR!G82</f>
        <v>388500</v>
      </c>
      <c r="H82" s="227"/>
    </row>
    <row r="83" spans="1:8" ht="15" customHeight="1" x14ac:dyDescent="0.25">
      <c r="A83" s="75" t="s">
        <v>74</v>
      </c>
      <c r="B83" s="69">
        <f>BOR!B83+ULBoard!B83+SUBoard!B83+LCTCBoard!B83+Online!B83+AE!B83+RR!B83</f>
        <v>7503790.5800000001</v>
      </c>
      <c r="C83" s="69">
        <f>BOR!C83+ULBoard!C83+SUBoard!C83+LCTCBoard!C83+Online!C83+AE!C83+RR!C83</f>
        <v>8183236</v>
      </c>
      <c r="D83" s="69">
        <f>BOR!D83+ULBoard!D83+SUBoard!D83+LCTCBoard!D83+Online!D83+AE!D83+RR!D83</f>
        <v>9046544</v>
      </c>
      <c r="E83" s="69">
        <f t="shared" si="7"/>
        <v>863308</v>
      </c>
      <c r="F83" s="70">
        <f t="shared" si="6"/>
        <v>0.10549714073992245</v>
      </c>
      <c r="G83" s="69">
        <f>BOR!G83+ULBoard!G83+SUBoard!G83+LCTCBoard!G83+Online!G83+AE!G83+RR!G83</f>
        <v>9046544</v>
      </c>
      <c r="H83" s="227"/>
    </row>
    <row r="84" spans="1:8" ht="15" customHeight="1" x14ac:dyDescent="0.25">
      <c r="A84" s="75" t="s">
        <v>75</v>
      </c>
      <c r="B84" s="69">
        <f>BOR!B84+ULBoard!B84+SUBoard!B84+LCTCBoard!B84+Online!B84+AE!B84+RR!B84</f>
        <v>112966.15</v>
      </c>
      <c r="C84" s="69">
        <f>BOR!C84+ULBoard!C84+SUBoard!C84+LCTCBoard!C84+Online!C84+AE!C84+RR!C84</f>
        <v>173626</v>
      </c>
      <c r="D84" s="69">
        <f>BOR!D84+ULBoard!D84+SUBoard!D84+LCTCBoard!D84+Online!D84+AE!D84+RR!D84</f>
        <v>200913</v>
      </c>
      <c r="E84" s="69">
        <f t="shared" si="7"/>
        <v>27287</v>
      </c>
      <c r="F84" s="70">
        <f t="shared" si="6"/>
        <v>0.15715964198910301</v>
      </c>
      <c r="G84" s="69">
        <f>BOR!G84+ULBoard!G84+SUBoard!G84+LCTCBoard!G84+Online!G84+AE!G84+RR!G84</f>
        <v>200913</v>
      </c>
      <c r="H84" s="227"/>
    </row>
    <row r="85" spans="1:8" s="124" customFormat="1" ht="15" customHeight="1" x14ac:dyDescent="0.25">
      <c r="A85" s="78" t="s">
        <v>76</v>
      </c>
      <c r="B85" s="87">
        <f>BOR!B85+ULBoard!B85+SUBoard!B85+LCTCBoard!B85+Online!B85+AE!B85+RR!B85</f>
        <v>7862203.7700000005</v>
      </c>
      <c r="C85" s="87">
        <f>BOR!C85+ULBoard!C85+SUBoard!C85+LCTCBoard!C85+Online!C85+AE!C85+RR!C85</f>
        <v>8790834</v>
      </c>
      <c r="D85" s="87">
        <f>BOR!D85+ULBoard!D85+SUBoard!D85+LCTCBoard!D85+Online!D85+AE!D85+RR!D85</f>
        <v>9635957</v>
      </c>
      <c r="E85" s="87">
        <f t="shared" si="7"/>
        <v>845123</v>
      </c>
      <c r="F85" s="81">
        <f t="shared" si="6"/>
        <v>9.613683980382294E-2</v>
      </c>
      <c r="G85" s="87">
        <f>BOR!G85+ULBoard!G85+SUBoard!G85+LCTCBoard!G85+Online!G85+AE!G85+RR!G85</f>
        <v>9635957</v>
      </c>
      <c r="H85" s="228"/>
    </row>
    <row r="86" spans="1:8" ht="15" customHeight="1" x14ac:dyDescent="0.25">
      <c r="A86" s="75" t="s">
        <v>77</v>
      </c>
      <c r="B86" s="69">
        <f>BOR!B86+ULBoard!B86+SUBoard!B86+LCTCBoard!B86+Online!B86+AE!B86+RR!B86</f>
        <v>875269</v>
      </c>
      <c r="C86" s="69">
        <f>BOR!C86+ULBoard!C86+SUBoard!C86+LCTCBoard!C86+Online!C86+AE!C86+RR!C86</f>
        <v>1253157</v>
      </c>
      <c r="D86" s="69">
        <f>BOR!D86+ULBoard!D86+SUBoard!D86+LCTCBoard!D86+Online!D86+AE!D86+RR!D86</f>
        <v>1073719</v>
      </c>
      <c r="E86" s="69">
        <f t="shared" si="7"/>
        <v>-179438</v>
      </c>
      <c r="F86" s="70">
        <f t="shared" si="6"/>
        <v>-0.14318876246152717</v>
      </c>
      <c r="G86" s="69">
        <f>BOR!G86+ULBoard!G86+SUBoard!G86+LCTCBoard!G86+Online!G86+AE!G86+RR!G86</f>
        <v>1073719</v>
      </c>
      <c r="H86" s="227"/>
    </row>
    <row r="87" spans="1:8" ht="15" customHeight="1" x14ac:dyDescent="0.25">
      <c r="A87" s="75" t="s">
        <v>78</v>
      </c>
      <c r="B87" s="69">
        <f>BOR!B87+ULBoard!B87+SUBoard!B87+LCTCBoard!B87+Online!B87+AE!B87+RR!B87</f>
        <v>44215780.75</v>
      </c>
      <c r="C87" s="69">
        <f>BOR!C87+ULBoard!C87+SUBoard!C87+LCTCBoard!C87+Online!C87+AE!C87+RR!C87</f>
        <v>55300928</v>
      </c>
      <c r="D87" s="69">
        <f>BOR!D87+ULBoard!D87+SUBoard!D87+LCTCBoard!D87+Online!D87+AE!D87+RR!D87</f>
        <v>57531927</v>
      </c>
      <c r="E87" s="69">
        <f t="shared" si="7"/>
        <v>2230999</v>
      </c>
      <c r="F87" s="70">
        <f t="shared" si="6"/>
        <v>4.0342885385214515E-2</v>
      </c>
      <c r="G87" s="69">
        <f>BOR!G87+ULBoard!G87+SUBoard!G87+LCTCBoard!G87+Online!G87+AE!G87+RR!G87</f>
        <v>57531927</v>
      </c>
      <c r="H87" s="227"/>
    </row>
    <row r="88" spans="1:8" ht="15" customHeight="1" x14ac:dyDescent="0.25">
      <c r="A88" s="75" t="s">
        <v>79</v>
      </c>
      <c r="B88" s="69">
        <f>BOR!B88+ULBoard!B88+SUBoard!B88+LCTCBoard!B88+Online!B88+AE!B88+RR!B88</f>
        <v>0</v>
      </c>
      <c r="C88" s="69">
        <f>BOR!C88+ULBoard!C88+SUBoard!C88+LCTCBoard!C88+Online!C88+AE!C88+RR!C88</f>
        <v>0</v>
      </c>
      <c r="D88" s="69">
        <f>BOR!D88+ULBoard!D88+SUBoard!D88+LCTCBoard!D88+Online!D88+AE!D88+RR!D88</f>
        <v>0</v>
      </c>
      <c r="E88" s="69">
        <f t="shared" si="7"/>
        <v>0</v>
      </c>
      <c r="F88" s="70">
        <f t="shared" si="6"/>
        <v>0</v>
      </c>
      <c r="G88" s="69">
        <f>BOR!G88+ULBoard!G88+SUBoard!G88+LCTCBoard!G88+Online!G88+AE!G88+RR!G88</f>
        <v>0</v>
      </c>
      <c r="H88" s="227"/>
    </row>
    <row r="89" spans="1:8" ht="15" customHeight="1" x14ac:dyDescent="0.25">
      <c r="A89" s="75" t="s">
        <v>80</v>
      </c>
      <c r="B89" s="69">
        <f>BOR!B89+ULBoard!B89+SUBoard!B89+LCTCBoard!B89+Online!B89+AE!B89+RR!B89</f>
        <v>5109287.5600000005</v>
      </c>
      <c r="C89" s="69">
        <f>BOR!C89+ULBoard!C89+SUBoard!C89+LCTCBoard!C89+Online!C89+AE!C89+RR!C89</f>
        <v>5533130</v>
      </c>
      <c r="D89" s="69">
        <f>BOR!D89+ULBoard!D89+SUBoard!D89+LCTCBoard!D89+Online!D89+AE!D89+RR!D89</f>
        <v>5471837</v>
      </c>
      <c r="E89" s="69">
        <f t="shared" si="7"/>
        <v>-61293</v>
      </c>
      <c r="F89" s="70">
        <f t="shared" si="6"/>
        <v>-1.107745525588591E-2</v>
      </c>
      <c r="G89" s="69">
        <f>BOR!G89+ULBoard!G89+SUBoard!G89+LCTCBoard!G89+Online!G89+AE!G89+RR!G89</f>
        <v>5471837</v>
      </c>
      <c r="H89" s="227"/>
    </row>
    <row r="90" spans="1:8" s="124" customFormat="1" ht="15" customHeight="1" x14ac:dyDescent="0.25">
      <c r="A90" s="78" t="s">
        <v>81</v>
      </c>
      <c r="B90" s="87">
        <f>BOR!B90+ULBoard!B90+SUBoard!B90+LCTCBoard!B90+Online!B90+AE!B90+RR!B90</f>
        <v>50200337.309999995</v>
      </c>
      <c r="C90" s="87">
        <f>BOR!C90+ULBoard!C90+SUBoard!C90+LCTCBoard!C90+Online!C90+AE!C90+RR!C90</f>
        <v>62087215</v>
      </c>
      <c r="D90" s="87">
        <f>BOR!D90+ULBoard!D90+SUBoard!D90+LCTCBoard!D90+Online!D90+AE!D90+RR!D90</f>
        <v>64077483</v>
      </c>
      <c r="E90" s="87">
        <f t="shared" si="7"/>
        <v>1990268</v>
      </c>
      <c r="F90" s="81">
        <f t="shared" si="6"/>
        <v>3.2056003800460371E-2</v>
      </c>
      <c r="G90" s="87">
        <f>BOR!G90+ULBoard!G90+SUBoard!G90+LCTCBoard!G90+Online!G90+AE!G90+RR!G90</f>
        <v>64077483</v>
      </c>
      <c r="H90" s="228"/>
    </row>
    <row r="91" spans="1:8" ht="15" customHeight="1" x14ac:dyDescent="0.25">
      <c r="A91" s="75" t="s">
        <v>82</v>
      </c>
      <c r="B91" s="69">
        <f>BOR!B91+ULBoard!B91+SUBoard!B91+LCTCBoard!B91+Online!B91+AE!B91+RR!B91</f>
        <v>110434.31</v>
      </c>
      <c r="C91" s="69">
        <f>BOR!C91+ULBoard!C91+SUBoard!C91+LCTCBoard!C91+Online!C91+AE!C91+RR!C91</f>
        <v>202140</v>
      </c>
      <c r="D91" s="69">
        <f>BOR!D91+ULBoard!D91+SUBoard!D91+LCTCBoard!D91+Online!D91+AE!D91+RR!D91</f>
        <v>138574</v>
      </c>
      <c r="E91" s="69">
        <f t="shared" si="7"/>
        <v>-63566</v>
      </c>
      <c r="F91" s="70">
        <f t="shared" si="6"/>
        <v>-0.31446522212328087</v>
      </c>
      <c r="G91" s="69">
        <f>BOR!G91+ULBoard!G91+SUBoard!G91+LCTCBoard!G91+Online!G91+AE!G91+RR!G91</f>
        <v>138574</v>
      </c>
      <c r="H91" s="227"/>
    </row>
    <row r="92" spans="1:8" ht="15" customHeight="1" x14ac:dyDescent="0.25">
      <c r="A92" s="75" t="s">
        <v>83</v>
      </c>
      <c r="B92" s="69">
        <f>BOR!B92+ULBoard!B92+SUBoard!B92+LCTCBoard!B92+Online!B92+AE!B92+RR!B92</f>
        <v>0</v>
      </c>
      <c r="C92" s="69">
        <f>BOR!C92+ULBoard!C92+SUBoard!C92+LCTCBoard!C92+Online!C92+AE!C92+RR!C92</f>
        <v>0</v>
      </c>
      <c r="D92" s="69">
        <f>BOR!D92+ULBoard!D92+SUBoard!D92+LCTCBoard!D92+Online!D92+AE!D92+RR!D92</f>
        <v>0</v>
      </c>
      <c r="E92" s="69">
        <f t="shared" si="7"/>
        <v>0</v>
      </c>
      <c r="F92" s="70">
        <f t="shared" si="6"/>
        <v>0</v>
      </c>
      <c r="G92" s="69">
        <f>BOR!G92+ULBoard!G92+SUBoard!G92+LCTCBoard!G92+Online!G92+AE!G92+RR!G92</f>
        <v>0</v>
      </c>
      <c r="H92" s="227"/>
    </row>
    <row r="93" spans="1:8" ht="15" customHeight="1" x14ac:dyDescent="0.25">
      <c r="A93" s="83" t="s">
        <v>84</v>
      </c>
      <c r="B93" s="69">
        <f>BOR!B93+ULBoard!B93+SUBoard!B93+LCTCBoard!B93+Online!B93+AE!B93+RR!B93</f>
        <v>0</v>
      </c>
      <c r="C93" s="69">
        <f>BOR!C93+ULBoard!C93+SUBoard!C93+LCTCBoard!C93+Online!C93+AE!C93+RR!C93</f>
        <v>0</v>
      </c>
      <c r="D93" s="69">
        <f>BOR!D93+ULBoard!D93+SUBoard!D93+LCTCBoard!D93+Online!D93+AE!D93+RR!D93</f>
        <v>0</v>
      </c>
      <c r="E93" s="69">
        <f t="shared" si="7"/>
        <v>0</v>
      </c>
      <c r="F93" s="70">
        <f t="shared" si="6"/>
        <v>0</v>
      </c>
      <c r="G93" s="69">
        <f>BOR!G93+ULBoard!G93+SUBoard!G93+LCTCBoard!G93+Online!G93+AE!G93+RR!G93</f>
        <v>0</v>
      </c>
      <c r="H93" s="227"/>
    </row>
    <row r="94" spans="1:8" s="124" customFormat="1" ht="15" customHeight="1" x14ac:dyDescent="0.25">
      <c r="A94" s="97" t="s">
        <v>85</v>
      </c>
      <c r="B94" s="87">
        <f>BOR!B94+ULBoard!B94+SUBoard!B94+LCTCBoard!B94+Online!B94+AE!B94+RR!B94</f>
        <v>110434.31</v>
      </c>
      <c r="C94" s="87">
        <f>BOR!C94+ULBoard!C94+SUBoard!C94+LCTCBoard!C94+Online!C94+AE!C94+RR!C94</f>
        <v>202140</v>
      </c>
      <c r="D94" s="87">
        <f>BOR!D94+ULBoard!D94+SUBoard!D94+LCTCBoard!D94+Online!D94+AE!D94+RR!D94</f>
        <v>138574</v>
      </c>
      <c r="E94" s="87">
        <f t="shared" si="7"/>
        <v>-63566</v>
      </c>
      <c r="F94" s="81">
        <f t="shared" si="6"/>
        <v>-0.31446522212328087</v>
      </c>
      <c r="G94" s="87">
        <f>BOR!G94+ULBoard!G94+SUBoard!G94+LCTCBoard!G94+Online!G94+AE!G94+RR!G94</f>
        <v>138574</v>
      </c>
      <c r="H94" s="228"/>
    </row>
    <row r="95" spans="1:8" ht="15" customHeight="1" x14ac:dyDescent="0.25">
      <c r="A95" s="83" t="s">
        <v>86</v>
      </c>
      <c r="B95" s="69">
        <f>BOR!B95+ULBoard!B95+SUBoard!B95+LCTCBoard!B95+Online!B95+AE!B95+RR!B95</f>
        <v>0</v>
      </c>
      <c r="C95" s="69">
        <f>BOR!C95+ULBoard!C95+SUBoard!C95+LCTCBoard!C95+Online!C95+AE!C95+RR!C95</f>
        <v>0</v>
      </c>
      <c r="D95" s="69">
        <f>BOR!D95+ULBoard!D95+SUBoard!D95+LCTCBoard!D95+Online!D95+AE!D95+RR!D95</f>
        <v>0</v>
      </c>
      <c r="E95" s="69">
        <f t="shared" si="7"/>
        <v>0</v>
      </c>
      <c r="F95" s="70">
        <f t="shared" si="6"/>
        <v>0</v>
      </c>
      <c r="G95" s="69">
        <f>BOR!G95+ULBoard!G95+SUBoard!G95+LCTCBoard!G95+Online!G95+AE!G95+RR!G95</f>
        <v>0</v>
      </c>
      <c r="H95" s="227"/>
    </row>
    <row r="96" spans="1:8" s="124" customFormat="1" ht="15" customHeight="1" thickBot="1" x14ac:dyDescent="0.3">
      <c r="A96" s="195" t="s">
        <v>67</v>
      </c>
      <c r="B96" s="197">
        <f>BOR!B96+ULBoard!B96+SUBoard!B96+LCTCBoard!B96+Online!B96+AE!B96+RR!B96</f>
        <v>76173587.459999993</v>
      </c>
      <c r="C96" s="197">
        <f>BOR!C96+ULBoard!C96+SUBoard!C96+LCTCBoard!C96+Online!C96+AE!C96+RR!C96</f>
        <v>89418314</v>
      </c>
      <c r="D96" s="197">
        <f>BOR!D96+ULBoard!D96+SUBoard!D96+LCTCBoard!D96+Online!D96+AE!D96+RR!D96</f>
        <v>92182157</v>
      </c>
      <c r="E96" s="197">
        <f>D96-C96</f>
        <v>2763843</v>
      </c>
      <c r="F96" s="198">
        <f t="shared" si="6"/>
        <v>3.0909137920001488E-2</v>
      </c>
      <c r="G96" s="197">
        <f>BOR!G96+ULBoard!G96+SUBoard!G96+LCTCBoard!G96+Online!G96+AE!G96+RR!G96</f>
        <v>92182157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" sqref="I2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9.140625" style="139"/>
    <col min="11" max="11" width="10.85546875" style="139" bestFit="1" customWidth="1"/>
    <col min="12" max="16384" width="9.140625" style="139"/>
  </cols>
  <sheetData>
    <row r="1" spans="1:9" ht="19.5" customHeight="1" thickBot="1" x14ac:dyDescent="0.35">
      <c r="A1" s="30" t="s">
        <v>0</v>
      </c>
      <c r="B1" s="35"/>
      <c r="D1" s="32" t="s">
        <v>1</v>
      </c>
      <c r="E1" s="29" t="s">
        <v>133</v>
      </c>
      <c r="F1" s="40"/>
    </row>
    <row r="2" spans="1:9" ht="19.5" customHeight="1" thickBot="1" x14ac:dyDescent="0.35">
      <c r="A2" s="30" t="s">
        <v>2</v>
      </c>
      <c r="B2" s="31"/>
      <c r="C2" s="36"/>
      <c r="D2" s="36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221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LSUHSCS!B8+LSUHSCNO!B8+LSUAg!B8+PBRC!B8+SULaw!B8+SUAg!B8</f>
        <v>234929116</v>
      </c>
      <c r="C8" s="69">
        <f>LSUHSCS!C8+LSUHSCNO!C8+LSUAg!C8+PBRC!C8+SULaw!C8+SUAg!C8</f>
        <v>234929116</v>
      </c>
      <c r="D8" s="69">
        <f>LSUHSCS!D8+LSUHSCNO!D8+LSUAg!D8+PBRC!D8+SULaw!D8+SUAg!D8</f>
        <v>219644170</v>
      </c>
      <c r="E8" s="69">
        <f>D8-C8</f>
        <v>-15284946</v>
      </c>
      <c r="F8" s="70">
        <f t="shared" ref="F8:F31" si="0">IF(ISBLANK(E8),"  ",IF(C8&gt;0,E8/C8,IF(E8&gt;0,1,0)))</f>
        <v>-6.5061948302738259E-2</v>
      </c>
      <c r="G8" s="69">
        <f>LSUHSCS!G8+LSUHSCNO!G8+LSUAg!G8+PBRC!G8+SULaw!G8+SUAg!G8</f>
        <v>219644170</v>
      </c>
      <c r="H8" s="227"/>
    </row>
    <row r="9" spans="1:9" ht="15" customHeight="1" x14ac:dyDescent="0.25">
      <c r="A9" s="68" t="s">
        <v>13</v>
      </c>
      <c r="B9" s="69">
        <f>LSUHSCS!B9+LSUHSCNO!B9+LSUAg!B9+PBRC!B9+SULaw!B9+SUAg!B9</f>
        <v>0</v>
      </c>
      <c r="C9" s="69">
        <f>LSUHSCS!C9+LSUHSCNO!C9+LSUAg!C9+PBRC!C9+SULaw!C9+SUAg!C9</f>
        <v>0</v>
      </c>
      <c r="D9" s="69">
        <f>LSUHSCS!D9+LSUHSCNO!D9+LSUAg!D9+PBRC!D9+SULaw!D9+SUAg!D9</f>
        <v>0</v>
      </c>
      <c r="E9" s="69">
        <f>D9-C9</f>
        <v>0</v>
      </c>
      <c r="F9" s="70">
        <f t="shared" si="0"/>
        <v>0</v>
      </c>
      <c r="G9" s="69">
        <f>LSUHSCS!G9+LSUHSCNO!G9+LSUAg!G9+PBRC!G9+SULaw!G9+SUAg!G9</f>
        <v>0</v>
      </c>
      <c r="H9" s="227"/>
    </row>
    <row r="10" spans="1:9" ht="15" customHeight="1" x14ac:dyDescent="0.25">
      <c r="A10" s="71" t="s">
        <v>14</v>
      </c>
      <c r="B10" s="69">
        <f>LSUHSCS!B10+LSUHSCNO!B10+LSUAg!B10+PBRC!B10+SULaw!B10+SUAg!B10</f>
        <v>15753371.650000002</v>
      </c>
      <c r="C10" s="69">
        <f>LSUHSCS!C10+LSUHSCNO!C10+LSUAg!C10+PBRC!C10+SULaw!C10+SUAg!C10</f>
        <v>17782852</v>
      </c>
      <c r="D10" s="69">
        <f>LSUHSCS!D10+LSUHSCNO!D10+LSUAg!D10+PBRC!D10+SULaw!D10+SUAg!D10</f>
        <v>16176872</v>
      </c>
      <c r="E10" s="69">
        <f t="shared" ref="E10:E31" si="1">D10-C10</f>
        <v>-1605980</v>
      </c>
      <c r="F10" s="70">
        <f t="shared" si="0"/>
        <v>-9.0310598097538011E-2</v>
      </c>
      <c r="G10" s="69">
        <f>LSUHSCS!G10+LSUHSCNO!G10+LSUAg!G10+PBRC!G10+SULaw!G10+SUAg!G10</f>
        <v>16176872</v>
      </c>
      <c r="H10" s="227"/>
    </row>
    <row r="11" spans="1:9" ht="15" customHeight="1" x14ac:dyDescent="0.25">
      <c r="A11" s="73" t="s">
        <v>15</v>
      </c>
      <c r="B11" s="69">
        <f>LSUHSCS!B11+LSUHSCNO!B11+LSUAg!B11+PBRC!B11+SULaw!B11+SUAg!B11</f>
        <v>0</v>
      </c>
      <c r="C11" s="69">
        <f>LSUHSCS!C11+LSUHSCNO!C11+LSUAg!C11+PBRC!C11+SULaw!C11+SUAg!C11</f>
        <v>0</v>
      </c>
      <c r="D11" s="69">
        <f>LSUHSCS!D11+LSUHSCNO!D11+LSUAg!D11+PBRC!D11+SULaw!D11+SUAg!D11</f>
        <v>0</v>
      </c>
      <c r="E11" s="69">
        <f t="shared" si="1"/>
        <v>0</v>
      </c>
      <c r="F11" s="70">
        <f t="shared" si="0"/>
        <v>0</v>
      </c>
      <c r="G11" s="69">
        <f>LSUHSCS!G11+LSUHSCNO!G11+LSUAg!G11+PBRC!G11+SULaw!G11+SUAg!G11</f>
        <v>0</v>
      </c>
      <c r="H11" s="227"/>
    </row>
    <row r="12" spans="1:9" ht="15" customHeight="1" x14ac:dyDescent="0.25">
      <c r="A12" s="75" t="s">
        <v>16</v>
      </c>
      <c r="B12" s="69">
        <f>LSUHSCS!B12+LSUHSCNO!B12+LSUAg!B12+PBRC!B12+SULaw!B12+SUAg!B12</f>
        <v>8450293.7100000009</v>
      </c>
      <c r="C12" s="69">
        <f>LSUHSCS!C12+LSUHSCNO!C12+LSUAg!C12+PBRC!C12+SULaw!C12+SUAg!C12</f>
        <v>10042559</v>
      </c>
      <c r="D12" s="69">
        <f>LSUHSCS!D12+LSUHSCNO!D12+LSUAg!D12+PBRC!D12+SULaw!D12+SUAg!D12</f>
        <v>8602826</v>
      </c>
      <c r="E12" s="69">
        <f t="shared" si="1"/>
        <v>-1439733</v>
      </c>
      <c r="F12" s="70">
        <f t="shared" si="0"/>
        <v>-0.14336316072427358</v>
      </c>
      <c r="G12" s="69">
        <f>LSUHSCS!G12+LSUHSCNO!G12+LSUAg!G12+PBRC!G12+SULaw!G12+SUAg!G12</f>
        <v>8602826</v>
      </c>
      <c r="H12" s="227"/>
    </row>
    <row r="13" spans="1:9" ht="15" customHeight="1" x14ac:dyDescent="0.25">
      <c r="A13" s="75" t="s">
        <v>17</v>
      </c>
      <c r="B13" s="69">
        <f>LSUHSCS!B13+LSUHSCNO!B13+LSUAg!B13+PBRC!B13+SULaw!B13+SUAg!B13</f>
        <v>6553077.9400000004</v>
      </c>
      <c r="C13" s="69">
        <f>LSUHSCS!C13+LSUHSCNO!C13+LSUAg!C13+PBRC!C13+SULaw!C13+SUAg!C13</f>
        <v>6990293</v>
      </c>
      <c r="D13" s="69">
        <f>LSUHSCS!D13+LSUHSCNO!D13+LSUAg!D13+PBRC!D13+SULaw!D13+SUAg!D13</f>
        <v>6624046</v>
      </c>
      <c r="E13" s="69">
        <f t="shared" si="1"/>
        <v>-366247</v>
      </c>
      <c r="F13" s="70">
        <f t="shared" si="0"/>
        <v>-5.2393655029910766E-2</v>
      </c>
      <c r="G13" s="69">
        <f>LSUHSCS!G13+LSUHSCNO!G13+LSUAg!G13+PBRC!G13+SULaw!G13+SUAg!G13</f>
        <v>6624046</v>
      </c>
      <c r="H13" s="227"/>
    </row>
    <row r="14" spans="1:9" ht="15" customHeight="1" x14ac:dyDescent="0.25">
      <c r="A14" s="75" t="s">
        <v>18</v>
      </c>
      <c r="B14" s="69">
        <f>LSUHSCS!B14+LSUHSCNO!B14+LSUAg!B14+PBRC!B14+SULaw!B14+SUAg!B14</f>
        <v>0</v>
      </c>
      <c r="C14" s="69">
        <f>LSUHSCS!C14+LSUHSCNO!C14+LSUAg!C14+PBRC!C14+SULaw!C14+SUAg!C14</f>
        <v>0</v>
      </c>
      <c r="D14" s="69">
        <f>LSUHSCS!D14+LSUHSCNO!D14+LSUAg!D14+PBRC!D14+SULaw!D14+SUAg!D14</f>
        <v>0</v>
      </c>
      <c r="E14" s="69">
        <f t="shared" si="1"/>
        <v>0</v>
      </c>
      <c r="F14" s="70">
        <f t="shared" si="0"/>
        <v>0</v>
      </c>
      <c r="G14" s="69">
        <f>LSUHSCS!G14+LSUHSCNO!G14+LSUAg!G14+PBRC!G14+SULaw!G14+SUAg!G14</f>
        <v>0</v>
      </c>
      <c r="H14" s="227"/>
    </row>
    <row r="15" spans="1:9" ht="15" customHeight="1" x14ac:dyDescent="0.25">
      <c r="A15" s="75" t="s">
        <v>19</v>
      </c>
      <c r="B15" s="69">
        <f>LSUHSCS!B15+LSUHSCNO!B15+LSUAg!B15+PBRC!B15+SULaw!B15+SUAg!B15</f>
        <v>0</v>
      </c>
      <c r="C15" s="69">
        <f>LSUHSCS!C15+LSUHSCNO!C15+LSUAg!C15+PBRC!C15+SULaw!C15+SUAg!C15</f>
        <v>0</v>
      </c>
      <c r="D15" s="69">
        <f>LSUHSCS!D15+LSUHSCNO!D15+LSUAg!D15+PBRC!D15+SULaw!D15+SUAg!D15</f>
        <v>0</v>
      </c>
      <c r="E15" s="69">
        <f t="shared" si="1"/>
        <v>0</v>
      </c>
      <c r="F15" s="70">
        <f t="shared" si="0"/>
        <v>0</v>
      </c>
      <c r="G15" s="69">
        <f>LSUHSCS!G15+LSUHSCNO!G15+LSUAg!G15+PBRC!G15+SULaw!G15+SUAg!G15</f>
        <v>0</v>
      </c>
      <c r="H15" s="227"/>
    </row>
    <row r="16" spans="1:9" ht="15" customHeight="1" x14ac:dyDescent="0.25">
      <c r="A16" s="75" t="s">
        <v>20</v>
      </c>
      <c r="B16" s="69">
        <f>LSUHSCS!B16+LSUHSCNO!B16+LSUAg!B16+PBRC!B16+SULaw!B16+SUAg!B16</f>
        <v>0</v>
      </c>
      <c r="C16" s="69">
        <f>LSUHSCS!C16+LSUHSCNO!C16+LSUAg!C16+PBRC!C16+SULaw!C16+SUAg!C16</f>
        <v>0</v>
      </c>
      <c r="D16" s="69">
        <f>LSUHSCS!D16+LSUHSCNO!D16+LSUAg!D16+PBRC!D16+SULaw!D16+SUAg!D16</f>
        <v>0</v>
      </c>
      <c r="E16" s="69">
        <f t="shared" si="1"/>
        <v>0</v>
      </c>
      <c r="F16" s="70">
        <f t="shared" si="0"/>
        <v>0</v>
      </c>
      <c r="G16" s="69">
        <f>LSUHSCS!G16+LSUHSCNO!G16+LSUAg!G16+PBRC!G16+SULaw!G16+SUAg!G16</f>
        <v>0</v>
      </c>
      <c r="H16" s="227"/>
    </row>
    <row r="17" spans="1:8" ht="15" customHeight="1" x14ac:dyDescent="0.25">
      <c r="A17" s="75" t="s">
        <v>21</v>
      </c>
      <c r="B17" s="69">
        <f>LSUHSCS!B17+LSUHSCNO!B17+LSUAg!B17+PBRC!B17+SULaw!B17+SUAg!B17</f>
        <v>750000</v>
      </c>
      <c r="C17" s="69">
        <f>LSUHSCS!C17+LSUHSCNO!C17+LSUAg!C17+PBRC!C17+SULaw!C17+SUAg!C17</f>
        <v>750000</v>
      </c>
      <c r="D17" s="69">
        <f>LSUHSCS!D17+LSUHSCNO!D17+LSUAg!D17+PBRC!D17+SULaw!D17+SUAg!D17</f>
        <v>750000</v>
      </c>
      <c r="E17" s="69">
        <f t="shared" si="1"/>
        <v>0</v>
      </c>
      <c r="F17" s="70">
        <f t="shared" si="0"/>
        <v>0</v>
      </c>
      <c r="G17" s="69">
        <f>LSUHSCS!G17+LSUHSCNO!G17+LSUAg!G17+PBRC!G17+SULaw!G17+SUAg!G17</f>
        <v>750000</v>
      </c>
      <c r="H17" s="227"/>
    </row>
    <row r="18" spans="1:8" ht="15" customHeight="1" x14ac:dyDescent="0.25">
      <c r="A18" s="75" t="s">
        <v>22</v>
      </c>
      <c r="B18" s="69">
        <f>LSUHSCS!B18+LSUHSCNO!B18+LSUAg!B18+PBRC!B18+SULaw!B18+SUAg!B18</f>
        <v>0</v>
      </c>
      <c r="C18" s="69">
        <f>LSUHSCS!C18+LSUHSCNO!C18+LSUAg!C18+PBRC!C18+SULaw!C18+SUAg!C18</f>
        <v>0</v>
      </c>
      <c r="D18" s="69">
        <f>LSUHSCS!D18+LSUHSCNO!D18+LSUAg!D18+PBRC!D18+SULaw!D18+SUAg!D18</f>
        <v>0</v>
      </c>
      <c r="E18" s="69">
        <f t="shared" si="1"/>
        <v>0</v>
      </c>
      <c r="F18" s="70">
        <f t="shared" si="0"/>
        <v>0</v>
      </c>
      <c r="G18" s="69">
        <f>LSUHSCS!G18+LSUHSCNO!G18+LSUAg!G18+PBRC!G18+SULaw!G18+SUAg!G18</f>
        <v>0</v>
      </c>
      <c r="H18" s="227"/>
    </row>
    <row r="19" spans="1:8" ht="15" customHeight="1" x14ac:dyDescent="0.25">
      <c r="A19" s="75" t="s">
        <v>23</v>
      </c>
      <c r="B19" s="69">
        <f>LSUHSCS!B19+LSUHSCNO!B19+LSUAg!B19+PBRC!B19+SULaw!B19+SUAg!B19</f>
        <v>0</v>
      </c>
      <c r="C19" s="69">
        <f>LSUHSCS!C19+LSUHSCNO!C19+LSUAg!C19+PBRC!C19+SULaw!C19+SUAg!C19</f>
        <v>0</v>
      </c>
      <c r="D19" s="69">
        <f>LSUHSCS!D19+LSUHSCNO!D19+LSUAg!D19+PBRC!D19+SULaw!D19+SUAg!D19</f>
        <v>0</v>
      </c>
      <c r="E19" s="69">
        <f t="shared" si="1"/>
        <v>0</v>
      </c>
      <c r="F19" s="70">
        <f t="shared" si="0"/>
        <v>0</v>
      </c>
      <c r="G19" s="69">
        <f>LSUHSCS!G19+LSUHSCNO!G19+LSUAg!G19+PBRC!G19+SULaw!G19+SUAg!G19</f>
        <v>0</v>
      </c>
      <c r="H19" s="227"/>
    </row>
    <row r="20" spans="1:8" ht="15" customHeight="1" x14ac:dyDescent="0.25">
      <c r="A20" s="75" t="s">
        <v>24</v>
      </c>
      <c r="B20" s="69">
        <f>LSUHSCS!B20+LSUHSCNO!B20+LSUAg!B20+PBRC!B20+SULaw!B20+SUAg!B20</f>
        <v>0</v>
      </c>
      <c r="C20" s="69">
        <f>LSUHSCS!C20+LSUHSCNO!C20+LSUAg!C20+PBRC!C20+SULaw!C20+SUAg!C20</f>
        <v>0</v>
      </c>
      <c r="D20" s="69">
        <f>LSUHSCS!D20+LSUHSCNO!D20+LSUAg!D20+PBRC!D20+SULaw!D20+SUAg!D20</f>
        <v>0</v>
      </c>
      <c r="E20" s="69">
        <f t="shared" si="1"/>
        <v>0</v>
      </c>
      <c r="F20" s="70">
        <f t="shared" si="0"/>
        <v>0</v>
      </c>
      <c r="G20" s="69">
        <f>LSUHSCS!G20+LSUHSCNO!G20+LSUAg!G20+PBRC!G20+SULaw!G20+SUAg!G20</f>
        <v>0</v>
      </c>
      <c r="H20" s="227"/>
    </row>
    <row r="21" spans="1:8" ht="15" customHeight="1" x14ac:dyDescent="0.25">
      <c r="A21" s="75" t="s">
        <v>25</v>
      </c>
      <c r="B21" s="69">
        <f>LSUHSCS!B21+LSUHSCNO!B21+LSUAg!B21+PBRC!B21+SULaw!B21+SUAg!B21</f>
        <v>0</v>
      </c>
      <c r="C21" s="69">
        <f>LSUHSCS!C21+LSUHSCNO!C21+LSUAg!C21+PBRC!C21+SULaw!C21+SUAg!C21</f>
        <v>0</v>
      </c>
      <c r="D21" s="69">
        <f>LSUHSCS!D21+LSUHSCNO!D21+LSUAg!D21+PBRC!D21+SULaw!D21+SUAg!D21</f>
        <v>0</v>
      </c>
      <c r="E21" s="69">
        <f t="shared" si="1"/>
        <v>0</v>
      </c>
      <c r="F21" s="70">
        <f t="shared" si="0"/>
        <v>0</v>
      </c>
      <c r="G21" s="69">
        <f>LSUHSCS!G21+LSUHSCNO!G21+LSUAg!G21+PBRC!G21+SULaw!G21+SUAg!G21</f>
        <v>0</v>
      </c>
      <c r="H21" s="227"/>
    </row>
    <row r="22" spans="1:8" ht="15" customHeight="1" x14ac:dyDescent="0.25">
      <c r="A22" s="75" t="s">
        <v>26</v>
      </c>
      <c r="B22" s="69">
        <f>LSUHSCS!B22+LSUHSCNO!B22+LSUAg!B22+PBRC!B22+SULaw!B22+SUAg!B22</f>
        <v>0</v>
      </c>
      <c r="C22" s="69">
        <f>LSUHSCS!C22+LSUHSCNO!C22+LSUAg!C22+PBRC!C22+SULaw!C22+SUAg!C22</f>
        <v>0</v>
      </c>
      <c r="D22" s="69">
        <f>LSUHSCS!D22+LSUHSCNO!D22+LSUAg!D22+PBRC!D22+SULaw!D22+SUAg!D22</f>
        <v>0</v>
      </c>
      <c r="E22" s="69">
        <f t="shared" si="1"/>
        <v>0</v>
      </c>
      <c r="F22" s="70">
        <f t="shared" si="0"/>
        <v>0</v>
      </c>
      <c r="G22" s="69">
        <f>LSUHSCS!G22+LSUHSCNO!G22+LSUAg!G22+PBRC!G22+SULaw!G22+SUAg!G22</f>
        <v>0</v>
      </c>
      <c r="H22" s="227"/>
    </row>
    <row r="23" spans="1:8" ht="15" customHeight="1" x14ac:dyDescent="0.25">
      <c r="A23" s="76" t="s">
        <v>27</v>
      </c>
      <c r="B23" s="69">
        <f>LSUHSCS!B23+LSUHSCNO!B23+LSUAg!B23+PBRC!B23+SULaw!B23+SUAg!B23</f>
        <v>0</v>
      </c>
      <c r="C23" s="69">
        <f>LSUHSCS!C23+LSUHSCNO!C23+LSUAg!C23+PBRC!C23+SULaw!C23+SUAg!C23</f>
        <v>0</v>
      </c>
      <c r="D23" s="69">
        <f>LSUHSCS!D23+LSUHSCNO!D23+LSUAg!D23+PBRC!D23+SULaw!D23+SUAg!D23</f>
        <v>0</v>
      </c>
      <c r="E23" s="69">
        <f t="shared" si="1"/>
        <v>0</v>
      </c>
      <c r="F23" s="70">
        <f t="shared" si="0"/>
        <v>0</v>
      </c>
      <c r="G23" s="69">
        <f>LSUHSCS!G23+LSUHSCNO!G23+LSUAg!G23+PBRC!G23+SULaw!G23+SUAg!G23</f>
        <v>0</v>
      </c>
      <c r="H23" s="227"/>
    </row>
    <row r="24" spans="1:8" ht="15" customHeight="1" x14ac:dyDescent="0.25">
      <c r="A24" s="76" t="s">
        <v>28</v>
      </c>
      <c r="B24" s="69">
        <f>LSUHSCS!B24+LSUHSCNO!B24+LSUAg!B24+PBRC!B24+SULaw!B24+SUAg!B24</f>
        <v>0</v>
      </c>
      <c r="C24" s="69">
        <f>LSUHSCS!C24+LSUHSCNO!C24+LSUAg!C24+PBRC!C24+SULaw!C24+SUAg!C24</f>
        <v>0</v>
      </c>
      <c r="D24" s="69">
        <f>LSUHSCS!D24+LSUHSCNO!D24+LSUAg!D24+PBRC!D24+SULaw!D24+SUAg!D24</f>
        <v>0</v>
      </c>
      <c r="E24" s="69">
        <f t="shared" si="1"/>
        <v>0</v>
      </c>
      <c r="F24" s="70">
        <f t="shared" si="0"/>
        <v>0</v>
      </c>
      <c r="G24" s="69">
        <f>LSUHSCS!G24+LSUHSCNO!G24+LSUAg!G24+PBRC!G24+SULaw!G24+SUAg!G24</f>
        <v>0</v>
      </c>
      <c r="H24" s="227"/>
    </row>
    <row r="25" spans="1:8" ht="15" customHeight="1" x14ac:dyDescent="0.25">
      <c r="A25" s="76" t="s">
        <v>29</v>
      </c>
      <c r="B25" s="69">
        <f>LSUHSCS!B25+LSUHSCNO!B25+LSUAg!B25+PBRC!B25+SULaw!B25+SUAg!B25</f>
        <v>0</v>
      </c>
      <c r="C25" s="69">
        <f>LSUHSCS!C25+LSUHSCNO!C25+LSUAg!C25+PBRC!C25+SULaw!C25+SUAg!C25</f>
        <v>0</v>
      </c>
      <c r="D25" s="69">
        <f>LSUHSCS!D25+LSUHSCNO!D25+LSUAg!D25+PBRC!D25+SULaw!D25+SUAg!D25</f>
        <v>0</v>
      </c>
      <c r="E25" s="69">
        <f t="shared" si="1"/>
        <v>0</v>
      </c>
      <c r="F25" s="70">
        <f t="shared" si="0"/>
        <v>0</v>
      </c>
      <c r="G25" s="69">
        <f>LSUHSCS!G25+LSUHSCNO!G25+LSUAg!G25+PBRC!G25+SULaw!G25+SUAg!G25</f>
        <v>0</v>
      </c>
      <c r="H25" s="227"/>
    </row>
    <row r="26" spans="1:8" ht="15" customHeight="1" x14ac:dyDescent="0.25">
      <c r="A26" s="76" t="s">
        <v>30</v>
      </c>
      <c r="B26" s="69">
        <f>LSUHSCS!B26+LSUHSCNO!B26+LSUAg!B26+PBRC!B26+SULaw!B26+SUAg!B26</f>
        <v>0</v>
      </c>
      <c r="C26" s="69">
        <f>LSUHSCS!C26+LSUHSCNO!C26+LSUAg!C26+PBRC!C26+SULaw!C26+SUAg!C26</f>
        <v>0</v>
      </c>
      <c r="D26" s="69">
        <f>LSUHSCS!D26+LSUHSCNO!D26+LSUAg!D26+PBRC!D26+SULaw!D26+SUAg!D26</f>
        <v>0</v>
      </c>
      <c r="E26" s="69">
        <f t="shared" si="1"/>
        <v>0</v>
      </c>
      <c r="F26" s="70">
        <f t="shared" si="0"/>
        <v>0</v>
      </c>
      <c r="G26" s="69">
        <f>LSUHSCS!G26+LSUHSCNO!G26+LSUAg!G26+PBRC!G26+SULaw!G26+SUAg!G26</f>
        <v>0</v>
      </c>
      <c r="H26" s="227"/>
    </row>
    <row r="27" spans="1:8" ht="15" customHeight="1" x14ac:dyDescent="0.25">
      <c r="A27" s="76" t="s">
        <v>31</v>
      </c>
      <c r="B27" s="69">
        <f>LSUHSCS!B27+LSUHSCNO!B27+LSUAg!B27+PBRC!B27+SULaw!B27+SUAg!B27</f>
        <v>0</v>
      </c>
      <c r="C27" s="69">
        <f>LSUHSCS!C27+LSUHSCNO!C27+LSUAg!C27+PBRC!C27+SULaw!C27+SUAg!C27</f>
        <v>0</v>
      </c>
      <c r="D27" s="69">
        <f>LSUHSCS!D27+LSUHSCNO!D27+LSUAg!D27+PBRC!D27+SULaw!D27+SUAg!D27</f>
        <v>0</v>
      </c>
      <c r="E27" s="69">
        <f t="shared" si="1"/>
        <v>0</v>
      </c>
      <c r="F27" s="70">
        <f t="shared" si="0"/>
        <v>0</v>
      </c>
      <c r="G27" s="69">
        <f>LSUHSCS!G27+LSUHSCNO!G27+LSUAg!G27+PBRC!G27+SULaw!G27+SUAg!G27</f>
        <v>0</v>
      </c>
      <c r="H27" s="227"/>
    </row>
    <row r="28" spans="1:8" ht="15" customHeight="1" x14ac:dyDescent="0.25">
      <c r="A28" s="76" t="s">
        <v>87</v>
      </c>
      <c r="B28" s="69">
        <f>LSUHSCS!B28+LSUHSCNO!B28+LSUAg!B28+PBRC!B28+SULaw!B28+SUAg!B28</f>
        <v>0</v>
      </c>
      <c r="C28" s="69">
        <f>LSUHSCS!C28+LSUHSCNO!C28+LSUAg!C28+PBRC!C28+SULaw!C28+SUAg!C28</f>
        <v>0</v>
      </c>
      <c r="D28" s="69">
        <f>LSUHSCS!D28+LSUHSCNO!D28+LSUAg!D28+PBRC!D28+SULaw!D28+SUAg!D28</f>
        <v>0</v>
      </c>
      <c r="E28" s="69">
        <f t="shared" si="1"/>
        <v>0</v>
      </c>
      <c r="F28" s="70">
        <f t="shared" si="0"/>
        <v>0</v>
      </c>
      <c r="G28" s="69">
        <f>LSUHSCS!G28+LSUHSCNO!G28+LSUAg!G28+PBRC!G28+SULaw!G28+SUAg!G28</f>
        <v>0</v>
      </c>
      <c r="H28" s="227"/>
    </row>
    <row r="29" spans="1:8" ht="15" customHeight="1" x14ac:dyDescent="0.25">
      <c r="A29" s="76" t="s">
        <v>32</v>
      </c>
      <c r="B29" s="69">
        <f>LSUHSCS!B29+LSUHSCNO!B29+LSUAg!B29+PBRC!B29+SULaw!B29+SUAg!B29</f>
        <v>0</v>
      </c>
      <c r="C29" s="69">
        <f>LSUHSCS!C29+LSUHSCNO!C29+LSUAg!C29+PBRC!C29+SULaw!C29+SUAg!C29</f>
        <v>0</v>
      </c>
      <c r="D29" s="69">
        <f>LSUHSCS!D29+LSUHSCNO!D29+LSUAg!D29+PBRC!D29+SULaw!D29+SUAg!D29</f>
        <v>0</v>
      </c>
      <c r="E29" s="69">
        <f t="shared" si="1"/>
        <v>0</v>
      </c>
      <c r="F29" s="70">
        <f t="shared" si="0"/>
        <v>0</v>
      </c>
      <c r="G29" s="69">
        <f>LSUHSCS!G29+LSUHSCNO!G29+LSUAg!G29+PBRC!G29+SULaw!G29+SUAg!G29</f>
        <v>0</v>
      </c>
      <c r="H29" s="227"/>
    </row>
    <row r="30" spans="1:8" ht="15" customHeight="1" x14ac:dyDescent="0.25">
      <c r="A30" s="217" t="s">
        <v>201</v>
      </c>
      <c r="B30" s="69">
        <f>LSUHSCS!B30+LSUHSCNO!B30+LSUAg!B30+PBRC!B30+SULaw!B30+SUAg!B30</f>
        <v>0</v>
      </c>
      <c r="C30" s="69">
        <f>LSUHSCS!C30+LSUHSCNO!C30+LSUAg!C30+PBRC!C30+SULaw!C30+SUAg!C30</f>
        <v>0</v>
      </c>
      <c r="D30" s="69">
        <f>LSUHSCS!D30+LSUHSCNO!D30+LSUAg!D30+PBRC!D30+SULaw!D30+SUAg!D30</f>
        <v>0</v>
      </c>
      <c r="E30" s="69">
        <f t="shared" si="1"/>
        <v>0</v>
      </c>
      <c r="F30" s="70">
        <f t="shared" si="0"/>
        <v>0</v>
      </c>
      <c r="G30" s="69">
        <f>LSUHSCS!G30+LSUHSCNO!G30+LSUAg!G30+PBRC!G30+SULaw!G30+SUAg!G30</f>
        <v>0</v>
      </c>
      <c r="H30" s="227"/>
    </row>
    <row r="31" spans="1:8" ht="15" customHeight="1" x14ac:dyDescent="0.25">
      <c r="A31" s="76" t="s">
        <v>202</v>
      </c>
      <c r="B31" s="69">
        <f>LSUHSCS!B31+LSUHSCNO!B31+LSUAg!B31+PBRC!B31+SULaw!B31+SUAg!B31</f>
        <v>0</v>
      </c>
      <c r="C31" s="69">
        <f>LSUHSCS!C31+LSUHSCNO!C31+LSUAg!C31+PBRC!C31+SULaw!C31+SUAg!C31</f>
        <v>0</v>
      </c>
      <c r="D31" s="69">
        <f>LSUHSCS!D31+LSUHSCNO!D31+LSUAg!D31+PBRC!D31+SULaw!D31+SUAg!D31</f>
        <v>200000</v>
      </c>
      <c r="E31" s="69">
        <f t="shared" si="1"/>
        <v>200000</v>
      </c>
      <c r="F31" s="70">
        <f t="shared" si="0"/>
        <v>1</v>
      </c>
      <c r="G31" s="69">
        <f>LSUHSCS!G31+LSUHSCNO!G31+LSUAg!G31+PBRC!G31+SULaw!G31+SUAg!G31</f>
        <v>200000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f>LSUHSCS!B33+LSUHSCNO!B33+LSUAg!B33+PBRC!B33+SULaw!B33+SUAg!B33</f>
        <v>0</v>
      </c>
      <c r="C33" s="69">
        <f>LSUHSCS!C33+LSUHSCNO!C33+LSUAg!C33+PBRC!C33+SULaw!C33+SUAg!C33</f>
        <v>0</v>
      </c>
      <c r="D33" s="69">
        <f>LSUHSCS!D33+LSUHSCNO!D33+LSUAg!D33+PBRC!D33+SULaw!D33+SUAg!D33</f>
        <v>0</v>
      </c>
      <c r="E33" s="69">
        <f>D33-C33</f>
        <v>0</v>
      </c>
      <c r="F33" s="70">
        <f>IF(ISBLANK(E33),"  ",IF(C33&gt;0,E33/C33,IF(E33&gt;0,1,0)))</f>
        <v>0</v>
      </c>
      <c r="G33" s="69">
        <f>LSUHSCS!G33+LSUHSCNO!G33+LSUAg!G33+PBRC!G33+SULaw!G33+SUAg!G33</f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9">
        <f>LSUHSCS!B35+LSUHSCNO!B35+LSUAg!B35+PBRC!B35+SULaw!B35+SUAg!B35</f>
        <v>0</v>
      </c>
      <c r="C35" s="69">
        <f>LSUHSCS!C35+LSUHSCNO!C35+LSUAg!C35+PBRC!C35+SULaw!C35+SUAg!C35</f>
        <v>0</v>
      </c>
      <c r="D35" s="69">
        <f>LSUHSCS!D35+LSUHSCNO!D35+LSUAg!D35+PBRC!D35+SULaw!D35+SUAg!D35</f>
        <v>0</v>
      </c>
      <c r="E35" s="69">
        <f>D35-C35</f>
        <v>0</v>
      </c>
      <c r="F35" s="70">
        <f>IF(ISBLANK(E35),"  ",IF(C35&gt;0,E35/C35,IF(E35&gt;0,1,0)))</f>
        <v>0</v>
      </c>
      <c r="G35" s="69">
        <f>LSUHSCS!G35+LSUHSCNO!G35+LSUAg!G35+PBRC!G35+SULaw!G35+SUAg!G35</f>
        <v>0</v>
      </c>
      <c r="H35" s="227"/>
    </row>
    <row r="36" spans="1:13" ht="15" customHeight="1" x14ac:dyDescent="0.25">
      <c r="A36" s="75" t="s">
        <v>36</v>
      </c>
      <c r="B36" s="122"/>
      <c r="C36" s="122"/>
      <c r="D36" s="122"/>
      <c r="E36" s="72"/>
      <c r="F36" s="70" t="s">
        <v>37</v>
      </c>
      <c r="G36" s="122"/>
      <c r="H36" s="227"/>
    </row>
    <row r="37" spans="1:13" s="124" customFormat="1" ht="15" customHeight="1" x14ac:dyDescent="0.25">
      <c r="A37" s="79" t="s">
        <v>38</v>
      </c>
      <c r="B37" s="123">
        <f>B35+B33+B10+B9+B8</f>
        <v>250682487.65000001</v>
      </c>
      <c r="C37" s="123">
        <f>C35+C33+C10+C9+C8</f>
        <v>252711968</v>
      </c>
      <c r="D37" s="123">
        <f>D35+D33+D10+D9+D8</f>
        <v>235821042</v>
      </c>
      <c r="E37" s="87">
        <f>D37-C37</f>
        <v>-16890926</v>
      </c>
      <c r="F37" s="81">
        <f>IF(ISBLANK(E37),"  ",IF(C37&gt;0,E37/C37,IF(E37&gt;0,1,0)))</f>
        <v>-6.6838646913627772E-2</v>
      </c>
      <c r="G37" s="123">
        <f>G35+G33+G10+G9+G8</f>
        <v>235821042</v>
      </c>
      <c r="H37" s="228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f>LSUHSCS!B39+LSUHSCNO!B39+LSUAg!B39+PBRC!B39+SULaw!B39+SUAg!B39</f>
        <v>0</v>
      </c>
      <c r="C39" s="69">
        <f>LSUHSCS!C39+LSUHSCNO!C39+LSUAg!C39+PBRC!C39+SULaw!C39+SUAg!C39</f>
        <v>0</v>
      </c>
      <c r="D39" s="69">
        <f>LSUHSCS!D39+LSUHSCNO!D39+LSUAg!D39+PBRC!D39+SULaw!D39+SUAg!D39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LSUHSCS!G39+LSUHSCNO!G39+LSUAg!G39+PBRC!G39+SULaw!G39+SUAg!G39</f>
        <v>0</v>
      </c>
      <c r="H39" s="227"/>
    </row>
    <row r="40" spans="1:13" ht="15" customHeight="1" x14ac:dyDescent="0.25">
      <c r="A40" s="83" t="s">
        <v>41</v>
      </c>
      <c r="B40" s="69">
        <f>LSUHSCS!B40+LSUHSCNO!B40+LSUAg!B40+PBRC!B40+SULaw!B40+SUAg!B40</f>
        <v>0</v>
      </c>
      <c r="C40" s="69">
        <f>LSUHSCS!C40+LSUHSCNO!C40+LSUAg!C40+PBRC!C40+SULaw!C40+SUAg!C40</f>
        <v>0</v>
      </c>
      <c r="D40" s="69">
        <f>LSUHSCS!D40+LSUHSCNO!D40+LSUAg!D40+PBRC!D40+SULaw!D40+SUAg!D40</f>
        <v>0</v>
      </c>
      <c r="E40" s="69">
        <f>D40-C40</f>
        <v>0</v>
      </c>
      <c r="F40" s="70">
        <f t="shared" si="2"/>
        <v>0</v>
      </c>
      <c r="G40" s="69">
        <f>LSUHSCS!G40+LSUHSCNO!G40+LSUAg!G40+PBRC!G40+SULaw!G40+SUAg!G40</f>
        <v>0</v>
      </c>
      <c r="H40" s="227"/>
    </row>
    <row r="41" spans="1:13" ht="15" customHeight="1" x14ac:dyDescent="0.25">
      <c r="A41" s="83" t="s">
        <v>42</v>
      </c>
      <c r="B41" s="69">
        <f>LSUHSCS!B41+LSUHSCNO!B41+LSUAg!B41+PBRC!B41+SULaw!B41+SUAg!B41</f>
        <v>0</v>
      </c>
      <c r="C41" s="69">
        <f>LSUHSCS!C41+LSUHSCNO!C41+LSUAg!C41+PBRC!C41+SULaw!C41+SUAg!C41</f>
        <v>0</v>
      </c>
      <c r="D41" s="69">
        <f>LSUHSCS!D41+LSUHSCNO!D41+LSUAg!D41+PBRC!D41+SULaw!D41+SUAg!D41</f>
        <v>0</v>
      </c>
      <c r="E41" s="69">
        <f t="shared" ref="E41:E44" si="3">D41-C41</f>
        <v>0</v>
      </c>
      <c r="F41" s="70">
        <f t="shared" si="2"/>
        <v>0</v>
      </c>
      <c r="G41" s="69">
        <f>LSUHSCS!G41+LSUHSCNO!G41+LSUAg!G41+PBRC!G41+SULaw!G41+SUAg!G41</f>
        <v>0</v>
      </c>
      <c r="H41" s="227"/>
    </row>
    <row r="42" spans="1:13" ht="15" customHeight="1" x14ac:dyDescent="0.25">
      <c r="A42" s="83" t="s">
        <v>43</v>
      </c>
      <c r="B42" s="69">
        <f>LSUHSCS!B42+LSUHSCNO!B42+LSUAg!B42+PBRC!B42+SULaw!B42+SUAg!B42</f>
        <v>0</v>
      </c>
      <c r="C42" s="69">
        <f>LSUHSCS!C42+LSUHSCNO!C42+LSUAg!C42+PBRC!C42+SULaw!C42+SUAg!C42</f>
        <v>0</v>
      </c>
      <c r="D42" s="69">
        <f>LSUHSCS!D42+LSUHSCNO!D42+LSUAg!D42+PBRC!D42+SULaw!D42+SUAg!D42</f>
        <v>0</v>
      </c>
      <c r="E42" s="69">
        <f t="shared" si="3"/>
        <v>0</v>
      </c>
      <c r="F42" s="70">
        <f t="shared" si="2"/>
        <v>0</v>
      </c>
      <c r="G42" s="69">
        <f>LSUHSCS!G42+LSUHSCNO!G42+LSUAg!G42+PBRC!G42+SULaw!G42+SUAg!G42</f>
        <v>0</v>
      </c>
      <c r="H42" s="227"/>
    </row>
    <row r="43" spans="1:13" ht="15" customHeight="1" x14ac:dyDescent="0.25">
      <c r="A43" s="84" t="s">
        <v>44</v>
      </c>
      <c r="B43" s="69">
        <f>LSUHSCS!B43+LSUHSCNO!B43+LSUAg!B43+PBRC!B43+SULaw!B43+SUAg!B43</f>
        <v>0</v>
      </c>
      <c r="C43" s="69">
        <f>LSUHSCS!C43+LSUHSCNO!C43+LSUAg!C43+PBRC!C43+SULaw!C43+SUAg!C43</f>
        <v>0</v>
      </c>
      <c r="D43" s="69">
        <f>LSUHSCS!D43+LSUHSCNO!D43+LSUAg!D43+PBRC!D43+SULaw!D43+SUAg!D43</f>
        <v>0</v>
      </c>
      <c r="E43" s="69">
        <f t="shared" si="3"/>
        <v>0</v>
      </c>
      <c r="F43" s="70">
        <f t="shared" si="2"/>
        <v>0</v>
      </c>
      <c r="G43" s="69">
        <f>LSUHSCS!G43+LSUHSCNO!G43+LSUAg!G43+PBRC!G43+SULaw!G43+SUAg!G43</f>
        <v>0</v>
      </c>
      <c r="H43" s="227"/>
    </row>
    <row r="44" spans="1:13" s="124" customFormat="1" ht="15" customHeight="1" x14ac:dyDescent="0.25">
      <c r="A44" s="77" t="s">
        <v>45</v>
      </c>
      <c r="B44" s="87">
        <f>LSUHSCS!B44+LSUHSCNO!B44+LSUAg!B44+PBRC!B44+SULaw!B44+SUAg!B44</f>
        <v>0</v>
      </c>
      <c r="C44" s="87">
        <f>LSUHSCS!C44+LSUHSCNO!C44+LSUAg!C44+PBRC!C44+SULaw!C44+SUAg!C44</f>
        <v>0</v>
      </c>
      <c r="D44" s="87">
        <f>LSUHSCS!D44+LSUHSCNO!D44+LSUAg!D44+PBRC!D44+SULaw!D44+SUAg!D44</f>
        <v>0</v>
      </c>
      <c r="E44" s="87">
        <f t="shared" si="3"/>
        <v>0</v>
      </c>
      <c r="F44" s="81">
        <f t="shared" si="2"/>
        <v>0</v>
      </c>
      <c r="G44" s="87">
        <f>LSUHSCS!G44+LSUHSCNO!G44+LSUAg!G44+PBRC!G44+SULaw!G44+SUAg!G44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f>LSUHSCS!B46+LSUHSCNO!B46+LSUAg!B46+PBRC!B46+SULaw!B46+SUAg!B46</f>
        <v>0</v>
      </c>
      <c r="C46" s="87">
        <f>LSUHSCS!C46+LSUHSCNO!C46+LSUAg!C46+PBRC!C46+SULaw!C46+SUAg!C46</f>
        <v>0</v>
      </c>
      <c r="D46" s="87">
        <f>LSUHSCS!D46+LSUHSCNO!D46+LSUAg!D46+PBRC!D46+SULaw!D46+SUAg!D46</f>
        <v>0</v>
      </c>
      <c r="E46" s="87">
        <f>D46-C46</f>
        <v>0</v>
      </c>
      <c r="F46" s="81">
        <f>IF(ISBLANK(E46),"  ",IF(C46&gt;0,E46/C46,IF(E46&gt;0,1,0)))</f>
        <v>0</v>
      </c>
      <c r="G46" s="87">
        <f>LSUHSCS!G46+LSUHSCNO!G46+LSUAg!G46+PBRC!G46+SULaw!G46+SUAg!G46</f>
        <v>0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f>LSUHSCS!B48+LSUHSCNO!B48+LSUAg!B48+PBRC!B48+SULaw!B48+SUAg!B48</f>
        <v>19998376.530000001</v>
      </c>
      <c r="C48" s="87">
        <f>LSUHSCS!C48+LSUHSCNO!C48+LSUAg!C48+PBRC!C48+SULaw!C48+SUAg!C48</f>
        <v>18679941</v>
      </c>
      <c r="D48" s="87">
        <f>LSUHSCS!D48+LSUHSCNO!D48+LSUAg!D48+PBRC!D48+SULaw!D48+SUAg!D48</f>
        <v>0</v>
      </c>
      <c r="E48" s="87">
        <f>D48-C48</f>
        <v>-18679941</v>
      </c>
      <c r="F48" s="81">
        <f>IF(ISBLANK(E48)," ",IF(C48&gt;0,E48/C48,IF(E48&gt;0,1,0)))</f>
        <v>-1</v>
      </c>
      <c r="G48" s="87">
        <f>LSUHSCS!G48+LSUHSCNO!G48+LSUAg!G48+PBRC!G48+SULaw!G48+SUAg!G48</f>
        <v>19998376.259999998</v>
      </c>
      <c r="H48" s="228"/>
      <c r="K48" s="187"/>
    </row>
    <row r="49" spans="1:8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8" s="124" customFormat="1" ht="15" customHeight="1" x14ac:dyDescent="0.25">
      <c r="A50" s="86" t="s">
        <v>48</v>
      </c>
      <c r="B50" s="87">
        <f>LSUHSCS!B50+LSUHSCNO!B50+LSUAg!B50+PBRC!B50+SULaw!B50+SUAg!B50</f>
        <v>0</v>
      </c>
      <c r="C50" s="87">
        <f>LSUHSCS!C50+LSUHSCNO!C50+LSUAg!C50+PBRC!C50+SULaw!C50+SUAg!C50</f>
        <v>0</v>
      </c>
      <c r="D50" s="87">
        <f>LSUHSCS!D50+LSUHSCNO!D50+LSUAg!D50+PBRC!D50+SULaw!D50+SUAg!D50</f>
        <v>0</v>
      </c>
      <c r="E50" s="87">
        <f>D50-C50</f>
        <v>0</v>
      </c>
      <c r="F50" s="81">
        <f>IF(ISBLANK(E50),"  ",IF(C50&gt;0,E50/C50,IF(E50&gt;0,1,0)))</f>
        <v>0</v>
      </c>
      <c r="G50" s="87">
        <f>LSUHSCS!G50+LSUHSCNO!G50+LSUAg!G50+PBRC!G50+SULaw!G50+SUAg!G50</f>
        <v>0</v>
      </c>
      <c r="H50" s="228"/>
    </row>
    <row r="51" spans="1:8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8" s="124" customFormat="1" ht="15" customHeight="1" x14ac:dyDescent="0.25">
      <c r="A52" s="77" t="s">
        <v>49</v>
      </c>
      <c r="B52" s="87">
        <f>LSUHSCS!B52+LSUHSCNO!B52+LSUAg!B52+PBRC!B52+SULaw!B52+SUAg!B52</f>
        <v>101602891.95999999</v>
      </c>
      <c r="C52" s="87">
        <f>LSUHSCS!C52+LSUHSCNO!C52+LSUAg!C52+PBRC!C52+SULaw!C52+SUAg!C52</f>
        <v>110165034</v>
      </c>
      <c r="D52" s="87">
        <f>LSUHSCS!D52+LSUHSCNO!D52+LSUAg!D52+PBRC!D52+SULaw!D52+SUAg!D52</f>
        <v>112994241</v>
      </c>
      <c r="E52" s="87">
        <f>D52-C52</f>
        <v>2829207</v>
      </c>
      <c r="F52" s="81">
        <f>IF(ISBLANK(E52),"  ",IF(C52&gt;0,E52/C52,IF(E52&gt;0,1,0)))</f>
        <v>2.5681533398337626E-2</v>
      </c>
      <c r="G52" s="87">
        <f>LSUHSCS!G52+LSUHSCNO!G52+LSUAg!G52+PBRC!G52+SULaw!G52+SUAg!G52</f>
        <v>112994241</v>
      </c>
      <c r="H52" s="228"/>
    </row>
    <row r="53" spans="1:8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8" s="124" customFormat="1" ht="15" customHeight="1" x14ac:dyDescent="0.25">
      <c r="A54" s="88" t="s">
        <v>50</v>
      </c>
      <c r="B54" s="87">
        <f>LSUHSCS!B54+LSUHSCNO!B54+LSUAg!B54+PBRC!B54+SULaw!B54+SUAg!B54</f>
        <v>15567447.34</v>
      </c>
      <c r="C54" s="87">
        <f>LSUHSCS!C54+LSUHSCNO!C54+LSUAg!C54+PBRC!C54+SULaw!C54+SUAg!C54</f>
        <v>16672484</v>
      </c>
      <c r="D54" s="87">
        <f>LSUHSCS!D54+LSUHSCNO!D54+LSUAg!D54+PBRC!D54+SULaw!D54+SUAg!D54</f>
        <v>16672484</v>
      </c>
      <c r="E54" s="87">
        <f>D54-C54</f>
        <v>0</v>
      </c>
      <c r="F54" s="81">
        <f>IF(ISBLANK(E54),"  ",IF(C54&gt;0,E54/C54,IF(E54&gt;0,1,0)))</f>
        <v>0</v>
      </c>
      <c r="G54" s="87">
        <f>LSUHSCS!G54+LSUHSCNO!G54+LSUAg!G54+PBRC!G54+SULaw!G54+SUAg!G54</f>
        <v>16672484</v>
      </c>
      <c r="H54" s="228"/>
    </row>
    <row r="55" spans="1:8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8" s="124" customFormat="1" ht="15" customHeight="1" x14ac:dyDescent="0.25">
      <c r="A56" s="77" t="s">
        <v>51</v>
      </c>
      <c r="B56" s="87">
        <f>LSUHSCS!B56+LSUHSCNO!B56+LSUAg!B56+PBRC!B56+SULaw!B56+SUAg!B56</f>
        <v>0</v>
      </c>
      <c r="C56" s="87">
        <f>LSUHSCS!C56+LSUHSCNO!C56+LSUAg!C56+PBRC!C56+SULaw!C56+SUAg!C56</f>
        <v>0</v>
      </c>
      <c r="D56" s="87">
        <f>LSUHSCS!D56+LSUHSCNO!D56+LSUAg!D56+PBRC!D56+SULaw!D56+SUAg!D56</f>
        <v>0</v>
      </c>
      <c r="E56" s="87">
        <f>D56-C56</f>
        <v>0</v>
      </c>
      <c r="F56" s="81">
        <f>IF(ISBLANK(E56),"  ",IF(C56&gt;0,E56/C56,IF(E56&gt;0,1,0)))</f>
        <v>0</v>
      </c>
      <c r="G56" s="87">
        <f>LSUHSCS!G56+LSUHSCNO!G56+LSUAg!G56+PBRC!G56+SULaw!G56+SUAg!G56</f>
        <v>0</v>
      </c>
      <c r="H56" s="228"/>
    </row>
    <row r="57" spans="1:8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8" s="124" customFormat="1" ht="15" customHeight="1" x14ac:dyDescent="0.25">
      <c r="A58" s="91" t="s">
        <v>52</v>
      </c>
      <c r="B58" s="87">
        <f>B56+B54+B52+B50+B48+B46+-B44+B37</f>
        <v>387851203.48000002</v>
      </c>
      <c r="C58" s="87">
        <f>C56+C54+C52+C50+C48+C46+-C44+C37</f>
        <v>398229427</v>
      </c>
      <c r="D58" s="87">
        <f>D56+D54+D52+D50+D46+-D44+D37</f>
        <v>365487767</v>
      </c>
      <c r="E58" s="87">
        <f>D58-C58</f>
        <v>-32741660</v>
      </c>
      <c r="F58" s="81">
        <f>IF(ISBLANK(E58),"  ",IF(C58&gt;0,E58/C58,IF(E58&gt;0,1,0)))</f>
        <v>-8.2218082793766023E-2</v>
      </c>
      <c r="G58" s="87">
        <f>G56+G54+G52+G50+G46+-G44+G37</f>
        <v>365487767</v>
      </c>
      <c r="H58" s="228"/>
    </row>
    <row r="59" spans="1:8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8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8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8" ht="15" customHeight="1" x14ac:dyDescent="0.25">
      <c r="A62" s="73" t="s">
        <v>54</v>
      </c>
      <c r="B62" s="69">
        <f>LSUHSCS!B62+LSUHSCNO!B62+LSUAg!B62+PBRC!B62+SULaw!B62+SUAg!B62</f>
        <v>87297969.280000001</v>
      </c>
      <c r="C62" s="69">
        <f>LSUHSCS!C62+LSUHSCNO!C62+LSUAg!C62+PBRC!C62+SULaw!C62+SUAg!C62</f>
        <v>82712731.680000007</v>
      </c>
      <c r="D62" s="69">
        <f>LSUHSCS!D62+LSUHSCNO!D62+LSUAg!D62+PBRC!D62+SULaw!D62+SUAg!D62</f>
        <v>58789841.090000004</v>
      </c>
      <c r="E62" s="69">
        <f>D62-C62</f>
        <v>-23922890.590000004</v>
      </c>
      <c r="F62" s="70">
        <f t="shared" ref="F62:F75" si="4">IF(ISBLANK(E62),"  ",IF(C62&gt;0,E62/C62,IF(E62&gt;0,1,0)))</f>
        <v>-0.28922863631868873</v>
      </c>
      <c r="G62" s="69">
        <f>LSUHSCS!G62+LSUHSCNO!G62+LSUAg!G62+PBRC!G62+SULaw!G62+SUAg!G62</f>
        <v>70847026.519999996</v>
      </c>
      <c r="H62" s="227"/>
    </row>
    <row r="63" spans="1:8" ht="15" customHeight="1" x14ac:dyDescent="0.25">
      <c r="A63" s="75" t="s">
        <v>55</v>
      </c>
      <c r="B63" s="69">
        <f>LSUHSCS!B63+LSUHSCNO!B63+LSUAg!B63+PBRC!B63+SULaw!B63+SUAg!B63</f>
        <v>61631830.020000003</v>
      </c>
      <c r="C63" s="69">
        <f>LSUHSCS!C63+LSUHSCNO!C63+LSUAg!C63+PBRC!C63+SULaw!C63+SUAg!C63</f>
        <v>65850812</v>
      </c>
      <c r="D63" s="69">
        <f>LSUHSCS!D63+LSUHSCNO!D63+LSUAg!D63+PBRC!D63+SULaw!D63+SUAg!D63</f>
        <v>63625974</v>
      </c>
      <c r="E63" s="69">
        <f>D63-C63</f>
        <v>-2224838</v>
      </c>
      <c r="F63" s="70">
        <f t="shared" si="4"/>
        <v>-3.378603744476226E-2</v>
      </c>
      <c r="G63" s="69">
        <f>LSUHSCS!G63+LSUHSCNO!G63+LSUAg!G63+PBRC!G63+SULaw!G63+SUAg!G63</f>
        <v>64562596.25</v>
      </c>
      <c r="H63" s="227"/>
    </row>
    <row r="64" spans="1:8" ht="15" customHeight="1" x14ac:dyDescent="0.25">
      <c r="A64" s="75" t="s">
        <v>56</v>
      </c>
      <c r="B64" s="69">
        <f>LSUHSCS!B64+LSUHSCNO!B64+LSUAg!B64+PBRC!B64+SULaw!B64+SUAg!B64</f>
        <v>32076595.84</v>
      </c>
      <c r="C64" s="69">
        <f>LSUHSCS!C64+LSUHSCNO!C64+LSUAg!C64+PBRC!C64+SULaw!C64+SUAg!C64</f>
        <v>31394632.190000001</v>
      </c>
      <c r="D64" s="69">
        <f>LSUHSCS!D64+LSUHSCNO!D64+LSUAg!D64+PBRC!D64+SULaw!D64+SUAg!D64</f>
        <v>44311484</v>
      </c>
      <c r="E64" s="69">
        <f t="shared" ref="E64:E75" si="5">D64-C64</f>
        <v>12916851.809999999</v>
      </c>
      <c r="F64" s="70">
        <f t="shared" si="4"/>
        <v>0.41143504188319008</v>
      </c>
      <c r="G64" s="69">
        <f>LSUHSCS!G64+LSUHSCNO!G64+LSUAg!G64+PBRC!G64+SULaw!G64+SUAg!G64</f>
        <v>45715620.829999998</v>
      </c>
      <c r="H64" s="227"/>
    </row>
    <row r="65" spans="1:8" ht="15" customHeight="1" x14ac:dyDescent="0.25">
      <c r="A65" s="75" t="s">
        <v>57</v>
      </c>
      <c r="B65" s="69">
        <f>LSUHSCS!B65+LSUHSCNO!B65+LSUAg!B65+PBRC!B65+SULaw!B65+SUAg!B65</f>
        <v>35486177.019999996</v>
      </c>
      <c r="C65" s="69">
        <f>LSUHSCS!C65+LSUHSCNO!C65+LSUAg!C65+PBRC!C65+SULaw!C65+SUAg!C65</f>
        <v>41762891.090000004</v>
      </c>
      <c r="D65" s="69">
        <f>LSUHSCS!D65+LSUHSCNO!D65+LSUAg!D65+PBRC!D65+SULaw!D65+SUAg!D65</f>
        <v>34686975.049999997</v>
      </c>
      <c r="E65" s="69">
        <f t="shared" si="5"/>
        <v>-7075916.0400000066</v>
      </c>
      <c r="F65" s="70">
        <f t="shared" si="4"/>
        <v>-0.16943070403701799</v>
      </c>
      <c r="G65" s="69">
        <f>LSUHSCS!G65+LSUHSCNO!G65+LSUAg!G65+PBRC!G65+SULaw!G65+SUAg!G65</f>
        <v>37659736.420000002</v>
      </c>
      <c r="H65" s="227"/>
    </row>
    <row r="66" spans="1:8" ht="15" customHeight="1" x14ac:dyDescent="0.25">
      <c r="A66" s="75" t="s">
        <v>58</v>
      </c>
      <c r="B66" s="69">
        <f>LSUHSCS!B66+LSUHSCNO!B66+LSUAg!B66+PBRC!B66+SULaw!B66+SUAg!B66</f>
        <v>8778483.3000000007</v>
      </c>
      <c r="C66" s="69">
        <f>LSUHSCS!C66+LSUHSCNO!C66+LSUAg!C66+PBRC!C66+SULaw!C66+SUAg!C66</f>
        <v>7860852.9900000002</v>
      </c>
      <c r="D66" s="69">
        <f>LSUHSCS!D66+LSUHSCNO!D66+LSUAg!D66+PBRC!D66+SULaw!D66+SUAg!D66</f>
        <v>8509580.2200000007</v>
      </c>
      <c r="E66" s="69">
        <f t="shared" si="5"/>
        <v>648727.23000000045</v>
      </c>
      <c r="F66" s="70">
        <f t="shared" si="4"/>
        <v>8.2526314997273656E-2</v>
      </c>
      <c r="G66" s="69">
        <f>LSUHSCS!G66+LSUHSCNO!G66+LSUAg!G66+PBRC!G66+SULaw!G66+SUAg!G66</f>
        <v>8509580.2200000007</v>
      </c>
      <c r="H66" s="227"/>
    </row>
    <row r="67" spans="1:8" ht="15" customHeight="1" x14ac:dyDescent="0.25">
      <c r="A67" s="75" t="s">
        <v>59</v>
      </c>
      <c r="B67" s="69">
        <f>LSUHSCS!B67+LSUHSCNO!B67+LSUAg!B67+PBRC!B67+SULaw!B67+SUAg!B67</f>
        <v>109895676.21999998</v>
      </c>
      <c r="C67" s="69">
        <f>LSUHSCS!C67+LSUHSCNO!C67+LSUAg!C67+PBRC!C67+SULaw!C67+SUAg!C67</f>
        <v>111836252.91</v>
      </c>
      <c r="D67" s="69">
        <f>LSUHSCS!D67+LSUHSCNO!D67+LSUAg!D67+PBRC!D67+SULaw!D67+SUAg!D67</f>
        <v>100343180.89</v>
      </c>
      <c r="E67" s="69">
        <f t="shared" si="5"/>
        <v>-11493072.019999996</v>
      </c>
      <c r="F67" s="70">
        <f t="shared" si="4"/>
        <v>-0.10276696259887233</v>
      </c>
      <c r="G67" s="69">
        <f>LSUHSCS!G67+LSUHSCNO!G67+LSUAg!G67+PBRC!G67+SULaw!G67+SUAg!G67</f>
        <v>101873397.47</v>
      </c>
      <c r="H67" s="227"/>
    </row>
    <row r="68" spans="1:8" ht="15" customHeight="1" x14ac:dyDescent="0.25">
      <c r="A68" s="75" t="s">
        <v>60</v>
      </c>
      <c r="B68" s="69">
        <f>LSUHSCS!B68+LSUHSCNO!B68+LSUAg!B68+PBRC!B68+SULaw!B68+SUAg!B68</f>
        <v>7990430.4399999995</v>
      </c>
      <c r="C68" s="69">
        <f>LSUHSCS!C68+LSUHSCNO!C68+LSUAg!C68+PBRC!C68+SULaw!C68+SUAg!C68</f>
        <v>8482934</v>
      </c>
      <c r="D68" s="69">
        <f>LSUHSCS!D68+LSUHSCNO!D68+LSUAg!D68+PBRC!D68+SULaw!D68+SUAg!D68</f>
        <v>8004703</v>
      </c>
      <c r="E68" s="69">
        <f t="shared" si="5"/>
        <v>-478231</v>
      </c>
      <c r="F68" s="70">
        <f t="shared" si="4"/>
        <v>-5.6375659647947281E-2</v>
      </c>
      <c r="G68" s="69">
        <f>LSUHSCS!G68+LSUHSCNO!G68+LSUAg!G68+PBRC!G68+SULaw!G68+SUAg!G68</f>
        <v>8421994</v>
      </c>
      <c r="H68" s="227"/>
    </row>
    <row r="69" spans="1:8" ht="15" customHeight="1" x14ac:dyDescent="0.25">
      <c r="A69" s="75" t="s">
        <v>61</v>
      </c>
      <c r="B69" s="69">
        <f>LSUHSCS!B69+LSUHSCNO!B69+LSUAg!B69+PBRC!B69+SULaw!B69+SUAg!B69</f>
        <v>39830025.640000001</v>
      </c>
      <c r="C69" s="69">
        <f>LSUHSCS!C69+LSUHSCNO!C69+LSUAg!C69+PBRC!C69+SULaw!C69+SUAg!C69</f>
        <v>42798116.890000001</v>
      </c>
      <c r="D69" s="69">
        <f>LSUHSCS!D69+LSUHSCNO!D69+LSUAg!D69+PBRC!D69+SULaw!D69+SUAg!D69</f>
        <v>45818074</v>
      </c>
      <c r="E69" s="69">
        <f t="shared" si="5"/>
        <v>3019957.1099999994</v>
      </c>
      <c r="F69" s="70">
        <f t="shared" si="4"/>
        <v>7.0562850177775652E-2</v>
      </c>
      <c r="G69" s="69">
        <f>LSUHSCS!G69+LSUHSCNO!G69+LSUAg!G69+PBRC!G69+SULaw!G69+SUAg!G69</f>
        <v>46498236.799999997</v>
      </c>
      <c r="H69" s="227"/>
    </row>
    <row r="70" spans="1:8" s="124" customFormat="1" ht="15" customHeight="1" x14ac:dyDescent="0.25">
      <c r="A70" s="94" t="s">
        <v>62</v>
      </c>
      <c r="B70" s="87">
        <f>SUM(B62:B69)</f>
        <v>382987187.75999999</v>
      </c>
      <c r="C70" s="87">
        <f>SUM(C62:C69)</f>
        <v>392699223.75</v>
      </c>
      <c r="D70" s="87">
        <f>SUM(D62:D69)</f>
        <v>364089812.25</v>
      </c>
      <c r="E70" s="87">
        <f t="shared" si="5"/>
        <v>-28609411.5</v>
      </c>
      <c r="F70" s="81">
        <f t="shared" si="4"/>
        <v>-7.2853241793554735E-2</v>
      </c>
      <c r="G70" s="87">
        <f>SUM(G62:G69)</f>
        <v>384088188.50999999</v>
      </c>
      <c r="H70" s="228"/>
    </row>
    <row r="71" spans="1:8" ht="15" customHeight="1" x14ac:dyDescent="0.25">
      <c r="A71" s="75" t="s">
        <v>63</v>
      </c>
      <c r="B71" s="69">
        <f>LSUHSCS!B71+LSUHSCNO!B71+LSUAg!B71+PBRC!B71+SULaw!B71+SUAg!B71</f>
        <v>4056276.4899999998</v>
      </c>
      <c r="C71" s="69">
        <f>LSUHSCS!C71+LSUHSCNO!C71+LSUAg!C71+PBRC!C71+SULaw!C71+SUAg!C71</f>
        <v>4366686</v>
      </c>
      <c r="D71" s="69">
        <f>LSUHSCS!D71+LSUHSCNO!D71+LSUAg!D71+PBRC!D71+SULaw!D71+SUAg!D71</f>
        <v>4204241</v>
      </c>
      <c r="E71" s="69">
        <f t="shared" si="5"/>
        <v>-162445</v>
      </c>
      <c r="F71" s="70">
        <f t="shared" si="4"/>
        <v>-3.7200980331537466E-2</v>
      </c>
      <c r="G71" s="69">
        <f>LSUHSCS!G71+LSUHSCNO!G71+LSUAg!G71+PBRC!G71+SULaw!G71+SUAg!G71</f>
        <v>4204241</v>
      </c>
      <c r="H71" s="227"/>
    </row>
    <row r="72" spans="1:8" ht="15" customHeight="1" x14ac:dyDescent="0.25">
      <c r="A72" s="75" t="s">
        <v>64</v>
      </c>
      <c r="B72" s="69">
        <f>LSUHSCS!B72+LSUHSCNO!B72+LSUAg!B72+PBRC!B72+SULaw!B72+SUAg!B72</f>
        <v>711261.97</v>
      </c>
      <c r="C72" s="69">
        <f>LSUHSCS!C72+LSUHSCNO!C72+LSUAg!C72+PBRC!C72+SULaw!C72+SUAg!C72</f>
        <v>1056251</v>
      </c>
      <c r="D72" s="69">
        <f>LSUHSCS!D72+LSUHSCNO!D72+LSUAg!D72+PBRC!D72+SULaw!D72+SUAg!D72</f>
        <v>-2806286</v>
      </c>
      <c r="E72" s="69">
        <f t="shared" si="5"/>
        <v>-3862537</v>
      </c>
      <c r="F72" s="70">
        <f t="shared" si="4"/>
        <v>-3.65683630122007</v>
      </c>
      <c r="G72" s="69">
        <f>LSUHSCS!G72+LSUHSCNO!G72+LSUAg!G72+PBRC!G72+SULaw!G72+SUAg!G72</f>
        <v>-2806286</v>
      </c>
      <c r="H72" s="227"/>
    </row>
    <row r="73" spans="1:8" ht="15" customHeight="1" x14ac:dyDescent="0.25">
      <c r="A73" s="75" t="s">
        <v>65</v>
      </c>
      <c r="B73" s="69">
        <f>LSUHSCS!B73+LSUHSCNO!B73+LSUAg!B73+PBRC!B73+SULaw!B73+SUAg!B73</f>
        <v>0</v>
      </c>
      <c r="C73" s="69">
        <f>LSUHSCS!C73+LSUHSCNO!C73+LSUAg!C73+PBRC!C73+SULaw!C73+SUAg!C73</f>
        <v>0</v>
      </c>
      <c r="D73" s="69">
        <f>LSUHSCS!D73+LSUHSCNO!D73+LSUAg!D73+PBRC!D73+SULaw!D73+SUAg!D73</f>
        <v>0</v>
      </c>
      <c r="E73" s="69">
        <f t="shared" si="5"/>
        <v>0</v>
      </c>
      <c r="F73" s="70">
        <f t="shared" si="4"/>
        <v>0</v>
      </c>
      <c r="G73" s="69">
        <f>LSUHSCS!G73+LSUHSCNO!G73+LSUAg!G73+PBRC!G73+SULaw!G73+SUAg!G73</f>
        <v>0</v>
      </c>
      <c r="H73" s="227"/>
    </row>
    <row r="74" spans="1:8" ht="15" customHeight="1" x14ac:dyDescent="0.25">
      <c r="A74" s="75" t="s">
        <v>66</v>
      </c>
      <c r="B74" s="69">
        <f>LSUHSCS!B74+LSUHSCNO!B74+LSUAg!B74+PBRC!B74+SULaw!B74+SUAg!B74</f>
        <v>96467</v>
      </c>
      <c r="C74" s="69">
        <f>LSUHSCS!C74+LSUHSCNO!C74+LSUAg!C74+PBRC!C74+SULaw!C74+SUAg!C74</f>
        <v>107267</v>
      </c>
      <c r="D74" s="69">
        <f>LSUHSCS!D74+LSUHSCNO!D74+LSUAg!D74+PBRC!D74+SULaw!D74+SUAg!D74</f>
        <v>0</v>
      </c>
      <c r="E74" s="69">
        <f t="shared" si="5"/>
        <v>-107267</v>
      </c>
      <c r="F74" s="70">
        <f t="shared" si="4"/>
        <v>-1</v>
      </c>
      <c r="G74" s="69">
        <f>LSUHSCS!G74+LSUHSCNO!G74+LSUAg!G74+PBRC!G74+SULaw!G74+SUAg!G74</f>
        <v>0</v>
      </c>
      <c r="H74" s="227"/>
    </row>
    <row r="75" spans="1:8" s="124" customFormat="1" ht="15" customHeight="1" x14ac:dyDescent="0.25">
      <c r="A75" s="95" t="s">
        <v>67</v>
      </c>
      <c r="B75" s="87">
        <f>SUM(B70:B74)</f>
        <v>387851193.22000003</v>
      </c>
      <c r="C75" s="87">
        <f>SUM(C70:C74)</f>
        <v>398229427.75</v>
      </c>
      <c r="D75" s="87">
        <f>SUM(D70:D74)</f>
        <v>365487767.25</v>
      </c>
      <c r="E75" s="87">
        <f t="shared" si="5"/>
        <v>-32741660.5</v>
      </c>
      <c r="F75" s="81">
        <f t="shared" si="4"/>
        <v>-8.2218083894479349E-2</v>
      </c>
      <c r="G75" s="87">
        <f>SUM(G70:G74)</f>
        <v>385486143.50999999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f>LSUHSCS!B78+LSUHSCNO!B78+LSUAg!B78+PBRC!B78+SULaw!B78+SUAg!B78</f>
        <v>173613652.52000001</v>
      </c>
      <c r="C78" s="69">
        <f>LSUHSCS!C78+LSUHSCNO!C78+LSUAg!C78+PBRC!C78+SULaw!C78+SUAg!C78</f>
        <v>177620129.01999998</v>
      </c>
      <c r="D78" s="69">
        <f>LSUHSCS!D78+LSUHSCNO!D78+LSUAg!D78+PBRC!D78+SULaw!D78+SUAg!D78</f>
        <v>157971352.41999999</v>
      </c>
      <c r="E78" s="69">
        <f>D78-C78</f>
        <v>-19648776.599999994</v>
      </c>
      <c r="F78" s="70">
        <f t="shared" ref="F78:F96" si="6">IF(ISBLANK(E78),"  ",IF(C78&gt;0,E78/C78,IF(E78&gt;0,1,0)))</f>
        <v>-0.11062246553028653</v>
      </c>
      <c r="G78" s="69">
        <f>LSUHSCS!G78+LSUHSCNO!G78+LSUAg!G78+PBRC!G78+SULaw!G78+SUAg!G78</f>
        <v>171770561.86999997</v>
      </c>
      <c r="H78" s="227"/>
    </row>
    <row r="79" spans="1:8" ht="15" customHeight="1" x14ac:dyDescent="0.25">
      <c r="A79" s="75" t="s">
        <v>70</v>
      </c>
      <c r="B79" s="69">
        <f>LSUHSCS!B79+LSUHSCNO!B79+LSUAg!B79+PBRC!B79+SULaw!B79+SUAg!B79</f>
        <v>7165858.129999999</v>
      </c>
      <c r="C79" s="69">
        <f>LSUHSCS!C79+LSUHSCNO!C79+LSUAg!C79+PBRC!C79+SULaw!C79+SUAg!C79</f>
        <v>5033031.1899999995</v>
      </c>
      <c r="D79" s="69">
        <f>LSUHSCS!D79+LSUHSCNO!D79+LSUAg!D79+PBRC!D79+SULaw!D79+SUAg!D79</f>
        <v>4391735</v>
      </c>
      <c r="E79" s="69">
        <f>D79-C79</f>
        <v>-641296.18999999948</v>
      </c>
      <c r="F79" s="70">
        <f t="shared" si="6"/>
        <v>-0.12741748775055764</v>
      </c>
      <c r="G79" s="69">
        <f>LSUHSCS!G79+LSUHSCNO!G79+LSUAg!G79+PBRC!G79+SULaw!G79+SUAg!G79</f>
        <v>4391735</v>
      </c>
      <c r="H79" s="227"/>
    </row>
    <row r="80" spans="1:8" ht="15" customHeight="1" x14ac:dyDescent="0.25">
      <c r="A80" s="75" t="s">
        <v>71</v>
      </c>
      <c r="B80" s="69">
        <f>LSUHSCS!B80+LSUHSCNO!B80+LSUAg!B80+PBRC!B80+SULaw!B80+SUAg!B80</f>
        <v>86841437.299999997</v>
      </c>
      <c r="C80" s="69">
        <f>LSUHSCS!C80+LSUHSCNO!C80+LSUAg!C80+PBRC!C80+SULaw!C80+SUAg!C80</f>
        <v>95145030.049999997</v>
      </c>
      <c r="D80" s="69">
        <f>LSUHSCS!D80+LSUHSCNO!D80+LSUAg!D80+PBRC!D80+SULaw!D80+SUAg!D80</f>
        <v>78210137.829999998</v>
      </c>
      <c r="E80" s="69">
        <f t="shared" ref="E80:E95" si="7">D80-C80</f>
        <v>-16934892.219999999</v>
      </c>
      <c r="F80" s="70">
        <f t="shared" si="6"/>
        <v>-0.17799029766557942</v>
      </c>
      <c r="G80" s="69">
        <f>LSUHSCS!G80+LSUHSCNO!G80+LSUAg!G80+PBRC!G80+SULaw!G80+SUAg!G80</f>
        <v>83970403.149999991</v>
      </c>
      <c r="H80" s="227"/>
    </row>
    <row r="81" spans="1:8" s="124" customFormat="1" ht="15" customHeight="1" x14ac:dyDescent="0.25">
      <c r="A81" s="94" t="s">
        <v>72</v>
      </c>
      <c r="B81" s="87">
        <f>SUM(B78:B80)</f>
        <v>267620947.94999999</v>
      </c>
      <c r="C81" s="87">
        <f>SUM(C78:C80)</f>
        <v>277798190.25999999</v>
      </c>
      <c r="D81" s="87">
        <f>SUM(D78:D80)</f>
        <v>240573225.25</v>
      </c>
      <c r="E81" s="87">
        <f t="shared" si="7"/>
        <v>-37224965.00999999</v>
      </c>
      <c r="F81" s="81">
        <f t="shared" si="6"/>
        <v>-0.13400002705258801</v>
      </c>
      <c r="G81" s="87">
        <f>SUM(G78:G80)</f>
        <v>260132700.01999998</v>
      </c>
      <c r="H81" s="228"/>
    </row>
    <row r="82" spans="1:8" ht="15" customHeight="1" x14ac:dyDescent="0.25">
      <c r="A82" s="75" t="s">
        <v>73</v>
      </c>
      <c r="B82" s="69">
        <f>LSUHSCS!B82+LSUHSCNO!B82+LSUAg!B82+PBRC!B82+SULaw!B82+SUAg!B82</f>
        <v>1990549.97</v>
      </c>
      <c r="C82" s="69">
        <f>LSUHSCS!C82+LSUHSCNO!C82+LSUAg!C82+PBRC!C82+SULaw!C82+SUAg!C82</f>
        <v>2833298</v>
      </c>
      <c r="D82" s="69">
        <f>LSUHSCS!D82+LSUHSCNO!D82+LSUAg!D82+PBRC!D82+SULaw!D82+SUAg!D82</f>
        <v>2454305</v>
      </c>
      <c r="E82" s="69">
        <f t="shared" si="7"/>
        <v>-378993</v>
      </c>
      <c r="F82" s="70">
        <f t="shared" si="6"/>
        <v>-0.1337639034086778</v>
      </c>
      <c r="G82" s="69">
        <f>LSUHSCS!G82+LSUHSCNO!G82+LSUAg!G82+PBRC!G82+SULaw!G82+SUAg!G82</f>
        <v>2454305</v>
      </c>
      <c r="H82" s="227"/>
    </row>
    <row r="83" spans="1:8" ht="15" customHeight="1" x14ac:dyDescent="0.25">
      <c r="A83" s="75" t="s">
        <v>74</v>
      </c>
      <c r="B83" s="69">
        <f>LSUHSCS!B83+LSUHSCNO!B83+LSUAg!B83+PBRC!B83+SULaw!B83+SUAg!B83</f>
        <v>47805136.889999993</v>
      </c>
      <c r="C83" s="69">
        <f>LSUHSCS!C83+LSUHSCNO!C83+LSUAg!C83+PBRC!C83+SULaw!C83+SUAg!C83</f>
        <v>51780082</v>
      </c>
      <c r="D83" s="69">
        <f>LSUHSCS!D83+LSUHSCNO!D83+LSUAg!D83+PBRC!D83+SULaw!D83+SUAg!D83</f>
        <v>55297971</v>
      </c>
      <c r="E83" s="69">
        <f t="shared" si="7"/>
        <v>3517889</v>
      </c>
      <c r="F83" s="70">
        <f t="shared" si="6"/>
        <v>6.7939038798741178E-2</v>
      </c>
      <c r="G83" s="69">
        <f>LSUHSCS!G83+LSUHSCNO!G83+LSUAg!G83+PBRC!G83+SULaw!G83+SUAg!G83</f>
        <v>55297971</v>
      </c>
      <c r="H83" s="227"/>
    </row>
    <row r="84" spans="1:8" ht="15" customHeight="1" x14ac:dyDescent="0.25">
      <c r="A84" s="75" t="s">
        <v>75</v>
      </c>
      <c r="B84" s="69">
        <f>LSUHSCS!B84+LSUHSCNO!B84+LSUAg!B84+PBRC!B84+SULaw!B84+SUAg!B84</f>
        <v>10688298.07</v>
      </c>
      <c r="C84" s="69">
        <f>LSUHSCS!C84+LSUHSCNO!C84+LSUAg!C84+PBRC!C84+SULaw!C84+SUAg!C84</f>
        <v>15301691.49</v>
      </c>
      <c r="D84" s="69">
        <f>LSUHSCS!D84+LSUHSCNO!D84+LSUAg!D84+PBRC!D84+SULaw!D84+SUAg!D84</f>
        <v>11978180</v>
      </c>
      <c r="E84" s="69">
        <f t="shared" si="7"/>
        <v>-3323511.49</v>
      </c>
      <c r="F84" s="70">
        <f t="shared" si="6"/>
        <v>-0.21719896079279796</v>
      </c>
      <c r="G84" s="69">
        <f>LSUHSCS!G84+LSUHSCNO!G84+LSUAg!G84+PBRC!G84+SULaw!G84+SUAg!G84</f>
        <v>11997140.529999999</v>
      </c>
      <c r="H84" s="227"/>
    </row>
    <row r="85" spans="1:8" s="124" customFormat="1" ht="15" customHeight="1" x14ac:dyDescent="0.25">
      <c r="A85" s="78" t="s">
        <v>76</v>
      </c>
      <c r="B85" s="87">
        <f>SUM(B82:B84)</f>
        <v>60483984.929999992</v>
      </c>
      <c r="C85" s="87">
        <f>SUM(C82:C84)</f>
        <v>69915071.489999995</v>
      </c>
      <c r="D85" s="87">
        <f>SUM(D82:D84)</f>
        <v>69730456</v>
      </c>
      <c r="E85" s="87">
        <f t="shared" si="7"/>
        <v>-184615.48999999464</v>
      </c>
      <c r="F85" s="81">
        <f t="shared" si="6"/>
        <v>-2.6405678499005799E-3</v>
      </c>
      <c r="G85" s="87">
        <f>SUM(G82:G84)</f>
        <v>69749416.530000001</v>
      </c>
      <c r="H85" s="228"/>
    </row>
    <row r="86" spans="1:8" ht="15" customHeight="1" x14ac:dyDescent="0.25">
      <c r="A86" s="75" t="s">
        <v>77</v>
      </c>
      <c r="B86" s="69">
        <f>LSUHSCS!B86+LSUHSCNO!B86+LSUAg!B86+PBRC!B86+SULaw!B86+SUAg!B86</f>
        <v>5832459.080000001</v>
      </c>
      <c r="C86" s="69">
        <f>LSUHSCS!C86+LSUHSCNO!C86+LSUAg!C86+PBRC!C86+SULaw!C86+SUAg!C86</f>
        <v>5902131</v>
      </c>
      <c r="D86" s="69">
        <f>LSUHSCS!D86+LSUHSCNO!D86+LSUAg!D86+PBRC!D86+SULaw!D86+SUAg!D86</f>
        <v>5649650</v>
      </c>
      <c r="E86" s="69">
        <f t="shared" si="7"/>
        <v>-252481</v>
      </c>
      <c r="F86" s="70">
        <f t="shared" si="6"/>
        <v>-4.277793901897467E-2</v>
      </c>
      <c r="G86" s="69">
        <f>LSUHSCS!G86+LSUHSCNO!G86+LSUAg!G86+PBRC!G86+SULaw!G86+SUAg!G86</f>
        <v>5649650</v>
      </c>
      <c r="H86" s="227"/>
    </row>
    <row r="87" spans="1:8" ht="15" customHeight="1" x14ac:dyDescent="0.25">
      <c r="A87" s="75" t="s">
        <v>78</v>
      </c>
      <c r="B87" s="69">
        <f>LSUHSCS!B87+LSUHSCNO!B87+LSUAg!B87+PBRC!B87+SULaw!B87+SUAg!B87</f>
        <v>30362466.500000004</v>
      </c>
      <c r="C87" s="69">
        <f>LSUHSCS!C87+LSUHSCNO!C87+LSUAg!C87+PBRC!C87+SULaw!C87+SUAg!C87</f>
        <v>22063471</v>
      </c>
      <c r="D87" s="69">
        <f>LSUHSCS!D87+LSUHSCNO!D87+LSUAg!D87+PBRC!D87+SULaw!D87+SUAg!D87</f>
        <v>28385801</v>
      </c>
      <c r="E87" s="69">
        <f t="shared" si="7"/>
        <v>6322330</v>
      </c>
      <c r="F87" s="70">
        <f t="shared" si="6"/>
        <v>0.28655192104633037</v>
      </c>
      <c r="G87" s="69">
        <f>LSUHSCS!G87+LSUHSCNO!G87+LSUAg!G87+PBRC!G87+SULaw!G87+SUAg!G87</f>
        <v>28803092</v>
      </c>
      <c r="H87" s="227"/>
    </row>
    <row r="88" spans="1:8" ht="15" customHeight="1" x14ac:dyDescent="0.25">
      <c r="A88" s="75" t="s">
        <v>79</v>
      </c>
      <c r="B88" s="69">
        <f>LSUHSCS!B88+LSUHSCNO!B88+LSUAg!B88+PBRC!B88+SULaw!B88+SUAg!B88</f>
        <v>262392</v>
      </c>
      <c r="C88" s="69">
        <f>LSUHSCS!C88+LSUHSCNO!C88+LSUAg!C88+PBRC!C88+SULaw!C88+SUAg!C88</f>
        <v>260039</v>
      </c>
      <c r="D88" s="69">
        <f>LSUHSCS!D88+LSUHSCNO!D88+LSUAg!D88+PBRC!D88+SULaw!D88+SUAg!D88</f>
        <v>262124</v>
      </c>
      <c r="E88" s="69">
        <f t="shared" si="7"/>
        <v>2085</v>
      </c>
      <c r="F88" s="70">
        <f t="shared" si="6"/>
        <v>8.0180280650210163E-3</v>
      </c>
      <c r="G88" s="69">
        <f>LSUHSCS!G88+LSUHSCNO!G88+LSUAg!G88+PBRC!G88+SULaw!G88+SUAg!G88</f>
        <v>262124</v>
      </c>
      <c r="H88" s="227"/>
    </row>
    <row r="89" spans="1:8" ht="15" customHeight="1" x14ac:dyDescent="0.25">
      <c r="A89" s="75" t="s">
        <v>80</v>
      </c>
      <c r="B89" s="69">
        <f>LSUHSCS!B89+LSUHSCNO!B89+LSUAg!B89+PBRC!B89+SULaw!B89+SUAg!B89</f>
        <v>20428434.379999999</v>
      </c>
      <c r="C89" s="69">
        <f>LSUHSCS!C89+LSUHSCNO!C89+LSUAg!C89+PBRC!C89+SULaw!C89+SUAg!C89</f>
        <v>20198585</v>
      </c>
      <c r="D89" s="69">
        <f>LSUHSCS!D89+LSUHSCNO!D89+LSUAg!D89+PBRC!D89+SULaw!D89+SUAg!D89</f>
        <v>19344561</v>
      </c>
      <c r="E89" s="69">
        <f t="shared" si="7"/>
        <v>-854024</v>
      </c>
      <c r="F89" s="70">
        <f t="shared" si="6"/>
        <v>-4.2281377631155845E-2</v>
      </c>
      <c r="G89" s="69">
        <f>LSUHSCS!G89+LSUHSCNO!G89+LSUAg!G89+PBRC!G89+SULaw!G89+SUAg!G89</f>
        <v>19344561</v>
      </c>
      <c r="H89" s="227"/>
    </row>
    <row r="90" spans="1:8" s="124" customFormat="1" ht="15" customHeight="1" x14ac:dyDescent="0.25">
      <c r="A90" s="78" t="s">
        <v>81</v>
      </c>
      <c r="B90" s="87">
        <f>SUM(B86:B89)</f>
        <v>56885751.960000008</v>
      </c>
      <c r="C90" s="87">
        <f>SUM(C86:C89)</f>
        <v>48424226</v>
      </c>
      <c r="D90" s="87">
        <f>SUM(D86:D89)</f>
        <v>53642136</v>
      </c>
      <c r="E90" s="87">
        <f t="shared" si="7"/>
        <v>5217910</v>
      </c>
      <c r="F90" s="81">
        <f t="shared" si="6"/>
        <v>0.10775412290534081</v>
      </c>
      <c r="G90" s="87">
        <f>SUM(G86:G89)</f>
        <v>54059427</v>
      </c>
      <c r="H90" s="228"/>
    </row>
    <row r="91" spans="1:8" ht="15" customHeight="1" x14ac:dyDescent="0.25">
      <c r="A91" s="75" t="s">
        <v>82</v>
      </c>
      <c r="B91" s="69">
        <f>LSUHSCS!B91+LSUHSCNO!B91+LSUAg!B91+PBRC!B91+SULaw!B91+SUAg!B91</f>
        <v>2680596.2600000002</v>
      </c>
      <c r="C91" s="69">
        <f>LSUHSCS!C91+LSUHSCNO!C91+LSUAg!C91+PBRC!C91+SULaw!C91+SUAg!C91</f>
        <v>1605772</v>
      </c>
      <c r="D91" s="69">
        <f>LSUHSCS!D91+LSUHSCNO!D91+LSUAg!D91+PBRC!D91+SULaw!D91+SUAg!D91</f>
        <v>1270566</v>
      </c>
      <c r="E91" s="69">
        <f t="shared" si="7"/>
        <v>-335206</v>
      </c>
      <c r="F91" s="70">
        <f t="shared" si="6"/>
        <v>-0.20875068191499166</v>
      </c>
      <c r="G91" s="69">
        <f>LSUHSCS!G91+LSUHSCNO!G91+LSUAg!G91+PBRC!G91+SULaw!G91+SUAg!G91</f>
        <v>1273215.96</v>
      </c>
      <c r="H91" s="227"/>
    </row>
    <row r="92" spans="1:8" ht="15" customHeight="1" x14ac:dyDescent="0.25">
      <c r="A92" s="75" t="s">
        <v>83</v>
      </c>
      <c r="B92" s="69">
        <f>LSUHSCS!B92+LSUHSCNO!B92+LSUAg!B92+PBRC!B92+SULaw!B92+SUAg!B92</f>
        <v>431189.13</v>
      </c>
      <c r="C92" s="69">
        <f>LSUHSCS!C92+LSUHSCNO!C92+LSUAg!C92+PBRC!C92+SULaw!C92+SUAg!C92</f>
        <v>373317</v>
      </c>
      <c r="D92" s="69">
        <f>LSUHSCS!D92+LSUHSCNO!D92+LSUAg!D92+PBRC!D92+SULaw!D92+SUAg!D92</f>
        <v>260000</v>
      </c>
      <c r="E92" s="69">
        <f t="shared" si="7"/>
        <v>-113317</v>
      </c>
      <c r="F92" s="70">
        <f t="shared" si="6"/>
        <v>-0.30354095848836243</v>
      </c>
      <c r="G92" s="69">
        <f>LSUHSCS!G92+LSUHSCNO!G92+LSUAg!G92+PBRC!G92+SULaw!G92+SUAg!G92</f>
        <v>260000</v>
      </c>
      <c r="H92" s="227"/>
    </row>
    <row r="93" spans="1:8" ht="15" customHeight="1" x14ac:dyDescent="0.25">
      <c r="A93" s="83" t="s">
        <v>84</v>
      </c>
      <c r="B93" s="69">
        <f>LSUHSCS!B93+LSUHSCNO!B93+LSUAg!B93+PBRC!B93+SULaw!B93+SUAg!B93</f>
        <v>-251275.00999999998</v>
      </c>
      <c r="C93" s="69">
        <f>LSUHSCS!C93+LSUHSCNO!C93+LSUAg!C93+PBRC!C93+SULaw!C93+SUAg!C93</f>
        <v>112851</v>
      </c>
      <c r="D93" s="69">
        <f>LSUHSCS!D93+LSUHSCNO!D93+LSUAg!D93+PBRC!D93+SULaw!D93+SUAg!D93</f>
        <v>11384</v>
      </c>
      <c r="E93" s="69">
        <f t="shared" si="7"/>
        <v>-101467</v>
      </c>
      <c r="F93" s="70">
        <f t="shared" si="6"/>
        <v>-0.89912362318455308</v>
      </c>
      <c r="G93" s="69">
        <f>LSUHSCS!G93+LSUHSCNO!G93+LSUAg!G93+PBRC!G93+SULaw!G93+SUAg!G93</f>
        <v>11384</v>
      </c>
      <c r="H93" s="227"/>
    </row>
    <row r="94" spans="1:8" s="124" customFormat="1" ht="15" customHeight="1" x14ac:dyDescent="0.25">
      <c r="A94" s="97" t="s">
        <v>85</v>
      </c>
      <c r="B94" s="87">
        <f>SUM(B91:B93)</f>
        <v>2860510.3800000004</v>
      </c>
      <c r="C94" s="87">
        <f>SUM(C91:C93)</f>
        <v>2091940</v>
      </c>
      <c r="D94" s="87">
        <f>SUM(D91:D93)</f>
        <v>1541950</v>
      </c>
      <c r="E94" s="87">
        <f t="shared" si="7"/>
        <v>-549990</v>
      </c>
      <c r="F94" s="81">
        <f t="shared" si="6"/>
        <v>-0.26290907004981023</v>
      </c>
      <c r="G94" s="87">
        <f>SUM(G91:G93)</f>
        <v>1544599.96</v>
      </c>
      <c r="H94" s="228"/>
    </row>
    <row r="95" spans="1:8" ht="15" customHeight="1" x14ac:dyDescent="0.25">
      <c r="A95" s="83" t="s">
        <v>86</v>
      </c>
      <c r="B95" s="69">
        <f>LSUHSCS!B95+LSUHSCNO!B95+LSUAg!B95+PBRC!B95+SULaw!B95+SUAg!B95</f>
        <v>0</v>
      </c>
      <c r="C95" s="69">
        <f>LSUHSCS!C95+LSUHSCNO!C95+LSUAg!C95+PBRC!C95+SULaw!C95+SUAg!C95</f>
        <v>0</v>
      </c>
      <c r="D95" s="69">
        <f>LSUHSCS!D95+LSUHSCNO!D95+LSUAg!D95+PBRC!D95+SULaw!D95+SUAg!D95</f>
        <v>0</v>
      </c>
      <c r="E95" s="69">
        <f t="shared" si="7"/>
        <v>0</v>
      </c>
      <c r="F95" s="70">
        <f t="shared" si="6"/>
        <v>0</v>
      </c>
      <c r="G95" s="69">
        <f>LSUHSCS!G95+LSUHSCNO!G95+LSUAg!G95+PBRC!G95+SULaw!G95+SUAg!G95</f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B95+B94+B90+B85+B81</f>
        <v>387851195.22000003</v>
      </c>
      <c r="C96" s="196">
        <f>C95+C94+C90+C85+C81</f>
        <v>398229427.75</v>
      </c>
      <c r="D96" s="196">
        <f>D95+D94+D90+D85+D81</f>
        <v>365487767.25</v>
      </c>
      <c r="E96" s="197">
        <f>D96-C96</f>
        <v>-32741660.5</v>
      </c>
      <c r="F96" s="198">
        <f t="shared" si="6"/>
        <v>-8.2218083894479349E-2</v>
      </c>
      <c r="G96" s="196">
        <f>G95+G94+G90+G85+G81</f>
        <v>385486143.50999999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79998168889431442"/>
    <pageSetUpPr fitToPage="1"/>
  </sheetPr>
  <dimension ref="A1:M9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9" sqref="I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6384" width="9.140625" style="139"/>
  </cols>
  <sheetData>
    <row r="1" spans="1:9" ht="19.5" customHeight="1" thickBot="1" x14ac:dyDescent="0.35">
      <c r="A1" s="30" t="s">
        <v>0</v>
      </c>
      <c r="B1" s="35"/>
      <c r="D1" s="32" t="s">
        <v>1</v>
      </c>
      <c r="E1" s="29" t="s">
        <v>134</v>
      </c>
      <c r="F1" s="40"/>
    </row>
    <row r="2" spans="1:9" ht="19.5" customHeight="1" thickBot="1" x14ac:dyDescent="0.35">
      <c r="A2" s="30" t="s">
        <v>2</v>
      </c>
      <c r="B2" s="31"/>
      <c r="C2" s="36"/>
      <c r="D2" s="31"/>
      <c r="E2" s="34"/>
      <c r="F2" s="35"/>
      <c r="G2" s="306" t="s">
        <v>212</v>
      </c>
      <c r="I2" s="209" t="s">
        <v>187</v>
      </c>
    </row>
    <row r="3" spans="1:9" ht="19.5" customHeight="1" thickBot="1" x14ac:dyDescent="0.35">
      <c r="A3" s="37" t="s">
        <v>3</v>
      </c>
      <c r="B3" s="38"/>
      <c r="C3" s="39"/>
      <c r="D3" s="303"/>
      <c r="E3" s="34"/>
      <c r="F3" s="35"/>
      <c r="G3" s="307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f>BOR!B8+LUMCON!B8+LOSFA!B8</f>
        <v>308462259</v>
      </c>
      <c r="C8" s="69">
        <f>BOR!C8+LUMCON!C8+LOSFA!C8</f>
        <v>308607111</v>
      </c>
      <c r="D8" s="69">
        <f>SUM(BOR:LOSFA!D8)</f>
        <v>322111892</v>
      </c>
      <c r="E8" s="69">
        <f>D8-C8</f>
        <v>13504781</v>
      </c>
      <c r="F8" s="70">
        <f t="shared" ref="F8:F31" si="0">IF(ISBLANK(E8),"  ",IF(C8&gt;0,E8/C8,IF(E8&gt;0,1,0)))</f>
        <v>4.3760433634337091E-2</v>
      </c>
      <c r="G8" s="69">
        <f>BOR!G8+LUMCON!G8+LOSFA!G8</f>
        <v>322111892</v>
      </c>
      <c r="H8" s="227"/>
    </row>
    <row r="9" spans="1:9" ht="15" customHeight="1" x14ac:dyDescent="0.25">
      <c r="A9" s="68" t="s">
        <v>13</v>
      </c>
      <c r="B9" s="69">
        <f>BOR!B9+LUMCON!B9+LOSFA!B9</f>
        <v>0</v>
      </c>
      <c r="C9" s="69">
        <f>BOR!C9+LUMCON!C9+LOSFA!C9</f>
        <v>0</v>
      </c>
      <c r="D9" s="69">
        <f>SUM(BOR:LOSFA!D9)</f>
        <v>0</v>
      </c>
      <c r="E9" s="69">
        <f>D9-C9</f>
        <v>0</v>
      </c>
      <c r="F9" s="70">
        <f t="shared" si="0"/>
        <v>0</v>
      </c>
      <c r="G9" s="69">
        <f>BOR!G9+LUMCON!G9+LOSFA!G9</f>
        <v>0</v>
      </c>
      <c r="H9" s="227"/>
    </row>
    <row r="10" spans="1:9" ht="15" customHeight="1" x14ac:dyDescent="0.25">
      <c r="A10" s="71" t="s">
        <v>14</v>
      </c>
      <c r="B10" s="69">
        <f>BOR!B10+LUMCON!B10+LOSFA!B10</f>
        <v>77995918.370000005</v>
      </c>
      <c r="C10" s="69">
        <f>BOR!C10+LUMCON!C10+LOSFA!C10</f>
        <v>81481962</v>
      </c>
      <c r="D10" s="69">
        <f>SUM(BOR:LOSFA!D10)</f>
        <v>82124386</v>
      </c>
      <c r="E10" s="69">
        <f t="shared" ref="E10:E31" si="1">D10-C10</f>
        <v>642424</v>
      </c>
      <c r="F10" s="70">
        <f t="shared" si="0"/>
        <v>7.8842480498935458E-3</v>
      </c>
      <c r="G10" s="69">
        <f>BOR!G10+LUMCON!G10+LOSFA!G10</f>
        <v>82124386</v>
      </c>
      <c r="H10" s="227"/>
    </row>
    <row r="11" spans="1:9" ht="15" customHeight="1" x14ac:dyDescent="0.25">
      <c r="A11" s="73" t="s">
        <v>15</v>
      </c>
      <c r="B11" s="69">
        <f>BOR!B11+LUMCON!B11+LOSFA!B11</f>
        <v>89278.17</v>
      </c>
      <c r="C11" s="69">
        <f>BOR!C11+LUMCON!C11+LOSFA!C11</f>
        <v>342000</v>
      </c>
      <c r="D11" s="69">
        <f>SUM(BOR:LOSFA!D11)</f>
        <v>180000</v>
      </c>
      <c r="E11" s="69">
        <f t="shared" si="1"/>
        <v>-162000</v>
      </c>
      <c r="F11" s="70">
        <f t="shared" si="0"/>
        <v>-0.47368421052631576</v>
      </c>
      <c r="G11" s="69">
        <f>BOR!G11+LUMCON!G11+LOSFA!G11</f>
        <v>180000</v>
      </c>
      <c r="H11" s="227"/>
    </row>
    <row r="12" spans="1:9" ht="15" customHeight="1" x14ac:dyDescent="0.25">
      <c r="A12" s="75" t="s">
        <v>16</v>
      </c>
      <c r="B12" s="69">
        <f>BOR!B12+LUMCON!B12+LOSFA!B12</f>
        <v>33005.199999999997</v>
      </c>
      <c r="C12" s="69">
        <f>BOR!C12+LUMCON!C12+LOSFA!C12</f>
        <v>38636</v>
      </c>
      <c r="D12" s="69">
        <f>SUM(BOR:LOSFA!D12)</f>
        <v>33097</v>
      </c>
      <c r="E12" s="69">
        <f t="shared" si="1"/>
        <v>-5539</v>
      </c>
      <c r="F12" s="70">
        <f t="shared" si="0"/>
        <v>-0.14336370224660938</v>
      </c>
      <c r="G12" s="69">
        <f>BOR!G12+LUMCON!G12+LOSFA!G12</f>
        <v>33097</v>
      </c>
      <c r="H12" s="227"/>
    </row>
    <row r="13" spans="1:9" ht="15" customHeight="1" x14ac:dyDescent="0.25">
      <c r="A13" s="75" t="s">
        <v>17</v>
      </c>
      <c r="B13" s="69">
        <f>BOR!B13+LUMCON!B13+LOSFA!B13</f>
        <v>0</v>
      </c>
      <c r="C13" s="69">
        <f>BOR!C13+LUMCON!C13+LOSFA!C13</f>
        <v>0</v>
      </c>
      <c r="D13" s="69">
        <f>SUM(BOR:LOSFA!D13)</f>
        <v>0</v>
      </c>
      <c r="E13" s="69">
        <f t="shared" si="1"/>
        <v>0</v>
      </c>
      <c r="F13" s="70">
        <f t="shared" si="0"/>
        <v>0</v>
      </c>
      <c r="G13" s="69">
        <f>BOR!G13+LUMCON!G13+LOSFA!G13</f>
        <v>0</v>
      </c>
      <c r="H13" s="227"/>
    </row>
    <row r="14" spans="1:9" ht="15" customHeight="1" x14ac:dyDescent="0.25">
      <c r="A14" s="75" t="s">
        <v>18</v>
      </c>
      <c r="B14" s="69">
        <f>BOR!B14+LUMCON!B14+LOSFA!B14</f>
        <v>0</v>
      </c>
      <c r="C14" s="69">
        <f>BOR!C14+LUMCON!C14+LOSFA!C14</f>
        <v>0</v>
      </c>
      <c r="D14" s="69">
        <f>SUM(BOR:LOSFA!D14)</f>
        <v>0</v>
      </c>
      <c r="E14" s="69">
        <f t="shared" si="1"/>
        <v>0</v>
      </c>
      <c r="F14" s="70">
        <f t="shared" si="0"/>
        <v>0</v>
      </c>
      <c r="G14" s="69">
        <f>BOR!G14+LUMCON!G14+LOSFA!G14</f>
        <v>0</v>
      </c>
      <c r="H14" s="227"/>
    </row>
    <row r="15" spans="1:9" ht="15" customHeight="1" x14ac:dyDescent="0.25">
      <c r="A15" s="75" t="s">
        <v>19</v>
      </c>
      <c r="B15" s="69">
        <f>BOR!B15+LUMCON!B15+LOSFA!B15</f>
        <v>0</v>
      </c>
      <c r="C15" s="69">
        <f>BOR!C15+LUMCON!C15+LOSFA!C15</f>
        <v>0</v>
      </c>
      <c r="D15" s="69">
        <f>SUM(BOR:LOSFA!D15)</f>
        <v>0</v>
      </c>
      <c r="E15" s="69">
        <f t="shared" si="1"/>
        <v>0</v>
      </c>
      <c r="F15" s="70">
        <f t="shared" si="0"/>
        <v>0</v>
      </c>
      <c r="G15" s="69">
        <f>BOR!G15+LUMCON!G15+LOSFA!G15</f>
        <v>0</v>
      </c>
      <c r="H15" s="227"/>
    </row>
    <row r="16" spans="1:9" ht="15" customHeight="1" x14ac:dyDescent="0.25">
      <c r="A16" s="75" t="s">
        <v>20</v>
      </c>
      <c r="B16" s="69">
        <f>BOR!B16+LUMCON!B16+LOSFA!B16</f>
        <v>0</v>
      </c>
      <c r="C16" s="69">
        <f>BOR!C16+LUMCON!C16+LOSFA!C16</f>
        <v>0</v>
      </c>
      <c r="D16" s="69">
        <f>SUM(BOR:LOSFA!D16)</f>
        <v>0</v>
      </c>
      <c r="E16" s="69">
        <f t="shared" si="1"/>
        <v>0</v>
      </c>
      <c r="F16" s="70">
        <f t="shared" si="0"/>
        <v>0</v>
      </c>
      <c r="G16" s="69">
        <f>BOR!G16+LUMCON!G16+LOSFA!G16</f>
        <v>0</v>
      </c>
      <c r="H16" s="227"/>
    </row>
    <row r="17" spans="1:8" ht="15" customHeight="1" x14ac:dyDescent="0.25">
      <c r="A17" s="75" t="s">
        <v>21</v>
      </c>
      <c r="B17" s="69">
        <f>BOR!B17+LUMCON!B17+LOSFA!B17</f>
        <v>0</v>
      </c>
      <c r="C17" s="69">
        <f>BOR!C17+LUMCON!C17+LOSFA!C17</f>
        <v>0</v>
      </c>
      <c r="D17" s="69">
        <f>SUM(BOR:LOSFA!D17)</f>
        <v>0</v>
      </c>
      <c r="E17" s="69">
        <f t="shared" si="1"/>
        <v>0</v>
      </c>
      <c r="F17" s="70">
        <f t="shared" si="0"/>
        <v>0</v>
      </c>
      <c r="G17" s="69">
        <f>BOR!G17+LUMCON!G17+LOSFA!G17</f>
        <v>0</v>
      </c>
      <c r="H17" s="227"/>
    </row>
    <row r="18" spans="1:8" ht="15" customHeight="1" x14ac:dyDescent="0.25">
      <c r="A18" s="75" t="s">
        <v>22</v>
      </c>
      <c r="B18" s="69">
        <f>BOR!B18+LUMCON!B18+LOSFA!B18</f>
        <v>0</v>
      </c>
      <c r="C18" s="69">
        <f>BOR!C18+LUMCON!C18+LOSFA!C18</f>
        <v>0</v>
      </c>
      <c r="D18" s="69">
        <f>SUM(BOR:LOSFA!D18)</f>
        <v>0</v>
      </c>
      <c r="E18" s="69">
        <f t="shared" si="1"/>
        <v>0</v>
      </c>
      <c r="F18" s="70">
        <f t="shared" si="0"/>
        <v>0</v>
      </c>
      <c r="G18" s="69">
        <f>BOR!G18+LUMCON!G18+LOSFA!G18</f>
        <v>0</v>
      </c>
      <c r="H18" s="227"/>
    </row>
    <row r="19" spans="1:8" ht="15" customHeight="1" x14ac:dyDescent="0.25">
      <c r="A19" s="75" t="s">
        <v>23</v>
      </c>
      <c r="B19" s="69">
        <f>BOR!B19+LUMCON!B19+LOSFA!B19</f>
        <v>0</v>
      </c>
      <c r="C19" s="69">
        <f>BOR!C19+LUMCON!C19+LOSFA!C19</f>
        <v>0</v>
      </c>
      <c r="D19" s="69">
        <f>SUM(BOR:LOSFA!D19)</f>
        <v>0</v>
      </c>
      <c r="E19" s="69">
        <f t="shared" si="1"/>
        <v>0</v>
      </c>
      <c r="F19" s="70">
        <f t="shared" si="0"/>
        <v>0</v>
      </c>
      <c r="G19" s="69">
        <f>BOR!G19+LUMCON!G19+LOSFA!G19</f>
        <v>0</v>
      </c>
      <c r="H19" s="227"/>
    </row>
    <row r="20" spans="1:8" ht="15" customHeight="1" x14ac:dyDescent="0.25">
      <c r="A20" s="75" t="s">
        <v>24</v>
      </c>
      <c r="B20" s="69">
        <f>BOR!B20+LUMCON!B20+LOSFA!B20</f>
        <v>0</v>
      </c>
      <c r="C20" s="69">
        <f>BOR!C20+LUMCON!C20+LOSFA!C20</f>
        <v>0</v>
      </c>
      <c r="D20" s="69">
        <f>SUM(BOR:LOSFA!D20)</f>
        <v>0</v>
      </c>
      <c r="E20" s="69">
        <f t="shared" si="1"/>
        <v>0</v>
      </c>
      <c r="F20" s="70">
        <f t="shared" si="0"/>
        <v>0</v>
      </c>
      <c r="G20" s="69">
        <f>BOR!G20+LUMCON!G20+LOSFA!G20</f>
        <v>0</v>
      </c>
      <c r="H20" s="227"/>
    </row>
    <row r="21" spans="1:8" ht="15" customHeight="1" x14ac:dyDescent="0.25">
      <c r="A21" s="75" t="s">
        <v>25</v>
      </c>
      <c r="B21" s="69">
        <f>BOR!B21+LUMCON!B21+LOSFA!B21</f>
        <v>0</v>
      </c>
      <c r="C21" s="69">
        <f>BOR!C21+LUMCON!C21+LOSFA!C21</f>
        <v>0</v>
      </c>
      <c r="D21" s="69">
        <f>SUM(BOR:LOSFA!D21)</f>
        <v>0</v>
      </c>
      <c r="E21" s="69">
        <f t="shared" si="1"/>
        <v>0</v>
      </c>
      <c r="F21" s="70">
        <f t="shared" si="0"/>
        <v>0</v>
      </c>
      <c r="G21" s="69">
        <f>BOR!G21+LUMCON!G21+LOSFA!G21</f>
        <v>0</v>
      </c>
      <c r="H21" s="227"/>
    </row>
    <row r="22" spans="1:8" ht="15" customHeight="1" x14ac:dyDescent="0.25">
      <c r="A22" s="75" t="s">
        <v>26</v>
      </c>
      <c r="B22" s="69">
        <f>BOR!B22+LUMCON!B22+LOSFA!B22</f>
        <v>19190297</v>
      </c>
      <c r="C22" s="69">
        <f>BOR!C22+LUMCON!C22+LOSFA!C22</f>
        <v>22230000</v>
      </c>
      <c r="D22" s="69">
        <f>SUM(BOR:LOSFA!D22)</f>
        <v>24230000</v>
      </c>
      <c r="E22" s="69">
        <f t="shared" si="1"/>
        <v>2000000</v>
      </c>
      <c r="F22" s="70">
        <f t="shared" si="0"/>
        <v>8.9968511021142603E-2</v>
      </c>
      <c r="G22" s="69">
        <f>BOR!G22+LUMCON!G22+LOSFA!G22</f>
        <v>24230000</v>
      </c>
      <c r="H22" s="227"/>
    </row>
    <row r="23" spans="1:8" ht="15" customHeight="1" x14ac:dyDescent="0.25">
      <c r="A23" s="76" t="s">
        <v>27</v>
      </c>
      <c r="B23" s="69">
        <f>BOR!B23+LUMCON!B23+LOSFA!B23</f>
        <v>12012</v>
      </c>
      <c r="C23" s="69">
        <f>BOR!C23+LUMCON!C23+LOSFA!C23</f>
        <v>200000</v>
      </c>
      <c r="D23" s="69">
        <f>SUM(BOR:LOSFA!D23)</f>
        <v>0</v>
      </c>
      <c r="E23" s="69">
        <f t="shared" si="1"/>
        <v>-200000</v>
      </c>
      <c r="F23" s="70">
        <f t="shared" si="0"/>
        <v>-1</v>
      </c>
      <c r="G23" s="69">
        <f>BOR!G23+LUMCON!G23+LOSFA!G23</f>
        <v>0</v>
      </c>
      <c r="H23" s="227"/>
    </row>
    <row r="24" spans="1:8" ht="15" customHeight="1" x14ac:dyDescent="0.25">
      <c r="A24" s="76" t="s">
        <v>28</v>
      </c>
      <c r="B24" s="69">
        <f>BOR!B24+LUMCON!B24+LOSFA!B24</f>
        <v>0</v>
      </c>
      <c r="C24" s="69">
        <f>BOR!C24+LUMCON!C24+LOSFA!C24</f>
        <v>0</v>
      </c>
      <c r="D24" s="69">
        <f>SUM(BOR:LOSFA!D24)</f>
        <v>0</v>
      </c>
      <c r="E24" s="69">
        <f t="shared" si="1"/>
        <v>0</v>
      </c>
      <c r="F24" s="70">
        <f t="shared" si="0"/>
        <v>0</v>
      </c>
      <c r="G24" s="69">
        <f>BOR!G24+LUMCON!G24+LOSFA!G24</f>
        <v>0</v>
      </c>
      <c r="H24" s="227"/>
    </row>
    <row r="25" spans="1:8" ht="15" customHeight="1" x14ac:dyDescent="0.25">
      <c r="A25" s="76" t="s">
        <v>29</v>
      </c>
      <c r="B25" s="69">
        <f>BOR!B25+LUMCON!B25+LOSFA!B25</f>
        <v>60000</v>
      </c>
      <c r="C25" s="69">
        <f>BOR!C25+LUMCON!C25+LOSFA!C25</f>
        <v>60000</v>
      </c>
      <c r="D25" s="69">
        <f>SUM(BOR:LOSFA!D25)</f>
        <v>60000</v>
      </c>
      <c r="E25" s="69">
        <f t="shared" si="1"/>
        <v>0</v>
      </c>
      <c r="F25" s="70">
        <f t="shared" si="0"/>
        <v>0</v>
      </c>
      <c r="G25" s="69">
        <f>BOR!G25+LUMCON!G25+LOSFA!G25</f>
        <v>60000</v>
      </c>
      <c r="H25" s="227"/>
    </row>
    <row r="26" spans="1:8" ht="15" customHeight="1" x14ac:dyDescent="0.25">
      <c r="A26" s="76" t="s">
        <v>30</v>
      </c>
      <c r="B26" s="69">
        <f>BOR!B26+LUMCON!B26+LOSFA!B26</f>
        <v>0</v>
      </c>
      <c r="C26" s="69">
        <f>BOR!C26+LUMCON!C26+LOSFA!C26</f>
        <v>0</v>
      </c>
      <c r="D26" s="69">
        <f>SUM(BOR:LOSFA!D26)</f>
        <v>0</v>
      </c>
      <c r="E26" s="69">
        <f t="shared" si="1"/>
        <v>0</v>
      </c>
      <c r="F26" s="70">
        <f t="shared" si="0"/>
        <v>0</v>
      </c>
      <c r="G26" s="69">
        <f>BOR!G26+LUMCON!G26+LOSFA!G26</f>
        <v>0</v>
      </c>
      <c r="H26" s="227"/>
    </row>
    <row r="27" spans="1:8" ht="15" customHeight="1" x14ac:dyDescent="0.25">
      <c r="A27" s="76" t="s">
        <v>31</v>
      </c>
      <c r="B27" s="69">
        <f>BOR!B27+LUMCON!B27+LOSFA!B27</f>
        <v>58411326</v>
      </c>
      <c r="C27" s="69">
        <f>BOR!C27+LUMCON!C27+LOSFA!C27</f>
        <v>58411326</v>
      </c>
      <c r="D27" s="69">
        <f>SUM(BOR:LOSFA!D27)</f>
        <v>57421289</v>
      </c>
      <c r="E27" s="69">
        <f t="shared" si="1"/>
        <v>-990037</v>
      </c>
      <c r="F27" s="70">
        <f t="shared" si="0"/>
        <v>-1.6949401217154356E-2</v>
      </c>
      <c r="G27" s="69">
        <f>BOR!G27+LUMCON!G27+LOSFA!G27</f>
        <v>57421289</v>
      </c>
      <c r="H27" s="227"/>
    </row>
    <row r="28" spans="1:8" ht="15" customHeight="1" x14ac:dyDescent="0.25">
      <c r="A28" s="76" t="s">
        <v>87</v>
      </c>
      <c r="B28" s="69">
        <f>BOR!B28+LUMCON!B28+LOSFA!B28</f>
        <v>200000</v>
      </c>
      <c r="C28" s="69">
        <f>BOR!C28+LUMCON!C28+LOSFA!C28</f>
        <v>200000</v>
      </c>
      <c r="D28" s="69">
        <f>SUM(BOR:LOSFA!D28)</f>
        <v>200000</v>
      </c>
      <c r="E28" s="69">
        <f t="shared" si="1"/>
        <v>0</v>
      </c>
      <c r="F28" s="70">
        <f t="shared" si="0"/>
        <v>0</v>
      </c>
      <c r="G28" s="69">
        <f>BOR!G28+LUMCON!G28+LOSFA!G28</f>
        <v>200000</v>
      </c>
      <c r="H28" s="227"/>
    </row>
    <row r="29" spans="1:8" ht="15" customHeight="1" x14ac:dyDescent="0.25">
      <c r="A29" s="76" t="s">
        <v>32</v>
      </c>
      <c r="B29" s="69">
        <f>BOR!B29+LUMCON!B29+LOSFA!B29</f>
        <v>0</v>
      </c>
      <c r="C29" s="69">
        <f>BOR!C29+LUMCON!C29+LOSFA!C29</f>
        <v>0</v>
      </c>
      <c r="D29" s="69">
        <f>SUM(BOR:LOSFA!D29)</f>
        <v>0</v>
      </c>
      <c r="E29" s="69">
        <f t="shared" si="1"/>
        <v>0</v>
      </c>
      <c r="F29" s="70">
        <f t="shared" si="0"/>
        <v>0</v>
      </c>
      <c r="G29" s="69">
        <f>BOR!G29+LUMCON!G29+LOSFA!G29</f>
        <v>0</v>
      </c>
      <c r="H29" s="227"/>
    </row>
    <row r="30" spans="1:8" ht="15" customHeight="1" x14ac:dyDescent="0.25">
      <c r="A30" s="217" t="s">
        <v>201</v>
      </c>
      <c r="B30" s="69">
        <f>BOR!B30+LUMCON!B30+LOSFA!B30</f>
        <v>0</v>
      </c>
      <c r="C30" s="69">
        <f>BOR!C30+LUMCON!C30+LOSFA!C30</f>
        <v>0</v>
      </c>
      <c r="D30" s="69">
        <f>SUM(BOR:LOSFA!D30)</f>
        <v>0</v>
      </c>
      <c r="E30" s="69">
        <f t="shared" si="1"/>
        <v>0</v>
      </c>
      <c r="F30" s="70">
        <f t="shared" si="0"/>
        <v>0</v>
      </c>
      <c r="G30" s="69">
        <f>BOR!G30+LUMCON!G30+LOSFA!G30</f>
        <v>0</v>
      </c>
      <c r="H30" s="227"/>
    </row>
    <row r="31" spans="1:8" ht="15" customHeight="1" x14ac:dyDescent="0.25">
      <c r="A31" s="76" t="s">
        <v>202</v>
      </c>
      <c r="B31" s="69">
        <f>BOR!B31+LUMCON!B31+LOSFA!B31</f>
        <v>0</v>
      </c>
      <c r="C31" s="69">
        <f>BOR!C31+LUMCON!C31+LOSFA!C31</f>
        <v>0</v>
      </c>
      <c r="D31" s="69">
        <f>SUM(BOR:LOSFA!D31)</f>
        <v>0</v>
      </c>
      <c r="E31" s="69">
        <f t="shared" si="1"/>
        <v>0</v>
      </c>
      <c r="F31" s="70">
        <f t="shared" si="0"/>
        <v>0</v>
      </c>
      <c r="G31" s="69">
        <f>BOR!G31+LUMCON!G31+LOSFA!G31</f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f>BOR!B33+LUMCON!B33+LOSFA!B33</f>
        <v>0</v>
      </c>
      <c r="C33" s="69">
        <f>BOR!C33+LUMCON!C33+LOSFA!C33</f>
        <v>0</v>
      </c>
      <c r="D33" s="69">
        <f>BOR!D33+LUMCON!D33+LOSFA!D33</f>
        <v>0</v>
      </c>
      <c r="E33" s="69">
        <f>D33-C33</f>
        <v>0</v>
      </c>
      <c r="F33" s="70">
        <f>IF(ISBLANK(E33),"  ",IF(C33&gt;0,E33/C33,IF(E33&gt;0,1,0)))</f>
        <v>0</v>
      </c>
      <c r="G33" s="69">
        <f>BOR!G33+LUMCON!G33+LOSFA!G33</f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9">
        <f>BOR!B35+LUMCON!B35+LOSFA!B35</f>
        <v>0</v>
      </c>
      <c r="C35" s="69">
        <f>BOR!C35+LUMCON!C35+LOSFA!C35</f>
        <v>0</v>
      </c>
      <c r="D35" s="69">
        <f>BOR!D35+LUMCON!D35+LOSFA!D35</f>
        <v>0</v>
      </c>
      <c r="E35" s="69">
        <f>D35-C35</f>
        <v>0</v>
      </c>
      <c r="F35" s="70">
        <f>IF(ISBLANK(E35),"  ",IF(C35&gt;0,E35/C35,IF(E35&gt;0,1,0)))</f>
        <v>0</v>
      </c>
      <c r="G35" s="69">
        <f>BOR!G35+LUMCON!G35+LOSFA!G35</f>
        <v>0</v>
      </c>
      <c r="H35" s="227"/>
    </row>
    <row r="36" spans="1:13" ht="15" customHeight="1" x14ac:dyDescent="0.25">
      <c r="A36" s="75" t="s">
        <v>36</v>
      </c>
      <c r="B36" s="122"/>
      <c r="C36" s="122"/>
      <c r="D36" s="122"/>
      <c r="E36" s="72"/>
      <c r="F36" s="70" t="s">
        <v>37</v>
      </c>
      <c r="G36" s="122"/>
      <c r="H36" s="227"/>
    </row>
    <row r="37" spans="1:13" s="124" customFormat="1" ht="15" customHeight="1" x14ac:dyDescent="0.25">
      <c r="A37" s="79" t="s">
        <v>38</v>
      </c>
      <c r="B37" s="123">
        <f>B35+B33+B10+B9+B8</f>
        <v>386458177.37</v>
      </c>
      <c r="C37" s="123">
        <f>C35+C33+C10+C9+C8</f>
        <v>390089073</v>
      </c>
      <c r="D37" s="123">
        <f>D35+D33+D10+D9+D8</f>
        <v>404236278</v>
      </c>
      <c r="E37" s="87">
        <f>D37-C37</f>
        <v>14147205</v>
      </c>
      <c r="F37" s="81">
        <f>IF(ISBLANK(E37),"  ",IF(C37&gt;0,E37/C37,IF(E37&gt;0,1,0)))</f>
        <v>3.6266601602552448E-2</v>
      </c>
      <c r="G37" s="123">
        <f>G35+G33+G10+G9+G8</f>
        <v>404236278</v>
      </c>
      <c r="H37" s="228"/>
      <c r="I37" s="189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f>BOR!B39+LUMCON!B39+LOSFA!B39</f>
        <v>0</v>
      </c>
      <c r="C39" s="69">
        <f>BOR!C39+LUMCON!C39+LOSFA!C39</f>
        <v>0</v>
      </c>
      <c r="D39" s="69">
        <f>BOR!D39+LUMCON!D39+LOSFA!D39</f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f>BOR!G39+LUMCON!G39+LOSFA!G39</f>
        <v>0</v>
      </c>
      <c r="H39" s="227"/>
    </row>
    <row r="40" spans="1:13" ht="15" customHeight="1" x14ac:dyDescent="0.25">
      <c r="A40" s="83" t="s">
        <v>41</v>
      </c>
      <c r="B40" s="69">
        <f>BOR!B40+LUMCON!B40+LOSFA!B40</f>
        <v>0</v>
      </c>
      <c r="C40" s="69">
        <f>BOR!C40+LUMCON!C40+LOSFA!C40</f>
        <v>0</v>
      </c>
      <c r="D40" s="69">
        <f>BOR!D40+LUMCON!D40+LOSFA!D40</f>
        <v>0</v>
      </c>
      <c r="E40" s="69">
        <f>D40-C40</f>
        <v>0</v>
      </c>
      <c r="F40" s="70">
        <f t="shared" si="2"/>
        <v>0</v>
      </c>
      <c r="G40" s="69">
        <f>BOR!G40+LUMCON!G40+LOSFA!G40</f>
        <v>0</v>
      </c>
      <c r="H40" s="227"/>
    </row>
    <row r="41" spans="1:13" ht="15" customHeight="1" x14ac:dyDescent="0.25">
      <c r="A41" s="83" t="s">
        <v>42</v>
      </c>
      <c r="B41" s="69">
        <f>BOR!B41+LUMCON!B41+LOSFA!B41</f>
        <v>0</v>
      </c>
      <c r="C41" s="69">
        <f>BOR!C41+LUMCON!C41+LOSFA!C41</f>
        <v>0</v>
      </c>
      <c r="D41" s="69">
        <f>BOR!D41+LUMCON!D41+LOSFA!D41</f>
        <v>0</v>
      </c>
      <c r="E41" s="69">
        <f t="shared" ref="E41:E44" si="3">D41-C41</f>
        <v>0</v>
      </c>
      <c r="F41" s="70">
        <f t="shared" si="2"/>
        <v>0</v>
      </c>
      <c r="G41" s="69">
        <f>BOR!G41+LUMCON!G41+LOSFA!G41</f>
        <v>0</v>
      </c>
      <c r="H41" s="227"/>
    </row>
    <row r="42" spans="1:13" ht="15" customHeight="1" x14ac:dyDescent="0.25">
      <c r="A42" s="83" t="s">
        <v>43</v>
      </c>
      <c r="B42" s="69">
        <f>BOR!B42+LUMCON!B42+LOSFA!B42</f>
        <v>0</v>
      </c>
      <c r="C42" s="69">
        <f>BOR!C42+LUMCON!C42+LOSFA!C42</f>
        <v>0</v>
      </c>
      <c r="D42" s="69">
        <f>BOR!D42+LUMCON!D42+LOSFA!D42</f>
        <v>0</v>
      </c>
      <c r="E42" s="69">
        <f t="shared" si="3"/>
        <v>0</v>
      </c>
      <c r="F42" s="70">
        <f t="shared" si="2"/>
        <v>0</v>
      </c>
      <c r="G42" s="69">
        <f>BOR!G42+LUMCON!G42+LOSFA!G42</f>
        <v>0</v>
      </c>
      <c r="H42" s="227"/>
    </row>
    <row r="43" spans="1:13" ht="15" customHeight="1" x14ac:dyDescent="0.25">
      <c r="A43" s="84" t="s">
        <v>44</v>
      </c>
      <c r="B43" s="69">
        <f>BOR!B43+LUMCON!B43+LOSFA!B43</f>
        <v>0</v>
      </c>
      <c r="C43" s="69">
        <f>BOR!C43+LUMCON!C43+LOSFA!C43</f>
        <v>0</v>
      </c>
      <c r="D43" s="69">
        <f>BOR!D43+LUMCON!D43+LOSFA!D43</f>
        <v>0</v>
      </c>
      <c r="E43" s="69">
        <f t="shared" si="3"/>
        <v>0</v>
      </c>
      <c r="F43" s="70">
        <f t="shared" si="2"/>
        <v>0</v>
      </c>
      <c r="G43" s="69">
        <f>BOR!G43+LUMCON!G43+LOSFA!G43</f>
        <v>0</v>
      </c>
      <c r="H43" s="227"/>
    </row>
    <row r="44" spans="1:13" s="124" customFormat="1" ht="15" customHeight="1" x14ac:dyDescent="0.25">
      <c r="A44" s="77" t="s">
        <v>45</v>
      </c>
      <c r="B44" s="87">
        <f>BOR!B44+LUMCON!B44+LOSFA!B44</f>
        <v>0</v>
      </c>
      <c r="C44" s="87">
        <f>BOR!C44+LUMCON!C44+LOSFA!C44</f>
        <v>0</v>
      </c>
      <c r="D44" s="87">
        <f>BOR!D44+LUMCON!D44+LOSFA!D44</f>
        <v>0</v>
      </c>
      <c r="E44" s="87">
        <f t="shared" si="3"/>
        <v>0</v>
      </c>
      <c r="F44" s="81">
        <f t="shared" si="2"/>
        <v>0</v>
      </c>
      <c r="G44" s="87">
        <f>BOR!G44+LUMCON!G44+LOSFA!G44</f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f>BOR!B46+LUMCON!B46+LOSFA!B46</f>
        <v>6363862.46</v>
      </c>
      <c r="C46" s="87">
        <f>BOR!C46+LUMCON!C46+LOSFA!C46</f>
        <v>9627733</v>
      </c>
      <c r="D46" s="87">
        <f>BOR!D46+LUMCON!D46+LOSFA!D46</f>
        <v>10864702</v>
      </c>
      <c r="E46" s="87">
        <f>D46-C46</f>
        <v>1236969</v>
      </c>
      <c r="F46" s="81">
        <f>IF(ISBLANK(E46),"  ",IF(C46&gt;0,E46/C46,IF(E46&gt;0,1,0)))</f>
        <v>0.12847977815753719</v>
      </c>
      <c r="G46" s="87">
        <f>BOR!G46+LUMCON!G46+LOSFA!G46</f>
        <v>10864702</v>
      </c>
      <c r="H46" s="228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f>BOR!B48+LUMCON!B48+LOSFA!B48</f>
        <v>0</v>
      </c>
      <c r="C48" s="87">
        <f>BOR!C48+LUMCON!C48+LOSFA!C48</f>
        <v>0</v>
      </c>
      <c r="D48" s="87">
        <f>BOR!D48+LUMCON!D48+LOSFA!D48</f>
        <v>3250000</v>
      </c>
      <c r="E48" s="87">
        <f>D48-C48</f>
        <v>3250000</v>
      </c>
      <c r="F48" s="81">
        <f>IF(ISBLANK(E48)," ",IF(C48&gt;0,E48/C48,IF(E48&gt;0,1,0)))</f>
        <v>1</v>
      </c>
      <c r="G48" s="87">
        <f>BOR!G48+LUMCON!G48+LOSFA!G48</f>
        <v>3250000</v>
      </c>
      <c r="H48" s="228"/>
    </row>
    <row r="49" spans="1:9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9" s="124" customFormat="1" ht="15" customHeight="1" x14ac:dyDescent="0.25">
      <c r="A50" s="86" t="s">
        <v>48</v>
      </c>
      <c r="B50" s="87">
        <f>BOR!B50+LUMCON!B50+LOSFA!B50</f>
        <v>0</v>
      </c>
      <c r="C50" s="87">
        <f>BOR!C50+LUMCON!C50+LOSFA!C50</f>
        <v>0</v>
      </c>
      <c r="D50" s="87">
        <f>BOR!D50+LUMCON!D50+LOSFA!D50</f>
        <v>0</v>
      </c>
      <c r="E50" s="87">
        <f>D50-C50</f>
        <v>0</v>
      </c>
      <c r="F50" s="81">
        <f>IF(ISBLANK(E50),"  ",IF(C50&gt;0,E50/C50,IF(E50&gt;0,1,0)))</f>
        <v>0</v>
      </c>
      <c r="G50" s="87">
        <f>BOR!G50+LUMCON!G50+LOSFA!G50</f>
        <v>0</v>
      </c>
      <c r="H50" s="228"/>
    </row>
    <row r="51" spans="1:9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9" s="124" customFormat="1" ht="15" customHeight="1" x14ac:dyDescent="0.25">
      <c r="A52" s="77" t="s">
        <v>49</v>
      </c>
      <c r="B52" s="87">
        <f>BOR!B52+LUMCON!B52+LOSFA!B52</f>
        <v>5642817</v>
      </c>
      <c r="C52" s="87">
        <f>BOR!C52+LUMCON!C52+LOSFA!C52</f>
        <v>11830299</v>
      </c>
      <c r="D52" s="87">
        <f>BOR!D52+LUMCON!D52+LOSFA!D52</f>
        <v>12030299</v>
      </c>
      <c r="E52" s="87">
        <f>D52-C52</f>
        <v>200000</v>
      </c>
      <c r="F52" s="81">
        <f>IF(ISBLANK(E52),"  ",IF(C52&gt;0,E52/C52,IF(E52&gt;0,1,0)))</f>
        <v>1.6905743464302972E-2</v>
      </c>
      <c r="G52" s="87">
        <f>BOR!G52+LUMCON!G52+LOSFA!G52</f>
        <v>12030299</v>
      </c>
      <c r="H52" s="228"/>
    </row>
    <row r="53" spans="1:9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9" s="124" customFormat="1" ht="15" customHeight="1" x14ac:dyDescent="0.25">
      <c r="A54" s="88" t="s">
        <v>50</v>
      </c>
      <c r="B54" s="87">
        <f>BOR!B54+LUMCON!B54+LOSFA!B54</f>
        <v>33546293.389999997</v>
      </c>
      <c r="C54" s="87">
        <f>BOR!C54+LUMCON!C54+LOSFA!C54</f>
        <v>56374312</v>
      </c>
      <c r="D54" s="87">
        <f>BOR!D54+LUMCON!D54+LOSFA!D54</f>
        <v>53545312</v>
      </c>
      <c r="E54" s="87">
        <f>D54-C54</f>
        <v>-2829000</v>
      </c>
      <c r="F54" s="81">
        <f>IF(ISBLANK(E54),"  ",IF(C54&gt;0,E54/C54,IF(E54&gt;0,1,0)))</f>
        <v>-5.0182430607756241E-2</v>
      </c>
      <c r="G54" s="87">
        <f>BOR!G54+LUMCON!G54+LOSFA!G54</f>
        <v>53545312</v>
      </c>
      <c r="H54" s="228"/>
    </row>
    <row r="55" spans="1:9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9" s="124" customFormat="1" ht="15" customHeight="1" x14ac:dyDescent="0.25">
      <c r="A56" s="77" t="s">
        <v>51</v>
      </c>
      <c r="B56" s="87">
        <f>BOR!B56+LUMCON!B56+LOSFA!B56</f>
        <v>0</v>
      </c>
      <c r="C56" s="87">
        <f>BOR!C56+LUMCON!C56+LOSFA!C56</f>
        <v>0</v>
      </c>
      <c r="D56" s="87">
        <f>BOR!D56+LUMCON!D56+LOSFA!D56</f>
        <v>0</v>
      </c>
      <c r="E56" s="87">
        <f>D56-C56</f>
        <v>0</v>
      </c>
      <c r="F56" s="81">
        <f>IF(ISBLANK(E56),"  ",IF(C56&gt;0,E56/C56,IF(E56&gt;0,1,0)))</f>
        <v>0</v>
      </c>
      <c r="G56" s="87">
        <f>BOR!G56+LUMCON!G56+LOSFA!G56</f>
        <v>0</v>
      </c>
      <c r="H56" s="228"/>
    </row>
    <row r="57" spans="1:9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9" s="124" customFormat="1" ht="15" customHeight="1" x14ac:dyDescent="0.25">
      <c r="A58" s="91" t="s">
        <v>52</v>
      </c>
      <c r="B58" s="87">
        <f>B56+B54+B52+B50+B48+B46+-B44+B37</f>
        <v>432011150.22000003</v>
      </c>
      <c r="C58" s="87">
        <f>C56+C54+C52+C50+B48+C46+-C44+C37</f>
        <v>467921417</v>
      </c>
      <c r="D58" s="87">
        <f>D56+D54+D52+D50+D48+D46+-D44+D37</f>
        <v>483926591</v>
      </c>
      <c r="E58" s="87">
        <f>D58-C58</f>
        <v>16005174</v>
      </c>
      <c r="F58" s="81">
        <f>IF(ISBLANK(E58),"  ",IF(C58&gt;0,E58/C58,IF(E58&gt;0,1,0)))</f>
        <v>3.4204833158983192E-2</v>
      </c>
      <c r="G58" s="87">
        <f>G56+G54+G52+G50+G48+G46+-G44+G37</f>
        <v>483926591</v>
      </c>
      <c r="H58" s="228"/>
      <c r="I58" s="189"/>
    </row>
    <row r="59" spans="1:9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9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9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9" ht="15" customHeight="1" x14ac:dyDescent="0.25">
      <c r="A62" s="73" t="s">
        <v>54</v>
      </c>
      <c r="B62" s="69">
        <f>BOR!B62+LUMCON!B62+LOSFA!B62</f>
        <v>48766156.480000004</v>
      </c>
      <c r="C62" s="69">
        <f>BOR!C62+LUMCON!C62+LOSFA!C62</f>
        <v>62012011</v>
      </c>
      <c r="D62" s="69">
        <f>BOR!D62+LUMCON!D62+LOSFA!D62</f>
        <v>65676884</v>
      </c>
      <c r="E62" s="69">
        <f>D62-C62</f>
        <v>3664873</v>
      </c>
      <c r="F62" s="70">
        <f t="shared" ref="F62:F75" si="4">IF(ISBLANK(E62),"  ",IF(C62&gt;0,E62/C62,IF(E62&gt;0,1,0)))</f>
        <v>5.9099405758668268E-2</v>
      </c>
      <c r="G62" s="69">
        <f>BOR!G62+LUMCON!G62+LOSFA!G62</f>
        <v>65676884</v>
      </c>
      <c r="H62" s="227"/>
    </row>
    <row r="63" spans="1:9" ht="15" customHeight="1" x14ac:dyDescent="0.25">
      <c r="A63" s="75" t="s">
        <v>55</v>
      </c>
      <c r="B63" s="69">
        <f>BOR!B63+LUMCON!B63+LOSFA!B63</f>
        <v>6699964</v>
      </c>
      <c r="C63" s="69">
        <f>BOR!C63+LUMCON!C63+LOSFA!C63</f>
        <v>9145486</v>
      </c>
      <c r="D63" s="69">
        <f>BOR!D63+LUMCON!D63+LOSFA!D63</f>
        <v>10183300</v>
      </c>
      <c r="E63" s="69">
        <f>D63-C63</f>
        <v>1037814</v>
      </c>
      <c r="F63" s="70">
        <f t="shared" si="4"/>
        <v>0.11347827769896537</v>
      </c>
      <c r="G63" s="69">
        <f>BOR!G63+LUMCON!G63+LOSFA!G63</f>
        <v>10183300</v>
      </c>
      <c r="H63" s="227"/>
    </row>
    <row r="64" spans="1:9" ht="15" customHeight="1" x14ac:dyDescent="0.25">
      <c r="A64" s="75" t="s">
        <v>56</v>
      </c>
      <c r="B64" s="69">
        <f>BOR!B64+LUMCON!B64+LOSFA!B64</f>
        <v>452100</v>
      </c>
      <c r="C64" s="69">
        <f>BOR!C64+LUMCON!C64+LOSFA!C64</f>
        <v>454183</v>
      </c>
      <c r="D64" s="69">
        <f>BOR!D64+LUMCON!D64+LOSFA!D64</f>
        <v>700000</v>
      </c>
      <c r="E64" s="69">
        <f t="shared" ref="E64:E75" si="5">D64-C64</f>
        <v>245817</v>
      </c>
      <c r="F64" s="70">
        <f t="shared" si="4"/>
        <v>0.54122897598545083</v>
      </c>
      <c r="G64" s="69">
        <f>BOR!G64+LUMCON!G64+LOSFA!G64</f>
        <v>700000</v>
      </c>
      <c r="H64" s="227"/>
    </row>
    <row r="65" spans="1:9" ht="15" customHeight="1" x14ac:dyDescent="0.25">
      <c r="A65" s="75" t="s">
        <v>57</v>
      </c>
      <c r="B65" s="69">
        <f>BOR!B65+LUMCON!B65+LOSFA!B65</f>
        <v>124766</v>
      </c>
      <c r="C65" s="69">
        <f>BOR!C65+LUMCON!C65+LOSFA!C65</f>
        <v>147755</v>
      </c>
      <c r="D65" s="69">
        <f>BOR!D65+LUMCON!D65+LOSFA!D65</f>
        <v>122139</v>
      </c>
      <c r="E65" s="69">
        <f t="shared" si="5"/>
        <v>-25616</v>
      </c>
      <c r="F65" s="70">
        <f t="shared" si="4"/>
        <v>-0.1733680755304389</v>
      </c>
      <c r="G65" s="69">
        <f>BOR!G65+LUMCON!G65+LOSFA!G65</f>
        <v>122139</v>
      </c>
      <c r="H65" s="227"/>
    </row>
    <row r="66" spans="1:9" ht="15" customHeight="1" x14ac:dyDescent="0.25">
      <c r="A66" s="75" t="s">
        <v>58</v>
      </c>
      <c r="B66" s="69">
        <f>BOR!B66+LUMCON!B66+LOSFA!B66</f>
        <v>13485899.52</v>
      </c>
      <c r="C66" s="69">
        <f>BOR!C66+LUMCON!C66+LOSFA!C66</f>
        <v>15076967</v>
      </c>
      <c r="D66" s="69">
        <f>BOR!D66+LUMCON!D66+LOSFA!D66</f>
        <v>15202952</v>
      </c>
      <c r="E66" s="69">
        <f t="shared" si="5"/>
        <v>125985</v>
      </c>
      <c r="F66" s="70">
        <f t="shared" si="4"/>
        <v>8.3561236155786506E-3</v>
      </c>
      <c r="G66" s="69">
        <f>BOR!G66+LUMCON!G66+LOSFA!G66</f>
        <v>15202952</v>
      </c>
      <c r="H66" s="227"/>
    </row>
    <row r="67" spans="1:9" ht="15" customHeight="1" x14ac:dyDescent="0.25">
      <c r="A67" s="75" t="s">
        <v>59</v>
      </c>
      <c r="B67" s="69">
        <f>BOR!B67+LUMCON!B67+LOSFA!B67</f>
        <v>991117</v>
      </c>
      <c r="C67" s="69">
        <f>BOR!C67+LUMCON!C67+LOSFA!C67</f>
        <v>1090606</v>
      </c>
      <c r="D67" s="69">
        <f>BOR!D67+LUMCON!D67+LOSFA!D67</f>
        <v>1096487.77</v>
      </c>
      <c r="E67" s="69">
        <f t="shared" si="5"/>
        <v>5881.7700000000186</v>
      </c>
      <c r="F67" s="70">
        <f t="shared" si="4"/>
        <v>5.3931208887536093E-3</v>
      </c>
      <c r="G67" s="69">
        <f>BOR!G67+LUMCON!G67+LOSFA!G67</f>
        <v>1096487.77</v>
      </c>
      <c r="H67" s="227"/>
    </row>
    <row r="68" spans="1:9" ht="15" customHeight="1" x14ac:dyDescent="0.25">
      <c r="A68" s="75" t="s">
        <v>60</v>
      </c>
      <c r="B68" s="69">
        <f>BOR!B68+LUMCON!B68+LOSFA!B68</f>
        <v>338852616</v>
      </c>
      <c r="C68" s="69">
        <f>BOR!C68+LUMCON!C68+LOSFA!C68</f>
        <v>342329160</v>
      </c>
      <c r="D68" s="69">
        <f>BOR!D68+LUMCON!D68+LOSFA!D68</f>
        <v>353139947</v>
      </c>
      <c r="E68" s="69">
        <f t="shared" si="5"/>
        <v>10810787</v>
      </c>
      <c r="F68" s="70">
        <f t="shared" si="4"/>
        <v>3.1580093848855878E-2</v>
      </c>
      <c r="G68" s="69">
        <f>BOR!G68+LUMCON!G68+LOSFA!G68</f>
        <v>353139947</v>
      </c>
      <c r="H68" s="227"/>
    </row>
    <row r="69" spans="1:9" ht="15" customHeight="1" x14ac:dyDescent="0.25">
      <c r="A69" s="75" t="s">
        <v>61</v>
      </c>
      <c r="B69" s="69">
        <f>BOR!B69+LUMCON!B69+LOSFA!B69</f>
        <v>734571</v>
      </c>
      <c r="C69" s="69">
        <f>BOR!C69+LUMCON!C69+LOSFA!C69</f>
        <v>674508</v>
      </c>
      <c r="D69" s="69">
        <f>BOR!D69+LUMCON!D69+LOSFA!D69</f>
        <v>1114140</v>
      </c>
      <c r="E69" s="69">
        <f t="shared" si="5"/>
        <v>439632</v>
      </c>
      <c r="F69" s="70">
        <f t="shared" si="4"/>
        <v>0.65178174313722004</v>
      </c>
      <c r="G69" s="69">
        <f>BOR!G69+LUMCON!G69+LOSFA!G69</f>
        <v>1114140</v>
      </c>
      <c r="H69" s="227"/>
    </row>
    <row r="70" spans="1:9" s="124" customFormat="1" ht="15" customHeight="1" x14ac:dyDescent="0.25">
      <c r="A70" s="94" t="s">
        <v>62</v>
      </c>
      <c r="B70" s="87">
        <f>SUM(B62:B69)</f>
        <v>410107190</v>
      </c>
      <c r="C70" s="87">
        <f>SUM(C62:C69)</f>
        <v>430930676</v>
      </c>
      <c r="D70" s="87">
        <f>SUM(D62:D69)</f>
        <v>447235849.76999998</v>
      </c>
      <c r="E70" s="87">
        <f t="shared" si="5"/>
        <v>16305173.769999981</v>
      </c>
      <c r="F70" s="81">
        <f t="shared" si="4"/>
        <v>3.7837115522497591E-2</v>
      </c>
      <c r="G70" s="87">
        <f>SUM(G62:G69)</f>
        <v>447235849.76999998</v>
      </c>
      <c r="H70" s="228"/>
    </row>
    <row r="71" spans="1:9" ht="15" customHeight="1" x14ac:dyDescent="0.25">
      <c r="A71" s="75" t="s">
        <v>63</v>
      </c>
      <c r="B71" s="69">
        <f>BOR!B71+LUMCON!B71+LOSFA!B71</f>
        <v>0</v>
      </c>
      <c r="C71" s="69">
        <f>BOR!C71+LUMCON!C71+LOSFA!C71</f>
        <v>0</v>
      </c>
      <c r="D71" s="69">
        <f>BOR!D71+LUMCON!D71+LOSFA!D71</f>
        <v>0</v>
      </c>
      <c r="E71" s="69">
        <f t="shared" si="5"/>
        <v>0</v>
      </c>
      <c r="F71" s="70">
        <f t="shared" si="4"/>
        <v>0</v>
      </c>
      <c r="G71" s="69">
        <f>BOR!G71+LUMCON!G71+LOSFA!G71</f>
        <v>0</v>
      </c>
      <c r="H71" s="227"/>
    </row>
    <row r="72" spans="1:9" ht="15" customHeight="1" x14ac:dyDescent="0.25">
      <c r="A72" s="75" t="s">
        <v>64</v>
      </c>
      <c r="B72" s="69">
        <f>BOR!B72+LUMCON!B72+LOSFA!B72</f>
        <v>0</v>
      </c>
      <c r="C72" s="69">
        <f>BOR!C72+LUMCON!C72+LOSFA!C72</f>
        <v>0</v>
      </c>
      <c r="D72" s="69">
        <f>BOR!D72+LUMCON!D72+LOSFA!D72</f>
        <v>0</v>
      </c>
      <c r="E72" s="69">
        <f t="shared" si="5"/>
        <v>0</v>
      </c>
      <c r="F72" s="70">
        <f t="shared" si="4"/>
        <v>0</v>
      </c>
      <c r="G72" s="69">
        <f>BOR!G72+LUMCON!G72+LOSFA!G72</f>
        <v>0</v>
      </c>
      <c r="H72" s="227"/>
    </row>
    <row r="73" spans="1:9" ht="15" customHeight="1" x14ac:dyDescent="0.25">
      <c r="A73" s="75" t="s">
        <v>65</v>
      </c>
      <c r="B73" s="69">
        <f>BOR!B73+LUMCON!B73+LOSFA!B73</f>
        <v>0</v>
      </c>
      <c r="C73" s="69">
        <f>BOR!C73+LUMCON!C73+LOSFA!C73</f>
        <v>0</v>
      </c>
      <c r="D73" s="69">
        <f>BOR!D73+LUMCON!D73+LOSFA!D73</f>
        <v>0</v>
      </c>
      <c r="E73" s="69">
        <f t="shared" si="5"/>
        <v>0</v>
      </c>
      <c r="F73" s="70">
        <f t="shared" si="4"/>
        <v>0</v>
      </c>
      <c r="G73" s="69">
        <f>BOR!G73+LUMCON!G73+LOSFA!G73</f>
        <v>0</v>
      </c>
      <c r="H73" s="227"/>
    </row>
    <row r="74" spans="1:9" ht="15" customHeight="1" x14ac:dyDescent="0.25">
      <c r="A74" s="75" t="s">
        <v>66</v>
      </c>
      <c r="B74" s="69">
        <f>BOR!B74+LUMCON!B74+LOSFA!B74</f>
        <v>21903962</v>
      </c>
      <c r="C74" s="69">
        <f>BOR!C74+LUMCON!C74+LOSFA!C74</f>
        <v>36990741</v>
      </c>
      <c r="D74" s="69">
        <f>BOR!D74+LUMCON!D74+LOSFA!D74</f>
        <v>36690741</v>
      </c>
      <c r="E74" s="69">
        <f t="shared" si="5"/>
        <v>-300000</v>
      </c>
      <c r="F74" s="70">
        <f t="shared" si="4"/>
        <v>-8.1101376152480972E-3</v>
      </c>
      <c r="G74" s="69">
        <f>BOR!G74+LUMCON!G74+LOSFA!G74</f>
        <v>36690741</v>
      </c>
      <c r="H74" s="227"/>
    </row>
    <row r="75" spans="1:9" s="124" customFormat="1" ht="15" customHeight="1" x14ac:dyDescent="0.25">
      <c r="A75" s="95" t="s">
        <v>67</v>
      </c>
      <c r="B75" s="87">
        <f>SUM(B70:B74)-2</f>
        <v>432011150</v>
      </c>
      <c r="C75" s="87">
        <f>SUM(C70:C74)</f>
        <v>467921417</v>
      </c>
      <c r="D75" s="87">
        <f>SUM(D70:D74)</f>
        <v>483926590.76999998</v>
      </c>
      <c r="E75" s="87">
        <f t="shared" si="5"/>
        <v>16005173.769999981</v>
      </c>
      <c r="F75" s="81">
        <f t="shared" si="4"/>
        <v>3.4204832667447622E-2</v>
      </c>
      <c r="G75" s="87">
        <f>SUM(G70:G74)</f>
        <v>483926590.76999998</v>
      </c>
      <c r="H75" s="228"/>
      <c r="I75" s="189"/>
    </row>
    <row r="76" spans="1:9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9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9" ht="15" customHeight="1" x14ac:dyDescent="0.25">
      <c r="A78" s="73" t="s">
        <v>69</v>
      </c>
      <c r="B78" s="69">
        <f>BOR!B78+LUMCON!B78+LOSFA!B78</f>
        <v>14785535.93</v>
      </c>
      <c r="C78" s="69">
        <f>BOR!C78+LUMCON!C78+LOSFA!C78</f>
        <v>16234492</v>
      </c>
      <c r="D78" s="69">
        <f>BOR!D78+LUMCON!D78+LOSFA!D78</f>
        <v>16668447</v>
      </c>
      <c r="E78" s="69">
        <f>D78-C78</f>
        <v>433955</v>
      </c>
      <c r="F78" s="70">
        <f t="shared" ref="F78:F96" si="6">IF(ISBLANK(E78),"  ",IF(C78&gt;0,E78/C78,IF(E78&gt;0,1,0)))</f>
        <v>2.6730432957187696E-2</v>
      </c>
      <c r="G78" s="69">
        <f>BOR!G78+LUMCON!G78+LOSFA!G78</f>
        <v>16668447</v>
      </c>
      <c r="H78" s="227"/>
    </row>
    <row r="79" spans="1:9" ht="15" customHeight="1" x14ac:dyDescent="0.25">
      <c r="A79" s="75" t="s">
        <v>70</v>
      </c>
      <c r="B79" s="69">
        <f>BOR!B79+LUMCON!B79+LOSFA!B79</f>
        <v>288653.81</v>
      </c>
      <c r="C79" s="69">
        <f>BOR!C79+LUMCON!C79+LOSFA!C79</f>
        <v>365577</v>
      </c>
      <c r="D79" s="69">
        <f>BOR!D79+LUMCON!D79+LOSFA!D79</f>
        <v>282017</v>
      </c>
      <c r="E79" s="69">
        <f>D79-C79</f>
        <v>-83560</v>
      </c>
      <c r="F79" s="70">
        <f t="shared" si="6"/>
        <v>-0.22857017810201408</v>
      </c>
      <c r="G79" s="69">
        <f>BOR!G79+LUMCON!G79+LOSFA!G79</f>
        <v>282017</v>
      </c>
      <c r="H79" s="227"/>
    </row>
    <row r="80" spans="1:9" ht="15" customHeight="1" x14ac:dyDescent="0.25">
      <c r="A80" s="75" t="s">
        <v>71</v>
      </c>
      <c r="B80" s="69">
        <f>BOR!B80+LUMCON!B80+LOSFA!B80</f>
        <v>6693636.3300000001</v>
      </c>
      <c r="C80" s="69">
        <f>BOR!C80+LUMCON!C80+LOSFA!C80</f>
        <v>7401534</v>
      </c>
      <c r="D80" s="69">
        <f>BOR!D80+LUMCON!D80+LOSFA!D80</f>
        <v>7782527.6799999997</v>
      </c>
      <c r="E80" s="69">
        <f t="shared" ref="E80:E95" si="7">D80-C80</f>
        <v>380993.6799999997</v>
      </c>
      <c r="F80" s="70">
        <f t="shared" si="6"/>
        <v>5.1474961811970289E-2</v>
      </c>
      <c r="G80" s="69">
        <f>BOR!G80+LUMCON!G80+LOSFA!G80</f>
        <v>7782527.6799999997</v>
      </c>
      <c r="H80" s="227"/>
    </row>
    <row r="81" spans="1:8" s="124" customFormat="1" ht="15" customHeight="1" x14ac:dyDescent="0.25">
      <c r="A81" s="94" t="s">
        <v>72</v>
      </c>
      <c r="B81" s="87">
        <f>SUM(B78:B80)</f>
        <v>21767826.07</v>
      </c>
      <c r="C81" s="87">
        <f>SUM(C78:C80)</f>
        <v>24001603</v>
      </c>
      <c r="D81" s="87">
        <f>SUM(D78:D80)</f>
        <v>24732991.68</v>
      </c>
      <c r="E81" s="87">
        <f t="shared" si="7"/>
        <v>731388.6799999997</v>
      </c>
      <c r="F81" s="81">
        <f t="shared" si="6"/>
        <v>3.0472493024736709E-2</v>
      </c>
      <c r="G81" s="87">
        <f>SUM(G78:G80)</f>
        <v>24732991.68</v>
      </c>
      <c r="H81" s="228"/>
    </row>
    <row r="82" spans="1:8" ht="15" customHeight="1" x14ac:dyDescent="0.25">
      <c r="A82" s="75" t="s">
        <v>73</v>
      </c>
      <c r="B82" s="69">
        <f>BOR!B82+LUMCON!B82+LOSFA!B82</f>
        <v>336614.04</v>
      </c>
      <c r="C82" s="69">
        <f>BOR!C82+LUMCON!C82+LOSFA!C82</f>
        <v>472459</v>
      </c>
      <c r="D82" s="69">
        <f>BOR!D82+LUMCON!D82+LOSFA!D82</f>
        <v>394009</v>
      </c>
      <c r="E82" s="69">
        <f t="shared" si="7"/>
        <v>-78450</v>
      </c>
      <c r="F82" s="70">
        <f t="shared" si="6"/>
        <v>-0.166046154269471</v>
      </c>
      <c r="G82" s="69">
        <f>BOR!G82+LUMCON!G82+LOSFA!G82</f>
        <v>394009</v>
      </c>
      <c r="H82" s="227"/>
    </row>
    <row r="83" spans="1:8" ht="15" customHeight="1" x14ac:dyDescent="0.25">
      <c r="A83" s="75" t="s">
        <v>74</v>
      </c>
      <c r="B83" s="69">
        <f>BOR!B83+LUMCON!B83+LOSFA!B83</f>
        <v>6942677.5800000001</v>
      </c>
      <c r="C83" s="69">
        <f>BOR!C83+LUMCON!C83+LOSFA!C83</f>
        <v>7933588</v>
      </c>
      <c r="D83" s="69">
        <f>BOR!D83+LUMCON!D83+LOSFA!D83</f>
        <v>9048113.9900000002</v>
      </c>
      <c r="E83" s="69">
        <f t="shared" si="7"/>
        <v>1114525.9900000002</v>
      </c>
      <c r="F83" s="70">
        <f t="shared" si="6"/>
        <v>0.14048195973877145</v>
      </c>
      <c r="G83" s="69">
        <f>BOR!G83+LUMCON!G83+LOSFA!G83</f>
        <v>9048113.9900000002</v>
      </c>
      <c r="H83" s="227"/>
    </row>
    <row r="84" spans="1:8" ht="15" customHeight="1" x14ac:dyDescent="0.25">
      <c r="A84" s="75" t="s">
        <v>75</v>
      </c>
      <c r="B84" s="69">
        <f>BOR!B84+LUMCON!B84+LOSFA!B84</f>
        <v>189418.15</v>
      </c>
      <c r="C84" s="69">
        <f>BOR!C84+LUMCON!C84+LOSFA!C84</f>
        <v>231495</v>
      </c>
      <c r="D84" s="69">
        <f>BOR!D84+LUMCON!D84+LOSFA!D84</f>
        <v>273582.02</v>
      </c>
      <c r="E84" s="69">
        <f t="shared" si="7"/>
        <v>42087.020000000019</v>
      </c>
      <c r="F84" s="70">
        <f t="shared" si="6"/>
        <v>0.18180530896995623</v>
      </c>
      <c r="G84" s="69">
        <f>BOR!G84+LUMCON!G84+LOSFA!G84</f>
        <v>273582.02</v>
      </c>
      <c r="H84" s="227"/>
    </row>
    <row r="85" spans="1:8" s="124" customFormat="1" ht="15" customHeight="1" x14ac:dyDescent="0.25">
      <c r="A85" s="78" t="s">
        <v>76</v>
      </c>
      <c r="B85" s="87">
        <f>SUM(B82:B84)</f>
        <v>7468709.7700000005</v>
      </c>
      <c r="C85" s="87">
        <f>SUM(C82:C84)</f>
        <v>8637542</v>
      </c>
      <c r="D85" s="87">
        <f>SUM(D82:D84)</f>
        <v>9715705.0099999998</v>
      </c>
      <c r="E85" s="87">
        <f t="shared" si="7"/>
        <v>1078163.0099999998</v>
      </c>
      <c r="F85" s="81">
        <f t="shared" si="6"/>
        <v>0.12482289637491775</v>
      </c>
      <c r="G85" s="87">
        <f>SUM(G82:G84)</f>
        <v>9715705.0099999998</v>
      </c>
      <c r="H85" s="228"/>
    </row>
    <row r="86" spans="1:8" ht="15" customHeight="1" x14ac:dyDescent="0.25">
      <c r="A86" s="75" t="s">
        <v>77</v>
      </c>
      <c r="B86" s="69">
        <f>BOR!B86+LUMCON!B86+LOSFA!B86</f>
        <v>3487785.52</v>
      </c>
      <c r="C86" s="69">
        <f>BOR!C86+LUMCON!C86+LOSFA!C86</f>
        <v>5620341</v>
      </c>
      <c r="D86" s="69">
        <f>BOR!D86+LUMCON!D86+LOSFA!D86</f>
        <v>5143570</v>
      </c>
      <c r="E86" s="69">
        <f t="shared" si="7"/>
        <v>-476771</v>
      </c>
      <c r="F86" s="70">
        <f t="shared" si="6"/>
        <v>-8.4829550377815158E-2</v>
      </c>
      <c r="G86" s="69">
        <f>BOR!G86+LUMCON!G86+LOSFA!G86</f>
        <v>5143570</v>
      </c>
      <c r="H86" s="227"/>
    </row>
    <row r="87" spans="1:8" ht="15" customHeight="1" x14ac:dyDescent="0.25">
      <c r="A87" s="75" t="s">
        <v>78</v>
      </c>
      <c r="B87" s="69">
        <f>BOR!B87+LUMCON!B87+LOSFA!B87</f>
        <v>396591475.76999998</v>
      </c>
      <c r="C87" s="69">
        <f>BOR!C87+LUMCON!C87+LOSFA!C87</f>
        <v>425935372</v>
      </c>
      <c r="D87" s="69">
        <f>BOR!D87+LUMCON!D87+LOSFA!D87</f>
        <v>440745450</v>
      </c>
      <c r="E87" s="69">
        <f t="shared" si="7"/>
        <v>14810078</v>
      </c>
      <c r="F87" s="70">
        <f t="shared" si="6"/>
        <v>3.4770716342384447E-2</v>
      </c>
      <c r="G87" s="69">
        <f>BOR!G87+LUMCON!G87+LOSFA!G87</f>
        <v>440745450</v>
      </c>
      <c r="H87" s="227"/>
    </row>
    <row r="88" spans="1:8" ht="15" customHeight="1" x14ac:dyDescent="0.25">
      <c r="A88" s="75" t="s">
        <v>79</v>
      </c>
      <c r="B88" s="69">
        <f>BOR!B88+LUMCON!B88+LOSFA!B88</f>
        <v>0</v>
      </c>
      <c r="C88" s="69">
        <f>BOR!C88+LUMCON!C88+LOSFA!C88</f>
        <v>0</v>
      </c>
      <c r="D88" s="69">
        <f>BOR!D88+LUMCON!D88+LOSFA!D88</f>
        <v>0</v>
      </c>
      <c r="E88" s="69">
        <f t="shared" si="7"/>
        <v>0</v>
      </c>
      <c r="F88" s="70">
        <f t="shared" si="6"/>
        <v>0</v>
      </c>
      <c r="G88" s="69">
        <f>BOR!G88+LUMCON!G88+LOSFA!G88</f>
        <v>0</v>
      </c>
      <c r="H88" s="227"/>
    </row>
    <row r="89" spans="1:8" ht="15" customHeight="1" x14ac:dyDescent="0.25">
      <c r="A89" s="75" t="s">
        <v>80</v>
      </c>
      <c r="B89" s="69">
        <f>BOR!B89+LUMCON!B89+LOSFA!B89</f>
        <v>2586556.56</v>
      </c>
      <c r="C89" s="69">
        <f>BOR!C89+LUMCON!C89+LOSFA!C89</f>
        <v>3523219</v>
      </c>
      <c r="D89" s="69">
        <f>BOR!D89+LUMCON!D89+LOSFA!D89</f>
        <v>3449100.08</v>
      </c>
      <c r="E89" s="69">
        <f t="shared" si="7"/>
        <v>-74118.919999999925</v>
      </c>
      <c r="F89" s="70">
        <f t="shared" si="6"/>
        <v>-2.1037273016522653E-2</v>
      </c>
      <c r="G89" s="69">
        <f>BOR!G89+LUMCON!G89+LOSFA!G89</f>
        <v>3449100.08</v>
      </c>
      <c r="H89" s="227"/>
    </row>
    <row r="90" spans="1:8" s="124" customFormat="1" ht="15" customHeight="1" x14ac:dyDescent="0.25">
      <c r="A90" s="78" t="s">
        <v>81</v>
      </c>
      <c r="B90" s="87">
        <f>SUM(B86:B89)</f>
        <v>402665817.84999996</v>
      </c>
      <c r="C90" s="87">
        <f>SUM(C86:C89)</f>
        <v>435078932</v>
      </c>
      <c r="D90" s="87">
        <f>SUM(D86:D89)</f>
        <v>449338120.07999998</v>
      </c>
      <c r="E90" s="87">
        <f t="shared" si="7"/>
        <v>14259188.079999983</v>
      </c>
      <c r="F90" s="81">
        <f t="shared" si="6"/>
        <v>3.277379581321576E-2</v>
      </c>
      <c r="G90" s="87">
        <f>SUM(G86:G89)</f>
        <v>449338120.07999998</v>
      </c>
      <c r="H90" s="228"/>
    </row>
    <row r="91" spans="1:8" ht="15" customHeight="1" x14ac:dyDescent="0.25">
      <c r="A91" s="75" t="s">
        <v>82</v>
      </c>
      <c r="B91" s="69">
        <f>BOR!B91+LUMCON!B91+LOSFA!B91</f>
        <v>108798.31</v>
      </c>
      <c r="C91" s="69">
        <f>BOR!C91+LUMCON!C91+LOSFA!C91</f>
        <v>203340</v>
      </c>
      <c r="D91" s="69">
        <f>BOR!D91+LUMCON!D91+LOSFA!D91</f>
        <v>139774</v>
      </c>
      <c r="E91" s="69">
        <f t="shared" si="7"/>
        <v>-63566</v>
      </c>
      <c r="F91" s="70">
        <f t="shared" si="6"/>
        <v>-0.31260942264188057</v>
      </c>
      <c r="G91" s="69">
        <f>BOR!G91+LUMCON!G91+LOSFA!G91</f>
        <v>139774</v>
      </c>
      <c r="H91" s="227"/>
    </row>
    <row r="92" spans="1:8" ht="15" customHeight="1" x14ac:dyDescent="0.25">
      <c r="A92" s="75" t="s">
        <v>83</v>
      </c>
      <c r="B92" s="69">
        <f>BOR!B92+LUMCON!B92+LOSFA!B92</f>
        <v>0</v>
      </c>
      <c r="C92" s="69">
        <f>BOR!C92+LUMCON!C92+LOSFA!C92</f>
        <v>0</v>
      </c>
      <c r="D92" s="69">
        <f>BOR!D92+LUMCON!D92+LOSFA!D92</f>
        <v>0</v>
      </c>
      <c r="E92" s="69">
        <f t="shared" si="7"/>
        <v>0</v>
      </c>
      <c r="F92" s="70">
        <f t="shared" si="6"/>
        <v>0</v>
      </c>
      <c r="G92" s="69">
        <f>BOR!G92+LUMCON!G92+LOSFA!G92</f>
        <v>0</v>
      </c>
      <c r="H92" s="227"/>
    </row>
    <row r="93" spans="1:8" ht="15" customHeight="1" x14ac:dyDescent="0.25">
      <c r="A93" s="83" t="s">
        <v>84</v>
      </c>
      <c r="B93" s="69">
        <f>BOR!B93+LUMCON!B93+LOSFA!B93</f>
        <v>0</v>
      </c>
      <c r="C93" s="69">
        <f>BOR!C93+LUMCON!C93+LOSFA!C93</f>
        <v>0</v>
      </c>
      <c r="D93" s="69">
        <f>BOR!D93+LUMCON!D93+LOSFA!D93</f>
        <v>0</v>
      </c>
      <c r="E93" s="69">
        <f t="shared" si="7"/>
        <v>0</v>
      </c>
      <c r="F93" s="70">
        <f t="shared" si="6"/>
        <v>0</v>
      </c>
      <c r="G93" s="69">
        <f>BOR!G93+LUMCON!G93+LOSFA!G93</f>
        <v>0</v>
      </c>
      <c r="H93" s="227"/>
    </row>
    <row r="94" spans="1:8" s="124" customFormat="1" ht="15" customHeight="1" x14ac:dyDescent="0.25">
      <c r="A94" s="97" t="s">
        <v>85</v>
      </c>
      <c r="B94" s="87">
        <f>SUM(B91:B93)</f>
        <v>108798.31</v>
      </c>
      <c r="C94" s="87">
        <f>SUM(C91:C93)</f>
        <v>203340</v>
      </c>
      <c r="D94" s="87">
        <f>SUM(D91:D93)</f>
        <v>139774</v>
      </c>
      <c r="E94" s="87">
        <f t="shared" si="7"/>
        <v>-63566</v>
      </c>
      <c r="F94" s="81">
        <f t="shared" si="6"/>
        <v>-0.31260942264188057</v>
      </c>
      <c r="G94" s="87">
        <f>SUM(G91:G93)</f>
        <v>139774</v>
      </c>
      <c r="H94" s="228"/>
    </row>
    <row r="95" spans="1:8" ht="15" customHeight="1" x14ac:dyDescent="0.25">
      <c r="A95" s="83" t="s">
        <v>86</v>
      </c>
      <c r="B95" s="69">
        <f>BOR!B95+LUMCON!B95+LOSFA!B95</f>
        <v>0</v>
      </c>
      <c r="C95" s="69">
        <f>BOR!C95+LUMCON!C95+LOSFA!C95</f>
        <v>0</v>
      </c>
      <c r="D95" s="69">
        <f>BOR!D95+LUMCON!D95+LOSFA!D95</f>
        <v>0</v>
      </c>
      <c r="E95" s="69">
        <f t="shared" si="7"/>
        <v>0</v>
      </c>
      <c r="F95" s="70">
        <f t="shared" si="6"/>
        <v>0</v>
      </c>
      <c r="G95" s="69">
        <f>BOR!G95+LUMCON!G95+LOSFA!G95</f>
        <v>0</v>
      </c>
      <c r="H95" s="227"/>
    </row>
    <row r="96" spans="1:8" s="124" customFormat="1" ht="15" customHeight="1" thickBot="1" x14ac:dyDescent="0.3">
      <c r="A96" s="195" t="s">
        <v>67</v>
      </c>
      <c r="B96" s="196">
        <f>B95+B94+B90+B85+B81-2</f>
        <v>432011149.99999994</v>
      </c>
      <c r="C96" s="196">
        <f>C95+C94+C90+C85+C81</f>
        <v>467921417</v>
      </c>
      <c r="D96" s="196">
        <f>D95+D94+D90+D85+D81</f>
        <v>483926590.76999998</v>
      </c>
      <c r="E96" s="197">
        <f>D96-C96</f>
        <v>16005173.769999981</v>
      </c>
      <c r="F96" s="198">
        <f t="shared" si="6"/>
        <v>3.4204832667447622E-2</v>
      </c>
      <c r="G96" s="196">
        <f>G95+G94+G90+G85+G81</f>
        <v>483926590.76999998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99"/>
  <sheetViews>
    <sheetView workbookViewId="0">
      <pane xSplit="1" ySplit="5" topLeftCell="B51" activePane="bottomRight" state="frozen"/>
      <selection pane="topRight" activeCell="B1" sqref="B1"/>
      <selection pane="bottomLeft" activeCell="A6" sqref="A6"/>
      <selection pane="bottomRight" activeCell="E75" sqref="E75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27.140625" style="139" bestFit="1" customWidth="1"/>
    <col min="8" max="8" width="7.7109375" style="139" customWidth="1"/>
    <col min="9" max="9" width="11.5703125" style="139" customWidth="1"/>
    <col min="10" max="10" width="9.140625" style="139"/>
    <col min="11" max="11" width="12.7109375" style="139" bestFit="1" customWidth="1"/>
    <col min="12" max="16384" width="9.140625" style="139"/>
  </cols>
  <sheetData>
    <row r="1" spans="1:9" ht="19.5" customHeight="1" thickBot="1" x14ac:dyDescent="0.35">
      <c r="A1" s="30" t="s">
        <v>0</v>
      </c>
      <c r="B1" s="31"/>
      <c r="D1" s="32" t="s">
        <v>1</v>
      </c>
      <c r="E1" s="29" t="s">
        <v>0</v>
      </c>
      <c r="F1" s="40"/>
      <c r="I1" s="142"/>
    </row>
    <row r="2" spans="1:9" ht="19.5" customHeight="1" thickBot="1" x14ac:dyDescent="0.3">
      <c r="A2" s="30" t="s">
        <v>2</v>
      </c>
      <c r="B2" s="31"/>
      <c r="C2" s="31"/>
      <c r="D2" s="31"/>
      <c r="E2" s="31"/>
      <c r="F2" s="36"/>
      <c r="G2" s="306" t="s">
        <v>212</v>
      </c>
      <c r="H2" s="142"/>
      <c r="I2" s="209" t="s">
        <v>187</v>
      </c>
    </row>
    <row r="3" spans="1:9" ht="19.5" customHeight="1" thickBot="1" x14ac:dyDescent="0.3">
      <c r="A3" s="37" t="s">
        <v>3</v>
      </c>
      <c r="B3" s="38"/>
      <c r="C3" s="38"/>
      <c r="D3" s="38"/>
      <c r="E3" s="38"/>
      <c r="F3" s="39"/>
      <c r="G3" s="307"/>
      <c r="H3" s="142"/>
      <c r="I3" s="142"/>
    </row>
    <row r="4" spans="1:9" ht="15" customHeight="1" thickTop="1" x14ac:dyDescent="0.25">
      <c r="A4" s="57" t="s">
        <v>4</v>
      </c>
      <c r="B4" s="58" t="s">
        <v>5</v>
      </c>
      <c r="C4" s="59" t="s">
        <v>6</v>
      </c>
      <c r="D4" s="59" t="s">
        <v>6</v>
      </c>
      <c r="E4" s="59" t="s">
        <v>7</v>
      </c>
      <c r="F4" s="60" t="s">
        <v>8</v>
      </c>
      <c r="G4" s="59" t="s">
        <v>210</v>
      </c>
      <c r="H4" s="226"/>
    </row>
    <row r="5" spans="1:9" s="140" customFormat="1" ht="15" customHeight="1" x14ac:dyDescent="0.25">
      <c r="A5" s="61"/>
      <c r="B5" s="62" t="s">
        <v>192</v>
      </c>
      <c r="C5" s="62" t="s">
        <v>198</v>
      </c>
      <c r="D5" s="62" t="s">
        <v>199</v>
      </c>
      <c r="E5" s="62" t="s">
        <v>192</v>
      </c>
      <c r="F5" s="63" t="s">
        <v>9</v>
      </c>
      <c r="G5" s="62" t="s">
        <v>211</v>
      </c>
      <c r="H5" s="226"/>
    </row>
    <row r="6" spans="1:9" ht="15" customHeight="1" x14ac:dyDescent="0.25">
      <c r="A6" s="64" t="s">
        <v>10</v>
      </c>
      <c r="B6" s="65"/>
      <c r="C6" s="65"/>
      <c r="D6" s="65"/>
      <c r="E6" s="65"/>
      <c r="F6" s="66"/>
      <c r="G6" s="65"/>
      <c r="H6" s="227"/>
    </row>
    <row r="7" spans="1:9" ht="15" customHeight="1" x14ac:dyDescent="0.25">
      <c r="A7" s="64" t="s">
        <v>11</v>
      </c>
      <c r="B7" s="65"/>
      <c r="C7" s="65"/>
      <c r="D7" s="65"/>
      <c r="E7" s="65"/>
      <c r="F7" s="67"/>
      <c r="G7" s="65"/>
      <c r="H7" s="227"/>
    </row>
    <row r="8" spans="1:9" ht="15" customHeight="1" x14ac:dyDescent="0.25">
      <c r="A8" s="68" t="s">
        <v>12</v>
      </c>
      <c r="B8" s="69">
        <v>15572006</v>
      </c>
      <c r="C8" s="69">
        <v>15572006</v>
      </c>
      <c r="D8" s="69">
        <v>12928688</v>
      </c>
      <c r="E8" s="69">
        <f>D8-C8</f>
        <v>-2643318</v>
      </c>
      <c r="F8" s="70">
        <f t="shared" ref="F8:F31" si="0">IF(ISBLANK(E8),"  ",IF(C8&gt;0,E8/C8,IF(E8&gt;0,1,0)))</f>
        <v>-0.16974807227790689</v>
      </c>
      <c r="G8" s="69">
        <v>12928688</v>
      </c>
      <c r="H8" s="227"/>
    </row>
    <row r="9" spans="1:9" ht="15" customHeight="1" x14ac:dyDescent="0.25">
      <c r="A9" s="68" t="s">
        <v>13</v>
      </c>
      <c r="B9" s="69">
        <v>0</v>
      </c>
      <c r="C9" s="69">
        <v>0</v>
      </c>
      <c r="D9" s="69">
        <v>0</v>
      </c>
      <c r="E9" s="69">
        <f>D9-C9</f>
        <v>0</v>
      </c>
      <c r="F9" s="70">
        <f t="shared" si="0"/>
        <v>0</v>
      </c>
      <c r="G9" s="69">
        <v>0</v>
      </c>
      <c r="H9" s="227"/>
    </row>
    <row r="10" spans="1:9" ht="15" customHeight="1" x14ac:dyDescent="0.25">
      <c r="A10" s="71" t="s">
        <v>14</v>
      </c>
      <c r="B10" s="72">
        <v>19422309</v>
      </c>
      <c r="C10" s="72">
        <v>22772000</v>
      </c>
      <c r="D10" s="72">
        <f>SUM(D11:D31)</f>
        <v>24450000</v>
      </c>
      <c r="E10" s="69">
        <f t="shared" ref="E10:E31" si="1">D10-C10</f>
        <v>1678000</v>
      </c>
      <c r="F10" s="70">
        <f t="shared" si="0"/>
        <v>7.3686984015457577E-2</v>
      </c>
      <c r="G10" s="72">
        <f>SUM(G11:G31)</f>
        <v>24450000</v>
      </c>
      <c r="H10" s="227"/>
    </row>
    <row r="11" spans="1:9" ht="15" customHeight="1" x14ac:dyDescent="0.25">
      <c r="A11" s="73" t="s">
        <v>15</v>
      </c>
      <c r="B11" s="74">
        <v>20000</v>
      </c>
      <c r="C11" s="74">
        <v>142000</v>
      </c>
      <c r="D11" s="74">
        <v>20000</v>
      </c>
      <c r="E11" s="69">
        <f t="shared" si="1"/>
        <v>-122000</v>
      </c>
      <c r="F11" s="70">
        <f t="shared" si="0"/>
        <v>-0.85915492957746475</v>
      </c>
      <c r="G11" s="74">
        <v>20000</v>
      </c>
      <c r="H11" s="227"/>
    </row>
    <row r="12" spans="1:9" ht="15" customHeight="1" x14ac:dyDescent="0.25">
      <c r="A12" s="75" t="s">
        <v>16</v>
      </c>
      <c r="B12" s="74">
        <v>0</v>
      </c>
      <c r="C12" s="74">
        <v>0</v>
      </c>
      <c r="D12" s="74">
        <v>0</v>
      </c>
      <c r="E12" s="69">
        <f t="shared" si="1"/>
        <v>0</v>
      </c>
      <c r="F12" s="70">
        <f t="shared" si="0"/>
        <v>0</v>
      </c>
      <c r="G12" s="74">
        <v>0</v>
      </c>
      <c r="H12" s="227"/>
    </row>
    <row r="13" spans="1:9" ht="15" customHeight="1" x14ac:dyDescent="0.25">
      <c r="A13" s="75" t="s">
        <v>17</v>
      </c>
      <c r="B13" s="74">
        <v>0</v>
      </c>
      <c r="C13" s="74">
        <v>0</v>
      </c>
      <c r="D13" s="74">
        <v>0</v>
      </c>
      <c r="E13" s="69">
        <f t="shared" si="1"/>
        <v>0</v>
      </c>
      <c r="F13" s="70">
        <f t="shared" si="0"/>
        <v>0</v>
      </c>
      <c r="G13" s="74">
        <v>0</v>
      </c>
      <c r="H13" s="227"/>
    </row>
    <row r="14" spans="1:9" ht="15" customHeight="1" x14ac:dyDescent="0.25">
      <c r="A14" s="75" t="s">
        <v>18</v>
      </c>
      <c r="B14" s="74">
        <v>0</v>
      </c>
      <c r="C14" s="74">
        <v>0</v>
      </c>
      <c r="D14" s="74">
        <v>0</v>
      </c>
      <c r="E14" s="69">
        <f t="shared" si="1"/>
        <v>0</v>
      </c>
      <c r="F14" s="70">
        <f t="shared" si="0"/>
        <v>0</v>
      </c>
      <c r="G14" s="74">
        <v>0</v>
      </c>
      <c r="H14" s="227"/>
    </row>
    <row r="15" spans="1:9" ht="15" customHeight="1" x14ac:dyDescent="0.25">
      <c r="A15" s="75" t="s">
        <v>19</v>
      </c>
      <c r="B15" s="74">
        <v>0</v>
      </c>
      <c r="C15" s="74">
        <v>0</v>
      </c>
      <c r="D15" s="74">
        <v>0</v>
      </c>
      <c r="E15" s="69">
        <f t="shared" si="1"/>
        <v>0</v>
      </c>
      <c r="F15" s="70">
        <f t="shared" si="0"/>
        <v>0</v>
      </c>
      <c r="G15" s="74">
        <v>0</v>
      </c>
      <c r="H15" s="227"/>
    </row>
    <row r="16" spans="1:9" ht="15" customHeight="1" x14ac:dyDescent="0.25">
      <c r="A16" s="75" t="s">
        <v>20</v>
      </c>
      <c r="B16" s="74">
        <v>0</v>
      </c>
      <c r="C16" s="74">
        <v>0</v>
      </c>
      <c r="D16" s="74">
        <v>0</v>
      </c>
      <c r="E16" s="69">
        <f t="shared" si="1"/>
        <v>0</v>
      </c>
      <c r="F16" s="70">
        <f t="shared" si="0"/>
        <v>0</v>
      </c>
      <c r="G16" s="74">
        <v>0</v>
      </c>
      <c r="H16" s="227"/>
    </row>
    <row r="17" spans="1:8" ht="15" customHeight="1" x14ac:dyDescent="0.25">
      <c r="A17" s="75" t="s">
        <v>21</v>
      </c>
      <c r="B17" s="74">
        <v>0</v>
      </c>
      <c r="C17" s="74">
        <v>0</v>
      </c>
      <c r="D17" s="74">
        <v>0</v>
      </c>
      <c r="E17" s="69">
        <f t="shared" si="1"/>
        <v>0</v>
      </c>
      <c r="F17" s="70">
        <f t="shared" si="0"/>
        <v>0</v>
      </c>
      <c r="G17" s="74">
        <v>0</v>
      </c>
      <c r="H17" s="227"/>
    </row>
    <row r="18" spans="1:8" ht="15" customHeight="1" x14ac:dyDescent="0.25">
      <c r="A18" s="75" t="s">
        <v>22</v>
      </c>
      <c r="B18" s="74">
        <v>0</v>
      </c>
      <c r="C18" s="74">
        <v>0</v>
      </c>
      <c r="D18" s="74">
        <v>0</v>
      </c>
      <c r="E18" s="69">
        <f t="shared" si="1"/>
        <v>0</v>
      </c>
      <c r="F18" s="70">
        <f t="shared" si="0"/>
        <v>0</v>
      </c>
      <c r="G18" s="74">
        <v>0</v>
      </c>
      <c r="H18" s="227"/>
    </row>
    <row r="19" spans="1:8" ht="15" customHeight="1" x14ac:dyDescent="0.25">
      <c r="A19" s="75" t="s">
        <v>23</v>
      </c>
      <c r="B19" s="74">
        <v>0</v>
      </c>
      <c r="C19" s="74">
        <v>0</v>
      </c>
      <c r="D19" s="74">
        <v>0</v>
      </c>
      <c r="E19" s="69">
        <f t="shared" si="1"/>
        <v>0</v>
      </c>
      <c r="F19" s="70">
        <f t="shared" si="0"/>
        <v>0</v>
      </c>
      <c r="G19" s="74">
        <v>0</v>
      </c>
      <c r="H19" s="227"/>
    </row>
    <row r="20" spans="1:8" ht="15" customHeight="1" x14ac:dyDescent="0.25">
      <c r="A20" s="75" t="s">
        <v>24</v>
      </c>
      <c r="B20" s="74">
        <v>0</v>
      </c>
      <c r="C20" s="74">
        <v>0</v>
      </c>
      <c r="D20" s="74">
        <v>0</v>
      </c>
      <c r="E20" s="69">
        <f t="shared" si="1"/>
        <v>0</v>
      </c>
      <c r="F20" s="70">
        <f t="shared" si="0"/>
        <v>0</v>
      </c>
      <c r="G20" s="74">
        <v>0</v>
      </c>
      <c r="H20" s="227"/>
    </row>
    <row r="21" spans="1:8" ht="15" customHeight="1" x14ac:dyDescent="0.25">
      <c r="A21" s="75" t="s">
        <v>25</v>
      </c>
      <c r="B21" s="74">
        <v>0</v>
      </c>
      <c r="C21" s="74">
        <v>0</v>
      </c>
      <c r="D21" s="74">
        <v>0</v>
      </c>
      <c r="E21" s="69">
        <f t="shared" si="1"/>
        <v>0</v>
      </c>
      <c r="F21" s="70">
        <f t="shared" si="0"/>
        <v>0</v>
      </c>
      <c r="G21" s="74">
        <v>0</v>
      </c>
      <c r="H21" s="227"/>
    </row>
    <row r="22" spans="1:8" ht="15" customHeight="1" x14ac:dyDescent="0.25">
      <c r="A22" s="75" t="s">
        <v>26</v>
      </c>
      <c r="B22" s="74">
        <v>19190297</v>
      </c>
      <c r="C22" s="74">
        <v>22230000</v>
      </c>
      <c r="D22" s="74">
        <v>24230000</v>
      </c>
      <c r="E22" s="69">
        <f t="shared" si="1"/>
        <v>2000000</v>
      </c>
      <c r="F22" s="70">
        <f t="shared" si="0"/>
        <v>8.9968511021142603E-2</v>
      </c>
      <c r="G22" s="74">
        <v>24230000</v>
      </c>
      <c r="H22" s="227"/>
    </row>
    <row r="23" spans="1:8" ht="15" customHeight="1" x14ac:dyDescent="0.25">
      <c r="A23" s="76" t="s">
        <v>27</v>
      </c>
      <c r="B23" s="74">
        <v>12012</v>
      </c>
      <c r="C23" s="74">
        <v>200000</v>
      </c>
      <c r="D23" s="74">
        <v>0</v>
      </c>
      <c r="E23" s="69">
        <f t="shared" si="1"/>
        <v>-200000</v>
      </c>
      <c r="F23" s="70">
        <f t="shared" si="0"/>
        <v>-1</v>
      </c>
      <c r="G23" s="74">
        <v>0</v>
      </c>
      <c r="H23" s="227"/>
    </row>
    <row r="24" spans="1:8" ht="15" customHeight="1" x14ac:dyDescent="0.25">
      <c r="A24" s="76" t="s">
        <v>28</v>
      </c>
      <c r="B24" s="74">
        <v>0</v>
      </c>
      <c r="C24" s="74">
        <v>0</v>
      </c>
      <c r="D24" s="74">
        <v>0</v>
      </c>
      <c r="E24" s="69">
        <f t="shared" si="1"/>
        <v>0</v>
      </c>
      <c r="F24" s="70">
        <f t="shared" si="0"/>
        <v>0</v>
      </c>
      <c r="G24" s="74">
        <v>0</v>
      </c>
      <c r="H24" s="227"/>
    </row>
    <row r="25" spans="1:8" ht="15" customHeight="1" x14ac:dyDescent="0.25">
      <c r="A25" s="76" t="s">
        <v>29</v>
      </c>
      <c r="B25" s="74">
        <v>0</v>
      </c>
      <c r="C25" s="74">
        <v>0</v>
      </c>
      <c r="D25" s="74">
        <v>0</v>
      </c>
      <c r="E25" s="69">
        <f t="shared" si="1"/>
        <v>0</v>
      </c>
      <c r="F25" s="70">
        <f t="shared" si="0"/>
        <v>0</v>
      </c>
      <c r="G25" s="74">
        <v>0</v>
      </c>
      <c r="H25" s="227"/>
    </row>
    <row r="26" spans="1:8" ht="15" customHeight="1" x14ac:dyDescent="0.25">
      <c r="A26" s="76" t="s">
        <v>30</v>
      </c>
      <c r="B26" s="74">
        <v>0</v>
      </c>
      <c r="C26" s="74">
        <v>0</v>
      </c>
      <c r="D26" s="74">
        <v>0</v>
      </c>
      <c r="E26" s="69">
        <f t="shared" si="1"/>
        <v>0</v>
      </c>
      <c r="F26" s="70">
        <f t="shared" si="0"/>
        <v>0</v>
      </c>
      <c r="G26" s="74">
        <v>0</v>
      </c>
      <c r="H26" s="227"/>
    </row>
    <row r="27" spans="1:8" ht="15" customHeight="1" x14ac:dyDescent="0.25">
      <c r="A27" s="76" t="s">
        <v>31</v>
      </c>
      <c r="B27" s="74">
        <v>0</v>
      </c>
      <c r="C27" s="74">
        <v>0</v>
      </c>
      <c r="D27" s="74">
        <v>0</v>
      </c>
      <c r="E27" s="69">
        <f t="shared" si="1"/>
        <v>0</v>
      </c>
      <c r="F27" s="70">
        <f t="shared" si="0"/>
        <v>0</v>
      </c>
      <c r="G27" s="74">
        <v>0</v>
      </c>
      <c r="H27" s="227"/>
    </row>
    <row r="28" spans="1:8" ht="15" customHeight="1" x14ac:dyDescent="0.25">
      <c r="A28" s="76" t="s">
        <v>87</v>
      </c>
      <c r="B28" s="74">
        <v>200000</v>
      </c>
      <c r="C28" s="74">
        <v>200000</v>
      </c>
      <c r="D28" s="74">
        <v>200000</v>
      </c>
      <c r="E28" s="69">
        <f t="shared" si="1"/>
        <v>0</v>
      </c>
      <c r="F28" s="70">
        <f t="shared" si="0"/>
        <v>0</v>
      </c>
      <c r="G28" s="74">
        <v>200000</v>
      </c>
      <c r="H28" s="227"/>
    </row>
    <row r="29" spans="1:8" ht="15" customHeight="1" x14ac:dyDescent="0.25">
      <c r="A29" s="76" t="s">
        <v>32</v>
      </c>
      <c r="B29" s="74">
        <v>0</v>
      </c>
      <c r="C29" s="74">
        <v>0</v>
      </c>
      <c r="D29" s="74">
        <v>0</v>
      </c>
      <c r="E29" s="69">
        <f t="shared" si="1"/>
        <v>0</v>
      </c>
      <c r="F29" s="70">
        <f t="shared" si="0"/>
        <v>0</v>
      </c>
      <c r="G29" s="74">
        <v>0</v>
      </c>
      <c r="H29" s="227"/>
    </row>
    <row r="30" spans="1:8" ht="15" customHeight="1" x14ac:dyDescent="0.25">
      <c r="A30" s="217" t="s">
        <v>201</v>
      </c>
      <c r="B30" s="74">
        <v>0</v>
      </c>
      <c r="C30" s="74">
        <v>0</v>
      </c>
      <c r="D30" s="74">
        <v>0</v>
      </c>
      <c r="E30" s="69">
        <f t="shared" si="1"/>
        <v>0</v>
      </c>
      <c r="F30" s="70">
        <f t="shared" si="0"/>
        <v>0</v>
      </c>
      <c r="G30" s="74">
        <v>0</v>
      </c>
      <c r="H30" s="227"/>
    </row>
    <row r="31" spans="1:8" ht="15" customHeight="1" x14ac:dyDescent="0.25">
      <c r="A31" s="76" t="s">
        <v>202</v>
      </c>
      <c r="B31" s="74">
        <v>0</v>
      </c>
      <c r="C31" s="74">
        <v>0</v>
      </c>
      <c r="D31" s="74">
        <v>0</v>
      </c>
      <c r="E31" s="69">
        <f t="shared" si="1"/>
        <v>0</v>
      </c>
      <c r="F31" s="70">
        <f t="shared" si="0"/>
        <v>0</v>
      </c>
      <c r="G31" s="74">
        <v>0</v>
      </c>
      <c r="H31" s="227"/>
    </row>
    <row r="32" spans="1:8" ht="15" customHeight="1" x14ac:dyDescent="0.25">
      <c r="A32" s="77" t="s">
        <v>33</v>
      </c>
      <c r="B32" s="74"/>
      <c r="C32" s="74"/>
      <c r="D32" s="74"/>
      <c r="E32" s="74"/>
      <c r="F32" s="66"/>
      <c r="G32" s="74"/>
      <c r="H32" s="227"/>
    </row>
    <row r="33" spans="1:13" ht="15" customHeight="1" x14ac:dyDescent="0.25">
      <c r="A33" s="73" t="s">
        <v>34</v>
      </c>
      <c r="B33" s="69">
        <v>0</v>
      </c>
      <c r="C33" s="69">
        <v>0</v>
      </c>
      <c r="D33" s="69">
        <v>0</v>
      </c>
      <c r="E33" s="69">
        <f>D33-C33</f>
        <v>0</v>
      </c>
      <c r="F33" s="70">
        <f>IF(ISBLANK(E33),"  ",IF(C33&gt;0,E33/C33,IF(E33&gt;0,1,0)))</f>
        <v>0</v>
      </c>
      <c r="G33" s="69">
        <v>0</v>
      </c>
      <c r="H33" s="227"/>
    </row>
    <row r="34" spans="1:13" ht="15" customHeight="1" x14ac:dyDescent="0.25">
      <c r="A34" s="78" t="s">
        <v>35</v>
      </c>
      <c r="B34" s="74"/>
      <c r="C34" s="74"/>
      <c r="D34" s="74"/>
      <c r="E34" s="74"/>
      <c r="F34" s="66"/>
      <c r="G34" s="74"/>
      <c r="H34" s="227"/>
    </row>
    <row r="35" spans="1:13" ht="15" customHeight="1" x14ac:dyDescent="0.25">
      <c r="A35" s="73" t="s">
        <v>34</v>
      </c>
      <c r="B35" s="65">
        <v>0</v>
      </c>
      <c r="C35" s="65">
        <v>0</v>
      </c>
      <c r="D35" s="65">
        <v>0</v>
      </c>
      <c r="E35" s="69">
        <f>D35-C35</f>
        <v>0</v>
      </c>
      <c r="F35" s="70">
        <f>IF(ISBLANK(E35),"  ",IF(C35&gt;0,E35/C35,IF(E35&gt;0,1,0)))</f>
        <v>0</v>
      </c>
      <c r="G35" s="65">
        <v>0</v>
      </c>
      <c r="H35" s="227"/>
    </row>
    <row r="36" spans="1:13" ht="15" customHeight="1" x14ac:dyDescent="0.25">
      <c r="A36" s="75" t="s">
        <v>36</v>
      </c>
      <c r="B36" s="74"/>
      <c r="C36" s="74"/>
      <c r="D36" s="74"/>
      <c r="E36" s="72"/>
      <c r="F36" s="70" t="str">
        <f>IF(ISBLANK(E36),"  ",IF(C36&gt;0,E36/C36,IF(E36&gt;0,1,0)))</f>
        <v xml:space="preserve">  </v>
      </c>
      <c r="G36" s="74"/>
      <c r="H36" s="227"/>
    </row>
    <row r="37" spans="1:13" s="124" customFormat="1" ht="15" customHeight="1" x14ac:dyDescent="0.25">
      <c r="A37" s="79" t="s">
        <v>38</v>
      </c>
      <c r="B37" s="80">
        <v>34994315</v>
      </c>
      <c r="C37" s="80">
        <v>38344006</v>
      </c>
      <c r="D37" s="80">
        <f>D10+D8</f>
        <v>37378688</v>
      </c>
      <c r="E37" s="80">
        <f>D37-C37</f>
        <v>-965318</v>
      </c>
      <c r="F37" s="81">
        <f>IF(ISBLANK(E37),"  ",IF(C37&gt;0,E37/C37,IF(E37&gt;0,1,0)))</f>
        <v>-2.5175199482286748E-2</v>
      </c>
      <c r="G37" s="80">
        <f>G10+G8</f>
        <v>37378688</v>
      </c>
      <c r="H37" s="228"/>
      <c r="I37" s="189"/>
    </row>
    <row r="38" spans="1:13" ht="15" customHeight="1" x14ac:dyDescent="0.25">
      <c r="A38" s="77" t="s">
        <v>39</v>
      </c>
      <c r="B38" s="74"/>
      <c r="C38" s="74"/>
      <c r="D38" s="74"/>
      <c r="E38" s="74"/>
      <c r="F38" s="66"/>
      <c r="G38" s="74"/>
      <c r="H38" s="227"/>
    </row>
    <row r="39" spans="1:13" ht="15" customHeight="1" x14ac:dyDescent="0.25">
      <c r="A39" s="82" t="s">
        <v>40</v>
      </c>
      <c r="B39" s="69">
        <v>0</v>
      </c>
      <c r="C39" s="69">
        <v>0</v>
      </c>
      <c r="D39" s="69">
        <v>0</v>
      </c>
      <c r="E39" s="69">
        <f>D39-C39</f>
        <v>0</v>
      </c>
      <c r="F39" s="70">
        <f t="shared" ref="F39:F44" si="2">IF(ISBLANK(E39),"  ",IF(C39&gt;0,E39/C39,IF(E39&gt;0,1,0)))</f>
        <v>0</v>
      </c>
      <c r="G39" s="69">
        <v>0</v>
      </c>
      <c r="H39" s="227"/>
    </row>
    <row r="40" spans="1:13" ht="15" customHeight="1" x14ac:dyDescent="0.25">
      <c r="A40" s="83" t="s">
        <v>41</v>
      </c>
      <c r="B40" s="69">
        <v>0</v>
      </c>
      <c r="C40" s="69">
        <v>0</v>
      </c>
      <c r="D40" s="69">
        <v>0</v>
      </c>
      <c r="E40" s="72">
        <f>D40-C40</f>
        <v>0</v>
      </c>
      <c r="F40" s="70">
        <f t="shared" si="2"/>
        <v>0</v>
      </c>
      <c r="G40" s="69">
        <v>0</v>
      </c>
      <c r="H40" s="227"/>
    </row>
    <row r="41" spans="1:13" ht="15" customHeight="1" x14ac:dyDescent="0.25">
      <c r="A41" s="83" t="s">
        <v>42</v>
      </c>
      <c r="B41" s="69">
        <v>0</v>
      </c>
      <c r="C41" s="69">
        <v>0</v>
      </c>
      <c r="D41" s="69">
        <v>0</v>
      </c>
      <c r="E41" s="72">
        <f t="shared" ref="E41:E44" si="3">D41-C41</f>
        <v>0</v>
      </c>
      <c r="F41" s="70">
        <f t="shared" si="2"/>
        <v>0</v>
      </c>
      <c r="G41" s="69">
        <v>0</v>
      </c>
      <c r="H41" s="227"/>
    </row>
    <row r="42" spans="1:13" ht="15" customHeight="1" x14ac:dyDescent="0.25">
      <c r="A42" s="83" t="s">
        <v>43</v>
      </c>
      <c r="B42" s="69">
        <v>0</v>
      </c>
      <c r="C42" s="69">
        <v>0</v>
      </c>
      <c r="D42" s="69">
        <v>0</v>
      </c>
      <c r="E42" s="72">
        <f t="shared" si="3"/>
        <v>0</v>
      </c>
      <c r="F42" s="70">
        <f t="shared" si="2"/>
        <v>0</v>
      </c>
      <c r="G42" s="69">
        <v>0</v>
      </c>
      <c r="H42" s="227"/>
    </row>
    <row r="43" spans="1:13" ht="15" customHeight="1" x14ac:dyDescent="0.25">
      <c r="A43" s="84" t="s">
        <v>44</v>
      </c>
      <c r="B43" s="69">
        <v>0</v>
      </c>
      <c r="C43" s="69">
        <v>0</v>
      </c>
      <c r="D43" s="69">
        <v>0</v>
      </c>
      <c r="E43" s="72">
        <f t="shared" si="3"/>
        <v>0</v>
      </c>
      <c r="F43" s="70">
        <f t="shared" si="2"/>
        <v>0</v>
      </c>
      <c r="G43" s="69">
        <v>0</v>
      </c>
      <c r="H43" s="227"/>
    </row>
    <row r="44" spans="1:13" s="124" customFormat="1" ht="15" customHeight="1" x14ac:dyDescent="0.25">
      <c r="A44" s="77" t="s">
        <v>45</v>
      </c>
      <c r="B44" s="85">
        <v>0</v>
      </c>
      <c r="C44" s="85">
        <v>0</v>
      </c>
      <c r="D44" s="85">
        <v>0</v>
      </c>
      <c r="E44" s="96">
        <f t="shared" si="3"/>
        <v>0</v>
      </c>
      <c r="F44" s="81">
        <f t="shared" si="2"/>
        <v>0</v>
      </c>
      <c r="G44" s="85">
        <v>0</v>
      </c>
      <c r="H44" s="228"/>
      <c r="M44" s="124" t="s">
        <v>46</v>
      </c>
    </row>
    <row r="45" spans="1:13" ht="15" customHeight="1" x14ac:dyDescent="0.25">
      <c r="A45" s="75" t="s">
        <v>46</v>
      </c>
      <c r="B45" s="74"/>
      <c r="C45" s="74"/>
      <c r="D45" s="74"/>
      <c r="E45" s="74"/>
      <c r="F45" s="66"/>
      <c r="G45" s="74"/>
      <c r="H45" s="227"/>
    </row>
    <row r="46" spans="1:13" s="124" customFormat="1" ht="15" customHeight="1" x14ac:dyDescent="0.25">
      <c r="A46" s="86" t="s">
        <v>47</v>
      </c>
      <c r="B46" s="87">
        <v>5713708</v>
      </c>
      <c r="C46" s="87">
        <v>8581735</v>
      </c>
      <c r="D46" s="87">
        <f>9783704+35000</f>
        <v>9818704</v>
      </c>
      <c r="E46" s="87">
        <f>D46-C46</f>
        <v>1236969</v>
      </c>
      <c r="F46" s="81">
        <f>IF(ISBLANK(E46),"  ",IF(C46&gt;0,E46/C46,IF(E46&gt;0,1,0)))</f>
        <v>0.14413973398153171</v>
      </c>
      <c r="G46" s="87">
        <f>9783704+35000</f>
        <v>9818704</v>
      </c>
      <c r="H46" s="228"/>
      <c r="I46" s="189"/>
    </row>
    <row r="47" spans="1:13" ht="15" customHeight="1" x14ac:dyDescent="0.25">
      <c r="A47" s="75" t="s">
        <v>46</v>
      </c>
      <c r="B47" s="80"/>
      <c r="C47" s="80"/>
      <c r="D47" s="80"/>
      <c r="E47" s="74"/>
      <c r="F47" s="66"/>
      <c r="G47" s="80"/>
      <c r="H47" s="228"/>
    </row>
    <row r="48" spans="1:13" ht="15" customHeight="1" x14ac:dyDescent="0.25">
      <c r="A48" s="86" t="s">
        <v>200</v>
      </c>
      <c r="B48" s="87">
        <v>0</v>
      </c>
      <c r="C48" s="87">
        <v>0</v>
      </c>
      <c r="D48" s="87">
        <v>3250000</v>
      </c>
      <c r="E48" s="87">
        <f>D48-C48</f>
        <v>3250000</v>
      </c>
      <c r="F48" s="81">
        <f>IF(ISBLANK(E48)," ",IF(C48&gt;0,E48/C48,IF(E48&gt;0,1,0)))</f>
        <v>1</v>
      </c>
      <c r="G48" s="87">
        <v>3250000</v>
      </c>
      <c r="H48" s="228"/>
      <c r="I48" s="189"/>
    </row>
    <row r="49" spans="1:11" ht="15" customHeight="1" x14ac:dyDescent="0.25">
      <c r="A49" s="73"/>
      <c r="B49" s="65"/>
      <c r="C49" s="65"/>
      <c r="D49" s="65"/>
      <c r="E49" s="65"/>
      <c r="F49" s="67"/>
      <c r="G49" s="65"/>
      <c r="H49" s="227"/>
    </row>
    <row r="50" spans="1:11" s="124" customFormat="1" ht="15" customHeight="1" x14ac:dyDescent="0.25">
      <c r="A50" s="86" t="s">
        <v>48</v>
      </c>
      <c r="B50" s="87">
        <v>0</v>
      </c>
      <c r="C50" s="87">
        <v>0</v>
      </c>
      <c r="D50" s="87">
        <v>0</v>
      </c>
      <c r="E50" s="87">
        <f>D50-C50</f>
        <v>0</v>
      </c>
      <c r="F50" s="81">
        <f>IF(ISBLANK(E50),"  ",IF(C50&gt;0,E50/C50,IF(E50&gt;0,1,0)))</f>
        <v>0</v>
      </c>
      <c r="G50" s="87">
        <v>0</v>
      </c>
      <c r="H50" s="228"/>
      <c r="I50" s="189"/>
    </row>
    <row r="51" spans="1:11" ht="15" customHeight="1" x14ac:dyDescent="0.25">
      <c r="A51" s="75" t="s">
        <v>46</v>
      </c>
      <c r="B51" s="74"/>
      <c r="C51" s="74"/>
      <c r="D51" s="74"/>
      <c r="E51" s="74"/>
      <c r="F51" s="66"/>
      <c r="G51" s="74"/>
      <c r="H51" s="227"/>
    </row>
    <row r="52" spans="1:11" s="124" customFormat="1" ht="15" customHeight="1" x14ac:dyDescent="0.25">
      <c r="A52" s="77" t="s">
        <v>49</v>
      </c>
      <c r="B52" s="85">
        <v>1373241</v>
      </c>
      <c r="C52" s="85">
        <v>2730299</v>
      </c>
      <c r="D52" s="85">
        <v>2930299</v>
      </c>
      <c r="E52" s="85">
        <f>D52-C52</f>
        <v>200000</v>
      </c>
      <c r="F52" s="81">
        <f>IF(ISBLANK(E52),"  ",IF(C52&gt;0,E52/C52,IF(E52&gt;0,1,0)))</f>
        <v>7.3252050416456216E-2</v>
      </c>
      <c r="G52" s="85">
        <v>2930299</v>
      </c>
      <c r="H52" s="228"/>
      <c r="I52" s="189"/>
    </row>
    <row r="53" spans="1:11" ht="15" customHeight="1" x14ac:dyDescent="0.25">
      <c r="A53" s="75" t="s">
        <v>46</v>
      </c>
      <c r="B53" s="74"/>
      <c r="C53" s="74"/>
      <c r="D53" s="74"/>
      <c r="E53" s="74"/>
      <c r="F53" s="66"/>
      <c r="G53" s="74"/>
      <c r="H53" s="227"/>
    </row>
    <row r="54" spans="1:11" s="124" customFormat="1" ht="15" customHeight="1" x14ac:dyDescent="0.25">
      <c r="A54" s="88" t="s">
        <v>50</v>
      </c>
      <c r="B54" s="89">
        <v>6539047</v>
      </c>
      <c r="C54" s="89">
        <v>12172314</v>
      </c>
      <c r="D54" s="89">
        <v>12172314</v>
      </c>
      <c r="E54" s="89">
        <f>D54-C54</f>
        <v>0</v>
      </c>
      <c r="F54" s="81">
        <f>IF(ISBLANK(E54),"  ",IF(C54&gt;0,E54/C54,IF(E54&gt;0,1,0)))</f>
        <v>0</v>
      </c>
      <c r="G54" s="89">
        <v>12172314</v>
      </c>
      <c r="H54" s="228"/>
      <c r="I54" s="189"/>
    </row>
    <row r="55" spans="1:11" ht="15" customHeight="1" x14ac:dyDescent="0.25">
      <c r="A55" s="77"/>
      <c r="B55" s="65"/>
      <c r="C55" s="65"/>
      <c r="D55" s="65"/>
      <c r="E55" s="65"/>
      <c r="F55" s="90"/>
      <c r="G55" s="65"/>
      <c r="H55" s="227"/>
    </row>
    <row r="56" spans="1:11" s="124" customFormat="1" ht="15" customHeight="1" x14ac:dyDescent="0.25">
      <c r="A56" s="77" t="s">
        <v>51</v>
      </c>
      <c r="B56" s="85">
        <v>0</v>
      </c>
      <c r="C56" s="85">
        <v>0</v>
      </c>
      <c r="D56" s="85">
        <v>0</v>
      </c>
      <c r="E56" s="89">
        <f>D56-C56</f>
        <v>0</v>
      </c>
      <c r="F56" s="81">
        <f>IF(ISBLANK(E56),"  ",IF(C56&gt;0,E56/C56,IF(E56&gt;0,1,0)))</f>
        <v>0</v>
      </c>
      <c r="G56" s="85">
        <v>0</v>
      </c>
      <c r="H56" s="228"/>
      <c r="I56" s="189"/>
    </row>
    <row r="57" spans="1:11" ht="15" customHeight="1" x14ac:dyDescent="0.25">
      <c r="A57" s="75"/>
      <c r="B57" s="74"/>
      <c r="C57" s="74"/>
      <c r="D57" s="74"/>
      <c r="E57" s="74"/>
      <c r="F57" s="66"/>
      <c r="G57" s="74"/>
      <c r="H57" s="227"/>
    </row>
    <row r="58" spans="1:11" s="124" customFormat="1" ht="15" customHeight="1" x14ac:dyDescent="0.25">
      <c r="A58" s="91" t="s">
        <v>52</v>
      </c>
      <c r="B58" s="85">
        <f t="shared" ref="B58:D58" si="4">B56+B54+B52+B50+B48+B46+B37</f>
        <v>48620311</v>
      </c>
      <c r="C58" s="85">
        <f t="shared" si="4"/>
        <v>61828354</v>
      </c>
      <c r="D58" s="85">
        <f t="shared" si="4"/>
        <v>65550005</v>
      </c>
      <c r="E58" s="85">
        <f>D58-C58</f>
        <v>3721651</v>
      </c>
      <c r="F58" s="81">
        <f>IF(ISBLANK(E58),"  ",IF(C58&gt;0,E58/C58,IF(E58&gt;0,1,0)))</f>
        <v>6.01932731380816E-2</v>
      </c>
      <c r="G58" s="85">
        <f>G56+G54+G52+G50+G48+G46+G37</f>
        <v>65550005</v>
      </c>
      <c r="H58" s="228"/>
      <c r="I58" s="189"/>
      <c r="K58" s="189"/>
    </row>
    <row r="59" spans="1:11" ht="15" customHeight="1" x14ac:dyDescent="0.25">
      <c r="A59" s="92"/>
      <c r="B59" s="74"/>
      <c r="C59" s="74"/>
      <c r="D59" s="74"/>
      <c r="E59" s="74"/>
      <c r="F59" s="66" t="s">
        <v>46</v>
      </c>
      <c r="G59" s="74"/>
      <c r="H59" s="227"/>
    </row>
    <row r="60" spans="1:11" ht="15" customHeight="1" x14ac:dyDescent="0.25">
      <c r="A60" s="93"/>
      <c r="B60" s="65"/>
      <c r="C60" s="65"/>
      <c r="D60" s="65"/>
      <c r="E60" s="65"/>
      <c r="F60" s="67" t="s">
        <v>46</v>
      </c>
      <c r="G60" s="65"/>
      <c r="H60" s="227"/>
    </row>
    <row r="61" spans="1:11" ht="15" customHeight="1" x14ac:dyDescent="0.25">
      <c r="A61" s="91" t="s">
        <v>53</v>
      </c>
      <c r="B61" s="65"/>
      <c r="C61" s="65"/>
      <c r="D61" s="65"/>
      <c r="E61" s="65"/>
      <c r="F61" s="67"/>
      <c r="G61" s="65"/>
      <c r="H61" s="227"/>
    </row>
    <row r="62" spans="1:11" ht="15" customHeight="1" x14ac:dyDescent="0.25">
      <c r="A62" s="73" t="s">
        <v>54</v>
      </c>
      <c r="B62" s="65">
        <v>48620311.480000004</v>
      </c>
      <c r="C62" s="65">
        <v>61828354</v>
      </c>
      <c r="D62" s="65">
        <v>65550005</v>
      </c>
      <c r="E62" s="65">
        <f>D62-C62</f>
        <v>3721651</v>
      </c>
      <c r="F62" s="70">
        <f t="shared" ref="F62:F75" si="5">IF(ISBLANK(E62),"  ",IF(C62&gt;0,E62/C62,IF(E62&gt;0,1,0)))</f>
        <v>6.01932731380816E-2</v>
      </c>
      <c r="G62" s="65">
        <v>65550005</v>
      </c>
      <c r="H62" s="227"/>
    </row>
    <row r="63" spans="1:11" ht="15" customHeight="1" x14ac:dyDescent="0.25">
      <c r="A63" s="75" t="s">
        <v>55</v>
      </c>
      <c r="B63" s="74">
        <v>0</v>
      </c>
      <c r="C63" s="74">
        <v>0</v>
      </c>
      <c r="D63" s="74">
        <v>0</v>
      </c>
      <c r="E63" s="74">
        <f>D63-C63</f>
        <v>0</v>
      </c>
      <c r="F63" s="70">
        <f t="shared" si="5"/>
        <v>0</v>
      </c>
      <c r="G63" s="74">
        <v>0</v>
      </c>
      <c r="H63" s="227"/>
    </row>
    <row r="64" spans="1:11" ht="15" customHeight="1" x14ac:dyDescent="0.25">
      <c r="A64" s="75" t="s">
        <v>56</v>
      </c>
      <c r="B64" s="74">
        <v>0</v>
      </c>
      <c r="C64" s="74">
        <v>0</v>
      </c>
      <c r="D64" s="74">
        <v>0</v>
      </c>
      <c r="E64" s="74">
        <f t="shared" ref="E64:E75" si="6">D64-C64</f>
        <v>0</v>
      </c>
      <c r="F64" s="70">
        <f t="shared" si="5"/>
        <v>0</v>
      </c>
      <c r="G64" s="74">
        <v>0</v>
      </c>
      <c r="H64" s="227"/>
    </row>
    <row r="65" spans="1:8" ht="15" customHeight="1" x14ac:dyDescent="0.25">
      <c r="A65" s="75" t="s">
        <v>57</v>
      </c>
      <c r="B65" s="74">
        <v>0</v>
      </c>
      <c r="C65" s="74">
        <v>0</v>
      </c>
      <c r="D65" s="74">
        <v>0</v>
      </c>
      <c r="E65" s="74">
        <f t="shared" si="6"/>
        <v>0</v>
      </c>
      <c r="F65" s="70">
        <f t="shared" si="5"/>
        <v>0</v>
      </c>
      <c r="G65" s="74">
        <v>0</v>
      </c>
      <c r="H65" s="227"/>
    </row>
    <row r="66" spans="1:8" ht="15" customHeight="1" x14ac:dyDescent="0.25">
      <c r="A66" s="75" t="s">
        <v>58</v>
      </c>
      <c r="B66" s="74">
        <v>0</v>
      </c>
      <c r="C66" s="74">
        <v>0</v>
      </c>
      <c r="D66" s="74">
        <v>0</v>
      </c>
      <c r="E66" s="74">
        <f t="shared" si="6"/>
        <v>0</v>
      </c>
      <c r="F66" s="70">
        <f t="shared" si="5"/>
        <v>0</v>
      </c>
      <c r="G66" s="74">
        <v>0</v>
      </c>
      <c r="H66" s="227"/>
    </row>
    <row r="67" spans="1:8" ht="15" customHeight="1" x14ac:dyDescent="0.25">
      <c r="A67" s="75" t="s">
        <v>59</v>
      </c>
      <c r="B67" s="74">
        <v>0</v>
      </c>
      <c r="C67" s="74">
        <v>0</v>
      </c>
      <c r="D67" s="74">
        <v>0</v>
      </c>
      <c r="E67" s="74">
        <f t="shared" si="6"/>
        <v>0</v>
      </c>
      <c r="F67" s="70">
        <f t="shared" si="5"/>
        <v>0</v>
      </c>
      <c r="G67" s="74">
        <v>0</v>
      </c>
      <c r="H67" s="227"/>
    </row>
    <row r="68" spans="1:8" ht="15" customHeight="1" x14ac:dyDescent="0.25">
      <c r="A68" s="75" t="s">
        <v>60</v>
      </c>
      <c r="B68" s="74">
        <v>0</v>
      </c>
      <c r="C68" s="74">
        <v>0</v>
      </c>
      <c r="D68" s="74">
        <v>0</v>
      </c>
      <c r="E68" s="74">
        <f t="shared" si="6"/>
        <v>0</v>
      </c>
      <c r="F68" s="70">
        <f t="shared" si="5"/>
        <v>0</v>
      </c>
      <c r="G68" s="74">
        <v>0</v>
      </c>
      <c r="H68" s="227"/>
    </row>
    <row r="69" spans="1:8" ht="15" customHeight="1" x14ac:dyDescent="0.25">
      <c r="A69" s="75" t="s">
        <v>61</v>
      </c>
      <c r="B69" s="74">
        <v>0</v>
      </c>
      <c r="C69" s="74">
        <v>0</v>
      </c>
      <c r="D69" s="74">
        <v>0</v>
      </c>
      <c r="E69" s="74">
        <f t="shared" si="6"/>
        <v>0</v>
      </c>
      <c r="F69" s="70">
        <f t="shared" si="5"/>
        <v>0</v>
      </c>
      <c r="G69" s="74">
        <v>0</v>
      </c>
      <c r="H69" s="227"/>
    </row>
    <row r="70" spans="1:8" s="124" customFormat="1" ht="15" customHeight="1" x14ac:dyDescent="0.25">
      <c r="A70" s="94" t="s">
        <v>62</v>
      </c>
      <c r="B70" s="80">
        <v>48620311.480000004</v>
      </c>
      <c r="C70" s="80">
        <v>61828354</v>
      </c>
      <c r="D70" s="80">
        <f>SUM(D62:D69)</f>
        <v>65550005</v>
      </c>
      <c r="E70" s="80">
        <f t="shared" si="6"/>
        <v>3721651</v>
      </c>
      <c r="F70" s="81">
        <f t="shared" si="5"/>
        <v>6.01932731380816E-2</v>
      </c>
      <c r="G70" s="80">
        <v>65550005</v>
      </c>
      <c r="H70" s="228"/>
    </row>
    <row r="71" spans="1:8" ht="15" customHeight="1" x14ac:dyDescent="0.25">
      <c r="A71" s="75" t="s">
        <v>63</v>
      </c>
      <c r="B71" s="74">
        <v>0</v>
      </c>
      <c r="C71" s="74">
        <v>0</v>
      </c>
      <c r="D71" s="74">
        <v>0</v>
      </c>
      <c r="E71" s="74">
        <f t="shared" si="6"/>
        <v>0</v>
      </c>
      <c r="F71" s="70">
        <f t="shared" si="5"/>
        <v>0</v>
      </c>
      <c r="G71" s="74">
        <v>0</v>
      </c>
      <c r="H71" s="227"/>
    </row>
    <row r="72" spans="1:8" ht="15" customHeight="1" x14ac:dyDescent="0.25">
      <c r="A72" s="75" t="s">
        <v>64</v>
      </c>
      <c r="B72" s="74">
        <v>0</v>
      </c>
      <c r="C72" s="74">
        <v>0</v>
      </c>
      <c r="D72" s="74">
        <v>0</v>
      </c>
      <c r="E72" s="74">
        <f t="shared" si="6"/>
        <v>0</v>
      </c>
      <c r="F72" s="70">
        <f t="shared" si="5"/>
        <v>0</v>
      </c>
      <c r="G72" s="74">
        <v>0</v>
      </c>
      <c r="H72" s="227"/>
    </row>
    <row r="73" spans="1:8" ht="15" customHeight="1" x14ac:dyDescent="0.25">
      <c r="A73" s="75" t="s">
        <v>65</v>
      </c>
      <c r="B73" s="74">
        <v>0</v>
      </c>
      <c r="C73" s="74">
        <v>0</v>
      </c>
      <c r="D73" s="74">
        <v>0</v>
      </c>
      <c r="E73" s="74">
        <f t="shared" si="6"/>
        <v>0</v>
      </c>
      <c r="F73" s="70">
        <f t="shared" si="5"/>
        <v>0</v>
      </c>
      <c r="G73" s="74">
        <v>0</v>
      </c>
      <c r="H73" s="227"/>
    </row>
    <row r="74" spans="1:8" ht="15" customHeight="1" x14ac:dyDescent="0.25">
      <c r="A74" s="75" t="s">
        <v>66</v>
      </c>
      <c r="B74" s="74">
        <v>0</v>
      </c>
      <c r="C74" s="74">
        <v>0</v>
      </c>
      <c r="D74" s="74">
        <v>0</v>
      </c>
      <c r="E74" s="74">
        <f t="shared" si="6"/>
        <v>0</v>
      </c>
      <c r="F74" s="70">
        <f t="shared" si="5"/>
        <v>0</v>
      </c>
      <c r="G74" s="74">
        <v>0</v>
      </c>
      <c r="H74" s="227"/>
    </row>
    <row r="75" spans="1:8" s="124" customFormat="1" ht="15" customHeight="1" x14ac:dyDescent="0.25">
      <c r="A75" s="95" t="s">
        <v>67</v>
      </c>
      <c r="B75" s="96">
        <v>48620311.480000004</v>
      </c>
      <c r="C75" s="96">
        <v>61828354</v>
      </c>
      <c r="D75" s="96">
        <v>65550005</v>
      </c>
      <c r="E75" s="231">
        <f t="shared" si="6"/>
        <v>3721651</v>
      </c>
      <c r="F75" s="81">
        <f t="shared" si="5"/>
        <v>6.01932731380816E-2</v>
      </c>
      <c r="G75" s="96">
        <v>65550005</v>
      </c>
      <c r="H75" s="228"/>
    </row>
    <row r="76" spans="1:8" ht="15" customHeight="1" x14ac:dyDescent="0.25">
      <c r="A76" s="93"/>
      <c r="B76" s="65"/>
      <c r="C76" s="65"/>
      <c r="D76" s="65"/>
      <c r="E76" s="65"/>
      <c r="F76" s="67"/>
      <c r="G76" s="65"/>
      <c r="H76" s="227"/>
    </row>
    <row r="77" spans="1:8" ht="15" customHeight="1" x14ac:dyDescent="0.25">
      <c r="A77" s="91" t="s">
        <v>68</v>
      </c>
      <c r="B77" s="65"/>
      <c r="C77" s="65"/>
      <c r="D77" s="65"/>
      <c r="E77" s="65"/>
      <c r="F77" s="67"/>
      <c r="G77" s="65"/>
      <c r="H77" s="227"/>
    </row>
    <row r="78" spans="1:8" ht="15" customHeight="1" x14ac:dyDescent="0.25">
      <c r="A78" s="73" t="s">
        <v>69</v>
      </c>
      <c r="B78" s="69">
        <v>6105058.9299999997</v>
      </c>
      <c r="C78" s="69">
        <v>6202917</v>
      </c>
      <c r="D78" s="69">
        <v>6295964</v>
      </c>
      <c r="E78" s="65">
        <f>D78-C78</f>
        <v>93047</v>
      </c>
      <c r="F78" s="70">
        <f t="shared" ref="F78:F96" si="7">IF(ISBLANK(E78),"  ",IF(C78&gt;0,E78/C78,IF(E78&gt;0,1,0)))</f>
        <v>1.5000523140967387E-2</v>
      </c>
      <c r="G78" s="69">
        <v>6295964</v>
      </c>
      <c r="H78" s="227"/>
    </row>
    <row r="79" spans="1:8" ht="15" customHeight="1" x14ac:dyDescent="0.25">
      <c r="A79" s="75" t="s">
        <v>70</v>
      </c>
      <c r="B79" s="72">
        <v>217285.81</v>
      </c>
      <c r="C79" s="72">
        <v>249266</v>
      </c>
      <c r="D79" s="72">
        <v>181896</v>
      </c>
      <c r="E79" s="74">
        <f>D79-C79</f>
        <v>-67370</v>
      </c>
      <c r="F79" s="70">
        <f t="shared" si="7"/>
        <v>-0.27027352306371505</v>
      </c>
      <c r="G79" s="72">
        <v>181896</v>
      </c>
      <c r="H79" s="227"/>
    </row>
    <row r="80" spans="1:8" ht="15" customHeight="1" x14ac:dyDescent="0.25">
      <c r="A80" s="75" t="s">
        <v>71</v>
      </c>
      <c r="B80" s="65">
        <v>2607812.33</v>
      </c>
      <c r="C80" s="65">
        <v>2710898</v>
      </c>
      <c r="D80" s="65">
        <v>2748906</v>
      </c>
      <c r="E80" s="74">
        <f t="shared" ref="E80:E95" si="8">D80-C80</f>
        <v>38008</v>
      </c>
      <c r="F80" s="70">
        <f t="shared" si="7"/>
        <v>1.4020446361316434E-2</v>
      </c>
      <c r="G80" s="65">
        <v>2748906</v>
      </c>
      <c r="H80" s="227"/>
    </row>
    <row r="81" spans="1:8" s="124" customFormat="1" ht="15" customHeight="1" x14ac:dyDescent="0.25">
      <c r="A81" s="94" t="s">
        <v>72</v>
      </c>
      <c r="B81" s="96">
        <v>8930157.0700000003</v>
      </c>
      <c r="C81" s="96">
        <v>9163081</v>
      </c>
      <c r="D81" s="96">
        <v>9226766</v>
      </c>
      <c r="E81" s="80">
        <f t="shared" si="8"/>
        <v>63685</v>
      </c>
      <c r="F81" s="81">
        <f t="shared" si="7"/>
        <v>6.9501732004770009E-3</v>
      </c>
      <c r="G81" s="96">
        <v>9226766</v>
      </c>
      <c r="H81" s="228"/>
    </row>
    <row r="82" spans="1:8" ht="15" customHeight="1" x14ac:dyDescent="0.25">
      <c r="A82" s="75" t="s">
        <v>73</v>
      </c>
      <c r="B82" s="72">
        <v>124410.04</v>
      </c>
      <c r="C82" s="72">
        <v>191100</v>
      </c>
      <c r="D82" s="72">
        <v>146000</v>
      </c>
      <c r="E82" s="74">
        <f t="shared" si="8"/>
        <v>-45100</v>
      </c>
      <c r="F82" s="70">
        <f t="shared" si="7"/>
        <v>-0.2360020931449503</v>
      </c>
      <c r="G82" s="72">
        <v>146000</v>
      </c>
      <c r="H82" s="227"/>
    </row>
    <row r="83" spans="1:8" ht="15" customHeight="1" x14ac:dyDescent="0.25">
      <c r="A83" s="75" t="s">
        <v>74</v>
      </c>
      <c r="B83" s="69">
        <v>6405459.5800000001</v>
      </c>
      <c r="C83" s="69">
        <v>7045197</v>
      </c>
      <c r="D83" s="69">
        <v>7866869</v>
      </c>
      <c r="E83" s="74">
        <f t="shared" si="8"/>
        <v>821672</v>
      </c>
      <c r="F83" s="70">
        <f t="shared" si="7"/>
        <v>0.11662867624567488</v>
      </c>
      <c r="G83" s="69">
        <v>7866869</v>
      </c>
      <c r="H83" s="227"/>
    </row>
    <row r="84" spans="1:8" ht="15" customHeight="1" x14ac:dyDescent="0.25">
      <c r="A84" s="75" t="s">
        <v>75</v>
      </c>
      <c r="B84" s="65">
        <v>70418.149999999994</v>
      </c>
      <c r="C84" s="65">
        <v>77828</v>
      </c>
      <c r="D84" s="65">
        <v>105115</v>
      </c>
      <c r="E84" s="74">
        <f t="shared" si="8"/>
        <v>27287</v>
      </c>
      <c r="F84" s="70">
        <f t="shared" si="7"/>
        <v>0.35060646553939456</v>
      </c>
      <c r="G84" s="65">
        <v>105115</v>
      </c>
      <c r="H84" s="227"/>
    </row>
    <row r="85" spans="1:8" s="124" customFormat="1" ht="15" customHeight="1" x14ac:dyDescent="0.25">
      <c r="A85" s="78" t="s">
        <v>76</v>
      </c>
      <c r="B85" s="96">
        <v>6600287.7700000005</v>
      </c>
      <c r="C85" s="96">
        <v>7314125</v>
      </c>
      <c r="D85" s="96">
        <v>8117984</v>
      </c>
      <c r="E85" s="80">
        <f t="shared" si="8"/>
        <v>803859</v>
      </c>
      <c r="F85" s="81">
        <f t="shared" si="7"/>
        <v>0.10990501256131116</v>
      </c>
      <c r="G85" s="96">
        <v>8117984</v>
      </c>
      <c r="H85" s="228"/>
    </row>
    <row r="86" spans="1:8" ht="15" customHeight="1" x14ac:dyDescent="0.25">
      <c r="A86" s="75" t="s">
        <v>77</v>
      </c>
      <c r="B86" s="65">
        <v>495073</v>
      </c>
      <c r="C86" s="65">
        <v>815500</v>
      </c>
      <c r="D86" s="65">
        <v>650577</v>
      </c>
      <c r="E86" s="74">
        <f t="shared" si="8"/>
        <v>-164923</v>
      </c>
      <c r="F86" s="70">
        <f t="shared" si="7"/>
        <v>-0.20223543838136113</v>
      </c>
      <c r="G86" s="65">
        <v>650577</v>
      </c>
      <c r="H86" s="227"/>
    </row>
    <row r="87" spans="1:8" ht="15" customHeight="1" x14ac:dyDescent="0.25">
      <c r="A87" s="75" t="s">
        <v>78</v>
      </c>
      <c r="B87" s="74">
        <v>31394101.77</v>
      </c>
      <c r="C87" s="74">
        <v>42844717</v>
      </c>
      <c r="D87" s="74">
        <v>46013976</v>
      </c>
      <c r="E87" s="74">
        <f t="shared" si="8"/>
        <v>3169259</v>
      </c>
      <c r="F87" s="70">
        <f t="shared" si="7"/>
        <v>7.3970823520668832E-2</v>
      </c>
      <c r="G87" s="74">
        <v>46013976</v>
      </c>
      <c r="H87" s="227"/>
    </row>
    <row r="88" spans="1:8" ht="15" customHeight="1" x14ac:dyDescent="0.25">
      <c r="A88" s="75" t="s">
        <v>79</v>
      </c>
      <c r="B88" s="74">
        <v>0</v>
      </c>
      <c r="C88" s="74">
        <v>0</v>
      </c>
      <c r="D88" s="74">
        <v>0</v>
      </c>
      <c r="E88" s="74">
        <f t="shared" si="8"/>
        <v>0</v>
      </c>
      <c r="F88" s="70">
        <f t="shared" si="7"/>
        <v>0</v>
      </c>
      <c r="G88" s="74">
        <v>0</v>
      </c>
      <c r="H88" s="227"/>
    </row>
    <row r="89" spans="1:8" ht="15" customHeight="1" x14ac:dyDescent="0.25">
      <c r="A89" s="75" t="s">
        <v>80</v>
      </c>
      <c r="B89" s="74">
        <v>1115120.56</v>
      </c>
      <c r="C89" s="74">
        <v>1538791</v>
      </c>
      <c r="D89" s="74">
        <v>1452128</v>
      </c>
      <c r="E89" s="74">
        <f t="shared" si="8"/>
        <v>-86663</v>
      </c>
      <c r="F89" s="70">
        <f t="shared" si="7"/>
        <v>-5.6318889309854292E-2</v>
      </c>
      <c r="G89" s="74">
        <v>1452128</v>
      </c>
      <c r="H89" s="227"/>
    </row>
    <row r="90" spans="1:8" s="124" customFormat="1" ht="15" customHeight="1" x14ac:dyDescent="0.25">
      <c r="A90" s="78" t="s">
        <v>81</v>
      </c>
      <c r="B90" s="80">
        <v>33004295.329999998</v>
      </c>
      <c r="C90" s="80">
        <v>45199008</v>
      </c>
      <c r="D90" s="80">
        <f>SUM(D86:D89)</f>
        <v>48116681</v>
      </c>
      <c r="E90" s="80">
        <f t="shared" si="8"/>
        <v>2917673</v>
      </c>
      <c r="F90" s="81">
        <f t="shared" si="7"/>
        <v>6.4551704320590403E-2</v>
      </c>
      <c r="G90" s="80">
        <v>48116681</v>
      </c>
      <c r="H90" s="228"/>
    </row>
    <row r="91" spans="1:8" ht="15" customHeight="1" x14ac:dyDescent="0.25">
      <c r="A91" s="75" t="s">
        <v>82</v>
      </c>
      <c r="B91" s="74">
        <v>85571.31</v>
      </c>
      <c r="C91" s="74">
        <v>152140</v>
      </c>
      <c r="D91" s="74">
        <v>88574</v>
      </c>
      <c r="E91" s="74">
        <f t="shared" si="8"/>
        <v>-63566</v>
      </c>
      <c r="F91" s="70">
        <f t="shared" si="7"/>
        <v>-0.41781254108058369</v>
      </c>
      <c r="G91" s="74">
        <v>88574</v>
      </c>
      <c r="H91" s="227"/>
    </row>
    <row r="92" spans="1:8" ht="15" customHeight="1" x14ac:dyDescent="0.25">
      <c r="A92" s="75" t="s">
        <v>83</v>
      </c>
      <c r="B92" s="74">
        <v>0</v>
      </c>
      <c r="C92" s="74">
        <v>0</v>
      </c>
      <c r="D92" s="74">
        <v>0</v>
      </c>
      <c r="E92" s="74">
        <f t="shared" si="8"/>
        <v>0</v>
      </c>
      <c r="F92" s="70">
        <f t="shared" si="7"/>
        <v>0</v>
      </c>
      <c r="G92" s="74">
        <v>0</v>
      </c>
      <c r="H92" s="227"/>
    </row>
    <row r="93" spans="1:8" ht="15" customHeight="1" x14ac:dyDescent="0.25">
      <c r="A93" s="83" t="s">
        <v>84</v>
      </c>
      <c r="B93" s="74">
        <v>0</v>
      </c>
      <c r="C93" s="74">
        <v>0</v>
      </c>
      <c r="D93" s="74">
        <v>0</v>
      </c>
      <c r="E93" s="74">
        <f t="shared" si="8"/>
        <v>0</v>
      </c>
      <c r="F93" s="70">
        <f t="shared" si="7"/>
        <v>0</v>
      </c>
      <c r="G93" s="74">
        <v>0</v>
      </c>
      <c r="H93" s="227"/>
    </row>
    <row r="94" spans="1:8" s="124" customFormat="1" ht="15" customHeight="1" x14ac:dyDescent="0.25">
      <c r="A94" s="97" t="s">
        <v>85</v>
      </c>
      <c r="B94" s="96">
        <v>85571.31</v>
      </c>
      <c r="C94" s="96">
        <v>152140</v>
      </c>
      <c r="D94" s="96">
        <v>88574</v>
      </c>
      <c r="E94" s="80">
        <f t="shared" si="8"/>
        <v>-63566</v>
      </c>
      <c r="F94" s="81">
        <f t="shared" si="7"/>
        <v>-0.41781254108058369</v>
      </c>
      <c r="G94" s="96">
        <v>88574</v>
      </c>
      <c r="H94" s="228"/>
    </row>
    <row r="95" spans="1:8" ht="15" customHeight="1" x14ac:dyDescent="0.25">
      <c r="A95" s="83" t="s">
        <v>86</v>
      </c>
      <c r="B95" s="74">
        <v>0</v>
      </c>
      <c r="C95" s="74">
        <v>0</v>
      </c>
      <c r="D95" s="74">
        <v>0</v>
      </c>
      <c r="E95" s="74">
        <f t="shared" si="8"/>
        <v>0</v>
      </c>
      <c r="F95" s="70">
        <f t="shared" si="7"/>
        <v>0</v>
      </c>
      <c r="G95" s="74">
        <v>0</v>
      </c>
      <c r="H95" s="227"/>
    </row>
    <row r="96" spans="1:8" s="124" customFormat="1" ht="15" customHeight="1" thickBot="1" x14ac:dyDescent="0.3">
      <c r="A96" s="195" t="s">
        <v>67</v>
      </c>
      <c r="B96" s="196">
        <v>48620311.479999997</v>
      </c>
      <c r="C96" s="196">
        <v>61828354</v>
      </c>
      <c r="D96" s="196">
        <f>D94+D90+D85+D81</f>
        <v>65550005</v>
      </c>
      <c r="E96" s="196">
        <f>D96-C96</f>
        <v>3721651</v>
      </c>
      <c r="F96" s="198">
        <f t="shared" si="7"/>
        <v>6.01932731380816E-2</v>
      </c>
      <c r="G96" s="196">
        <f>G94+G90+G85+G81</f>
        <v>65550005</v>
      </c>
      <c r="H96" s="228"/>
    </row>
    <row r="97" spans="1:9" ht="15" customHeight="1" thickTop="1" x14ac:dyDescent="0.4">
      <c r="A97" s="4"/>
      <c r="B97" s="5"/>
      <c r="C97" s="5"/>
      <c r="D97" s="5"/>
      <c r="E97" s="5"/>
      <c r="F97" s="6" t="s">
        <v>46</v>
      </c>
      <c r="G97" s="142"/>
      <c r="H97" s="142"/>
      <c r="I97" s="142"/>
    </row>
    <row r="98" spans="1:9" x14ac:dyDescent="0.25">
      <c r="A98" s="11" t="s">
        <v>197</v>
      </c>
    </row>
    <row r="99" spans="1:9" x14ac:dyDescent="0.25">
      <c r="A99" s="11" t="s">
        <v>190</v>
      </c>
    </row>
  </sheetData>
  <mergeCells count="1">
    <mergeCell ref="G2:G3"/>
  </mergeCells>
  <hyperlinks>
    <hyperlink ref="I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ULSummary</vt:lpstr>
      <vt:lpstr>ULBoard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LSUHSCS</vt:lpstr>
      <vt:lpstr>LSUHSCNO</vt:lpstr>
      <vt:lpstr>LSUAg</vt:lpstr>
      <vt:lpstr>PBRC</vt:lpstr>
      <vt:lpstr>SU Summary</vt:lpstr>
      <vt:lpstr>SUBoard</vt:lpstr>
      <vt:lpstr>SUBR</vt:lpstr>
      <vt:lpstr>SUNO</vt:lpstr>
      <vt:lpstr>SUSLA</vt:lpstr>
      <vt:lpstr>SULaw</vt:lpstr>
      <vt:lpstr>SUAg</vt:lpstr>
      <vt:lpstr>LCTCS 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LATech!Print_Area</vt:lpstr>
      <vt:lpstr>LCTCBoard!Print_Area</vt:lpstr>
      <vt:lpstr>'LCTCS Summary'!Print_Area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LSUHSCNO!Print_Area</vt:lpstr>
      <vt:lpstr>LSUHSCS!Print_Area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'SU Summary'!Print_Area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ULBoard!Print_Area</vt:lpstr>
      <vt:lpstr>ULL!Print_Area</vt:lpstr>
      <vt:lpstr>ULM!Print_Area</vt:lpstr>
      <vt:lpstr>ULSummary!Print_Area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Staff</cp:lastModifiedBy>
  <cp:lastPrinted>2020-09-25T13:08:59Z</cp:lastPrinted>
  <dcterms:created xsi:type="dcterms:W3CDTF">2013-09-10T14:36:10Z</dcterms:created>
  <dcterms:modified xsi:type="dcterms:W3CDTF">2020-11-04T18:00:25Z</dcterms:modified>
</cp:coreProperties>
</file>