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History\"/>
    </mc:Choice>
  </mc:AlternateContent>
  <xr:revisionPtr revIDLastSave="0" documentId="13_ncr:1_{2837D651-5981-4BFB-8039-9241F3581241}" xr6:coauthVersionLast="47" xr6:coauthVersionMax="47" xr10:uidLastSave="{00000000-0000-0000-0000-000000000000}"/>
  <bookViews>
    <workbookView xWindow="-120" yWindow="-120" windowWidth="29040" windowHeight="15840" firstSheet="5" activeTab="14" xr2:uid="{00000000-000D-0000-FFFF-FFFF01000000}"/>
  </bookViews>
  <sheets>
    <sheet name="FY08-09" sheetId="1" r:id="rId1"/>
    <sheet name="FY09-10" sheetId="38" r:id="rId2"/>
    <sheet name="FY10-11" sheetId="37" r:id="rId3"/>
    <sheet name="FY11-12" sheetId="36" r:id="rId4"/>
    <sheet name="FY12-13" sheetId="35" r:id="rId5"/>
    <sheet name="FY13-14" sheetId="34" r:id="rId6"/>
    <sheet name="FY14-15" sheetId="9" r:id="rId7"/>
    <sheet name="FY15-16" sheetId="40" r:id="rId8"/>
    <sheet name="FY16-17" sheetId="44" r:id="rId9"/>
    <sheet name="FY17-18" sheetId="45" r:id="rId10"/>
    <sheet name="FY18-19" sheetId="46" r:id="rId11"/>
    <sheet name="ChangeHistory09-18" sheetId="48" state="hidden" r:id="rId12"/>
    <sheet name="FY19-20" sheetId="50" r:id="rId13"/>
    <sheet name="FY20-21" sheetId="51" r:id="rId14"/>
    <sheet name="FY21-22" sheetId="52" r:id="rId15"/>
    <sheet name="ChangeHistory09-22" sheetId="42" r:id="rId16"/>
    <sheet name="ChangeFY09FY18Detail" sheetId="43" state="hidden" r:id="rId17"/>
    <sheet name="ChangeFY09FY21Detail" sheetId="47" state="hidden" r:id="rId18"/>
    <sheet name="ChangeFY09FY22Detail" sheetId="53" r:id="rId19"/>
  </sheets>
  <definedNames>
    <definedName name="_xlnm.Print_Area" localSheetId="17">ChangeFY09FY21Detail!$A$1:$L$58</definedName>
    <definedName name="_xlnm.Print_Area" localSheetId="18">ChangeFY09FY22Detail!$A$1:$K$58</definedName>
    <definedName name="_xlnm.Print_Area" localSheetId="11">'ChangeHistory09-18'!$A$2:$N$34</definedName>
    <definedName name="_xlnm.Print_Area" localSheetId="15">'ChangeHistory09-22'!$A$2:$N$42</definedName>
    <definedName name="_xlnm.Print_Area" localSheetId="0">'FY08-09'!$A$2:$M$56</definedName>
    <definedName name="_xlnm.Print_Area" localSheetId="1">'FY09-10'!$A$2:$O$56</definedName>
    <definedName name="_xlnm.Print_Area" localSheetId="2">'FY10-11'!$A$2:$O$56</definedName>
    <definedName name="_xlnm.Print_Area" localSheetId="3">'FY11-12'!$A$2:$M$56</definedName>
    <definedName name="_xlnm.Print_Area" localSheetId="4">'FY12-13'!$A$2:$M$56</definedName>
    <definedName name="_xlnm.Print_Area" localSheetId="5">'FY13-14'!$A$2:$M$56</definedName>
    <definedName name="_xlnm.Print_Area" localSheetId="6">'FY14-15'!$A$2:$M$56</definedName>
    <definedName name="_xlnm.Print_Area" localSheetId="7">'FY15-16'!$A$1:$M$56</definedName>
    <definedName name="_xlnm.Print_Area" localSheetId="8">'FY16-17'!$A$2:$M$56</definedName>
    <definedName name="_xlnm.Print_Area" localSheetId="9">'FY17-18'!$A$1:$M$56</definedName>
    <definedName name="_xlnm.Print_Area" localSheetId="10">'FY18-19'!$A$1:$M$56</definedName>
    <definedName name="_xlnm.Print_Area" localSheetId="12">'FY19-20'!$A$1:$M$56</definedName>
    <definedName name="_xlnm.Print_Area" localSheetId="13">'FY20-21'!$A$1:$O$58</definedName>
    <definedName name="_xlnm.Print_Area" localSheetId="14">'FY21-22'!$A$1:$M$58</definedName>
    <definedName name="_xlnm.Print_Titles" localSheetId="11">'ChangeHistory09-18'!$2:$3</definedName>
    <definedName name="_xlnm.Print_Titles" localSheetId="15">'ChangeHistory09-22'!$2:$3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42" l="1"/>
  <c r="M39" i="42"/>
  <c r="M38" i="42"/>
  <c r="M20" i="42"/>
  <c r="C20" i="42"/>
  <c r="M19" i="42"/>
  <c r="M18" i="42"/>
  <c r="L58" i="52"/>
  <c r="L57" i="52"/>
  <c r="L56" i="50" l="1"/>
  <c r="M58" i="51"/>
  <c r="N58" i="51"/>
  <c r="D58" i="52"/>
  <c r="G58" i="52"/>
  <c r="L6" i="52" l="1"/>
  <c r="G17" i="42"/>
  <c r="I55" i="53" l="1"/>
  <c r="G55" i="53"/>
  <c r="E55" i="53"/>
  <c r="D55" i="53"/>
  <c r="G48" i="53"/>
  <c r="I48" i="53"/>
  <c r="G49" i="53"/>
  <c r="I49" i="53"/>
  <c r="G50" i="53"/>
  <c r="I50" i="53"/>
  <c r="G51" i="53"/>
  <c r="I51" i="53"/>
  <c r="G52" i="53"/>
  <c r="I52" i="53"/>
  <c r="G53" i="53"/>
  <c r="I53" i="53"/>
  <c r="G54" i="53"/>
  <c r="I54" i="53"/>
  <c r="D48" i="53"/>
  <c r="E48" i="53"/>
  <c r="D49" i="53"/>
  <c r="E49" i="53"/>
  <c r="D50" i="53"/>
  <c r="E50" i="53"/>
  <c r="D51" i="53"/>
  <c r="E51" i="53"/>
  <c r="D52" i="53"/>
  <c r="E52" i="53"/>
  <c r="D53" i="53"/>
  <c r="E53" i="53"/>
  <c r="D54" i="53"/>
  <c r="E54" i="53"/>
  <c r="I47" i="53"/>
  <c r="G47" i="53"/>
  <c r="E47" i="53"/>
  <c r="D47" i="53"/>
  <c r="I46" i="53"/>
  <c r="G46" i="53"/>
  <c r="E46" i="53"/>
  <c r="D46" i="53"/>
  <c r="I44" i="53"/>
  <c r="I40" i="53"/>
  <c r="I41" i="53"/>
  <c r="I42" i="53"/>
  <c r="I43" i="53"/>
  <c r="I39" i="53"/>
  <c r="G19" i="53"/>
  <c r="I19" i="53"/>
  <c r="G20" i="53"/>
  <c r="I20" i="53"/>
  <c r="G21" i="53"/>
  <c r="I21" i="53"/>
  <c r="G22" i="53"/>
  <c r="I22" i="53"/>
  <c r="G23" i="53"/>
  <c r="I23" i="53"/>
  <c r="D19" i="53"/>
  <c r="E19" i="53"/>
  <c r="D20" i="53"/>
  <c r="E20" i="53"/>
  <c r="D21" i="53"/>
  <c r="E21" i="53"/>
  <c r="D22" i="53"/>
  <c r="E22" i="53"/>
  <c r="D23" i="53"/>
  <c r="E23" i="53"/>
  <c r="I18" i="53"/>
  <c r="G18" i="53"/>
  <c r="E18" i="53"/>
  <c r="D18" i="53"/>
  <c r="I17" i="53"/>
  <c r="G17" i="53"/>
  <c r="E17" i="53"/>
  <c r="D17" i="53"/>
  <c r="I16" i="53"/>
  <c r="G16" i="53"/>
  <c r="E16" i="53"/>
  <c r="D16" i="53"/>
  <c r="G11" i="53"/>
  <c r="I11" i="53"/>
  <c r="G12" i="53"/>
  <c r="I12" i="53"/>
  <c r="G13" i="53"/>
  <c r="I13" i="53"/>
  <c r="G14" i="53"/>
  <c r="I14" i="53"/>
  <c r="G15" i="53"/>
  <c r="I15" i="53"/>
  <c r="I8" i="53"/>
  <c r="I7" i="53"/>
  <c r="I6" i="53"/>
  <c r="G44" i="53"/>
  <c r="E44" i="53"/>
  <c r="D44" i="53"/>
  <c r="G43" i="53"/>
  <c r="G41" i="53"/>
  <c r="G42" i="53"/>
  <c r="D41" i="53"/>
  <c r="E41" i="53"/>
  <c r="D42" i="53"/>
  <c r="E42" i="53"/>
  <c r="D43" i="53"/>
  <c r="E43" i="53"/>
  <c r="G40" i="53"/>
  <c r="E40" i="53"/>
  <c r="D40" i="53"/>
  <c r="G39" i="53"/>
  <c r="E39" i="53"/>
  <c r="D39" i="53"/>
  <c r="I37" i="53"/>
  <c r="G37" i="53"/>
  <c r="E37" i="53"/>
  <c r="D37" i="53"/>
  <c r="G28" i="53"/>
  <c r="I28" i="53"/>
  <c r="G29" i="53"/>
  <c r="I29" i="53"/>
  <c r="G30" i="53"/>
  <c r="I30" i="53"/>
  <c r="G31" i="53"/>
  <c r="I31" i="53"/>
  <c r="G32" i="53"/>
  <c r="I32" i="53"/>
  <c r="G33" i="53"/>
  <c r="I33" i="53"/>
  <c r="G34" i="53"/>
  <c r="I34" i="53"/>
  <c r="G35" i="53"/>
  <c r="I35" i="53"/>
  <c r="G36" i="53"/>
  <c r="I36" i="53"/>
  <c r="D28" i="53"/>
  <c r="E28" i="53"/>
  <c r="D29" i="53"/>
  <c r="E29" i="53"/>
  <c r="D30" i="53"/>
  <c r="E30" i="53"/>
  <c r="D31" i="53"/>
  <c r="E31" i="53"/>
  <c r="D32" i="53"/>
  <c r="E32" i="53"/>
  <c r="D33" i="53"/>
  <c r="E33" i="53"/>
  <c r="D34" i="53"/>
  <c r="E34" i="53"/>
  <c r="D35" i="53"/>
  <c r="E35" i="53"/>
  <c r="D36" i="53"/>
  <c r="E36" i="53"/>
  <c r="I27" i="53"/>
  <c r="G27" i="53"/>
  <c r="E27" i="53"/>
  <c r="D27" i="53"/>
  <c r="I26" i="53"/>
  <c r="G26" i="53"/>
  <c r="E26" i="53"/>
  <c r="D26" i="53"/>
  <c r="I24" i="53"/>
  <c r="G24" i="53"/>
  <c r="E24" i="53"/>
  <c r="D24" i="53"/>
  <c r="D11" i="53"/>
  <c r="E11" i="53"/>
  <c r="D12" i="53"/>
  <c r="E12" i="53"/>
  <c r="D13" i="53"/>
  <c r="E13" i="53"/>
  <c r="D14" i="53"/>
  <c r="E14" i="53"/>
  <c r="D15" i="53"/>
  <c r="E15" i="53"/>
  <c r="I10" i="53"/>
  <c r="G10" i="53"/>
  <c r="E10" i="53"/>
  <c r="D10" i="53"/>
  <c r="I9" i="53"/>
  <c r="G9" i="53"/>
  <c r="E9" i="53"/>
  <c r="D9" i="53"/>
  <c r="G8" i="53"/>
  <c r="E8" i="53"/>
  <c r="D8" i="53"/>
  <c r="G7" i="53"/>
  <c r="E7" i="53"/>
  <c r="D7" i="53"/>
  <c r="G6" i="53"/>
  <c r="E6" i="53"/>
  <c r="D6" i="53"/>
  <c r="G56" i="53" l="1"/>
  <c r="G38" i="53"/>
  <c r="E38" i="53"/>
  <c r="D38" i="53"/>
  <c r="I38" i="53"/>
  <c r="I56" i="53"/>
  <c r="D56" i="53"/>
  <c r="E56" i="53"/>
  <c r="D45" i="53"/>
  <c r="G45" i="53"/>
  <c r="E45" i="53"/>
  <c r="I45" i="53"/>
  <c r="I25" i="53"/>
  <c r="E25" i="53"/>
  <c r="G25" i="53"/>
  <c r="D25" i="53"/>
  <c r="F6" i="52"/>
  <c r="F7" i="52"/>
  <c r="F7" i="53" s="1"/>
  <c r="F8" i="52"/>
  <c r="F8" i="53" s="1"/>
  <c r="F9" i="52"/>
  <c r="F9" i="53" s="1"/>
  <c r="F10" i="52"/>
  <c r="F11" i="52"/>
  <c r="F11" i="53" s="1"/>
  <c r="F12" i="52"/>
  <c r="F12" i="53" s="1"/>
  <c r="F13" i="52"/>
  <c r="F13" i="53" s="1"/>
  <c r="F14" i="52"/>
  <c r="F14" i="53" s="1"/>
  <c r="F15" i="52"/>
  <c r="F15" i="53" s="1"/>
  <c r="F16" i="52"/>
  <c r="F16" i="53" s="1"/>
  <c r="F17" i="52"/>
  <c r="F17" i="53" s="1"/>
  <c r="F18" i="52"/>
  <c r="F18" i="53" s="1"/>
  <c r="F19" i="52"/>
  <c r="F19" i="53" s="1"/>
  <c r="F20" i="52"/>
  <c r="F20" i="53" s="1"/>
  <c r="F21" i="52"/>
  <c r="F21" i="53" s="1"/>
  <c r="F22" i="52"/>
  <c r="F22" i="53" s="1"/>
  <c r="F23" i="52"/>
  <c r="F23" i="53" s="1"/>
  <c r="F24" i="52"/>
  <c r="F24" i="53" s="1"/>
  <c r="F26" i="52"/>
  <c r="F26" i="53" s="1"/>
  <c r="F27" i="52"/>
  <c r="F27" i="53" s="1"/>
  <c r="F28" i="52"/>
  <c r="F28" i="53" s="1"/>
  <c r="F29" i="52"/>
  <c r="F29" i="53" s="1"/>
  <c r="F30" i="52"/>
  <c r="F30" i="53" s="1"/>
  <c r="F31" i="52"/>
  <c r="F31" i="53" s="1"/>
  <c r="F32" i="52"/>
  <c r="F32" i="53" s="1"/>
  <c r="F33" i="52"/>
  <c r="F33" i="53" s="1"/>
  <c r="F34" i="52"/>
  <c r="F34" i="53" s="1"/>
  <c r="F35" i="52"/>
  <c r="F35" i="53" s="1"/>
  <c r="F36" i="52"/>
  <c r="F36" i="53" s="1"/>
  <c r="F37" i="52"/>
  <c r="F37" i="53" s="1"/>
  <c r="F39" i="52"/>
  <c r="F39" i="53" s="1"/>
  <c r="F40" i="52"/>
  <c r="F40" i="53" s="1"/>
  <c r="F41" i="52"/>
  <c r="F41" i="53" s="1"/>
  <c r="F42" i="52"/>
  <c r="F42" i="53" s="1"/>
  <c r="F43" i="52"/>
  <c r="F43" i="53" s="1"/>
  <c r="F44" i="52"/>
  <c r="F44" i="53" s="1"/>
  <c r="F46" i="52"/>
  <c r="F46" i="53" s="1"/>
  <c r="F47" i="52"/>
  <c r="F47" i="53" s="1"/>
  <c r="F48" i="52"/>
  <c r="F48" i="53" s="1"/>
  <c r="F49" i="52"/>
  <c r="F49" i="53" s="1"/>
  <c r="F50" i="52"/>
  <c r="F50" i="53" s="1"/>
  <c r="F51" i="52"/>
  <c r="F51" i="53" s="1"/>
  <c r="F52" i="52"/>
  <c r="F52" i="53" s="1"/>
  <c r="F53" i="52"/>
  <c r="F53" i="53" s="1"/>
  <c r="F54" i="52"/>
  <c r="F54" i="53" s="1"/>
  <c r="F55" i="52"/>
  <c r="F55" i="53" s="1"/>
  <c r="F10" i="53" l="1"/>
  <c r="F6" i="53"/>
  <c r="J48" i="53"/>
  <c r="F56" i="53"/>
  <c r="F45" i="53"/>
  <c r="F38" i="53"/>
  <c r="F25" i="53"/>
  <c r="K56" i="52"/>
  <c r="I56" i="52"/>
  <c r="H56" i="52"/>
  <c r="G56" i="52"/>
  <c r="E56" i="52"/>
  <c r="D56" i="52"/>
  <c r="J55" i="52"/>
  <c r="H55" i="53" s="1"/>
  <c r="J55" i="53" s="1"/>
  <c r="J54" i="52"/>
  <c r="H54" i="53" s="1"/>
  <c r="J54" i="53" s="1"/>
  <c r="J53" i="52"/>
  <c r="H53" i="53" s="1"/>
  <c r="J53" i="53" s="1"/>
  <c r="J52" i="52"/>
  <c r="H52" i="53" s="1"/>
  <c r="J52" i="53" s="1"/>
  <c r="J51" i="52"/>
  <c r="H51" i="53" s="1"/>
  <c r="J51" i="53" s="1"/>
  <c r="J50" i="52"/>
  <c r="H50" i="53" s="1"/>
  <c r="J50" i="53" s="1"/>
  <c r="J49" i="52"/>
  <c r="H49" i="53" s="1"/>
  <c r="J49" i="53" s="1"/>
  <c r="J48" i="52"/>
  <c r="H48" i="53" s="1"/>
  <c r="J47" i="52"/>
  <c r="H47" i="53" s="1"/>
  <c r="J47" i="53" s="1"/>
  <c r="J46" i="52"/>
  <c r="H46" i="53" s="1"/>
  <c r="J46" i="53" s="1"/>
  <c r="K45" i="52"/>
  <c r="I45" i="52"/>
  <c r="H45" i="52"/>
  <c r="G45" i="52"/>
  <c r="F45" i="52"/>
  <c r="E45" i="52"/>
  <c r="D45" i="52"/>
  <c r="J44" i="52"/>
  <c r="J43" i="52"/>
  <c r="H43" i="53" s="1"/>
  <c r="J43" i="53" s="1"/>
  <c r="J42" i="52"/>
  <c r="J41" i="52"/>
  <c r="H41" i="53" s="1"/>
  <c r="J41" i="53" s="1"/>
  <c r="J40" i="52"/>
  <c r="J39" i="52"/>
  <c r="H39" i="53" s="1"/>
  <c r="J39" i="53" s="1"/>
  <c r="K38" i="52"/>
  <c r="I38" i="52"/>
  <c r="H38" i="52"/>
  <c r="G38" i="52"/>
  <c r="F38" i="52"/>
  <c r="E38" i="52"/>
  <c r="D38" i="52"/>
  <c r="J37" i="52"/>
  <c r="H37" i="53" s="1"/>
  <c r="J37" i="53" s="1"/>
  <c r="J36" i="52"/>
  <c r="H36" i="53" s="1"/>
  <c r="J36" i="53" s="1"/>
  <c r="J35" i="52"/>
  <c r="H35" i="53" s="1"/>
  <c r="J35" i="53" s="1"/>
  <c r="J34" i="52"/>
  <c r="H34" i="53" s="1"/>
  <c r="J34" i="53" s="1"/>
  <c r="J33" i="52"/>
  <c r="H33" i="53" s="1"/>
  <c r="J33" i="53" s="1"/>
  <c r="J32" i="52"/>
  <c r="H32" i="53" s="1"/>
  <c r="J32" i="53" s="1"/>
  <c r="J31" i="52"/>
  <c r="H31" i="53" s="1"/>
  <c r="J31" i="53" s="1"/>
  <c r="J30" i="52"/>
  <c r="H30" i="53" s="1"/>
  <c r="J30" i="53" s="1"/>
  <c r="J29" i="52"/>
  <c r="H29" i="53" s="1"/>
  <c r="J29" i="53" s="1"/>
  <c r="J28" i="52"/>
  <c r="H28" i="53" s="1"/>
  <c r="J28" i="53" s="1"/>
  <c r="J27" i="52"/>
  <c r="H27" i="53" s="1"/>
  <c r="J27" i="53" s="1"/>
  <c r="J26" i="52"/>
  <c r="H26" i="53" s="1"/>
  <c r="J26" i="53" s="1"/>
  <c r="K25" i="52"/>
  <c r="I25" i="52"/>
  <c r="H25" i="52"/>
  <c r="G25" i="52"/>
  <c r="E25" i="52"/>
  <c r="D25" i="52"/>
  <c r="J24" i="52"/>
  <c r="H24" i="53" s="1"/>
  <c r="J24" i="53" s="1"/>
  <c r="J23" i="52"/>
  <c r="H23" i="53" s="1"/>
  <c r="J23" i="53" s="1"/>
  <c r="J22" i="52"/>
  <c r="H22" i="53" s="1"/>
  <c r="J22" i="53" s="1"/>
  <c r="J21" i="52"/>
  <c r="H21" i="53" s="1"/>
  <c r="J21" i="53" s="1"/>
  <c r="J20" i="52"/>
  <c r="H20" i="53" s="1"/>
  <c r="J20" i="53" s="1"/>
  <c r="J19" i="52"/>
  <c r="H19" i="53" s="1"/>
  <c r="J19" i="53" s="1"/>
  <c r="J18" i="52"/>
  <c r="H18" i="53" s="1"/>
  <c r="J18" i="53" s="1"/>
  <c r="J17" i="52"/>
  <c r="H17" i="53" s="1"/>
  <c r="J17" i="53" s="1"/>
  <c r="J16" i="52"/>
  <c r="H16" i="53" s="1"/>
  <c r="J16" i="53" s="1"/>
  <c r="J15" i="52"/>
  <c r="H15" i="53" s="1"/>
  <c r="J15" i="53" s="1"/>
  <c r="J14" i="52"/>
  <c r="H14" i="53" s="1"/>
  <c r="J14" i="53" s="1"/>
  <c r="J13" i="52"/>
  <c r="H13" i="53" s="1"/>
  <c r="J13" i="53" s="1"/>
  <c r="J12" i="52"/>
  <c r="H12" i="53" s="1"/>
  <c r="J12" i="53" s="1"/>
  <c r="J11" i="52"/>
  <c r="H11" i="53" s="1"/>
  <c r="J11" i="53" s="1"/>
  <c r="J10" i="52"/>
  <c r="H10" i="53" s="1"/>
  <c r="J10" i="53" s="1"/>
  <c r="J9" i="52"/>
  <c r="H9" i="53" s="1"/>
  <c r="J8" i="52"/>
  <c r="H8" i="53" s="1"/>
  <c r="J8" i="53" s="1"/>
  <c r="J7" i="52"/>
  <c r="H7" i="53" s="1"/>
  <c r="J7" i="53" s="1"/>
  <c r="J6" i="52"/>
  <c r="H6" i="53" s="1"/>
  <c r="J6" i="53" s="1"/>
  <c r="D57" i="40"/>
  <c r="L10" i="52" l="1"/>
  <c r="H25" i="53"/>
  <c r="J38" i="53"/>
  <c r="L40" i="52"/>
  <c r="H40" i="53"/>
  <c r="J40" i="53" s="1"/>
  <c r="L44" i="52"/>
  <c r="H44" i="53"/>
  <c r="J44" i="53" s="1"/>
  <c r="J56" i="53"/>
  <c r="H56" i="53"/>
  <c r="J9" i="53"/>
  <c r="J25" i="53" s="1"/>
  <c r="L42" i="52"/>
  <c r="H42" i="53"/>
  <c r="J42" i="53" s="1"/>
  <c r="H38" i="53"/>
  <c r="J25" i="52"/>
  <c r="L31" i="52"/>
  <c r="L41" i="52"/>
  <c r="L39" i="52"/>
  <c r="J38" i="52"/>
  <c r="L35" i="52"/>
  <c r="L33" i="52"/>
  <c r="L29" i="52"/>
  <c r="L27" i="52"/>
  <c r="L32" i="52"/>
  <c r="L34" i="52"/>
  <c r="L37" i="52"/>
  <c r="L43" i="52"/>
  <c r="J56" i="52"/>
  <c r="J45" i="52"/>
  <c r="L45" i="52" s="1"/>
  <c r="K57" i="52"/>
  <c r="L26" i="52"/>
  <c r="L28" i="52"/>
  <c r="L30" i="52"/>
  <c r="L36" i="52"/>
  <c r="G57" i="52"/>
  <c r="E57" i="52"/>
  <c r="H57" i="52"/>
  <c r="H58" i="52" s="1"/>
  <c r="D57" i="52"/>
  <c r="I57" i="52"/>
  <c r="I58" i="52" s="1"/>
  <c r="I38" i="42" s="1"/>
  <c r="I40" i="42" s="1"/>
  <c r="L7" i="52"/>
  <c r="L8" i="52"/>
  <c r="L9" i="52"/>
  <c r="L11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F25" i="52"/>
  <c r="L46" i="52"/>
  <c r="L47" i="52"/>
  <c r="L48" i="52"/>
  <c r="L49" i="52"/>
  <c r="L50" i="52"/>
  <c r="L51" i="52"/>
  <c r="L52" i="52"/>
  <c r="L53" i="52"/>
  <c r="L54" i="52"/>
  <c r="L55" i="52"/>
  <c r="F56" i="52"/>
  <c r="D57" i="37"/>
  <c r="D58" i="38"/>
  <c r="H45" i="53" l="1"/>
  <c r="J45" i="53"/>
  <c r="K58" i="52"/>
  <c r="L18" i="42"/>
  <c r="L20" i="42" s="1"/>
  <c r="K18" i="42"/>
  <c r="I57" i="53"/>
  <c r="L19" i="42"/>
  <c r="E58" i="52"/>
  <c r="D18" i="42"/>
  <c r="D20" i="42" s="1"/>
  <c r="D19" i="42"/>
  <c r="E57" i="53"/>
  <c r="G19" i="42"/>
  <c r="G18" i="42"/>
  <c r="G20" i="42" s="1"/>
  <c r="G57" i="53"/>
  <c r="C18" i="42"/>
  <c r="D57" i="53"/>
  <c r="C19" i="42"/>
  <c r="H19" i="42"/>
  <c r="L38" i="52"/>
  <c r="J57" i="52"/>
  <c r="L25" i="52"/>
  <c r="F57" i="52"/>
  <c r="L56" i="52"/>
  <c r="D25" i="51"/>
  <c r="K47" i="47"/>
  <c r="F46" i="47"/>
  <c r="G46" i="47"/>
  <c r="H46" i="47"/>
  <c r="I46" i="47"/>
  <c r="J46" i="47"/>
  <c r="K46" i="47"/>
  <c r="F48" i="47"/>
  <c r="G48" i="47"/>
  <c r="H48" i="47"/>
  <c r="I48" i="47"/>
  <c r="J48" i="47"/>
  <c r="K48" i="47"/>
  <c r="F57" i="47"/>
  <c r="G57" i="47"/>
  <c r="H57" i="47"/>
  <c r="I57" i="47"/>
  <c r="J57" i="47"/>
  <c r="K57" i="47"/>
  <c r="F54" i="47"/>
  <c r="G54" i="47"/>
  <c r="H54" i="47"/>
  <c r="I54" i="47"/>
  <c r="J54" i="47"/>
  <c r="K54" i="47"/>
  <c r="D57" i="51"/>
  <c r="D58" i="51"/>
  <c r="F58" i="51"/>
  <c r="F58" i="47"/>
  <c r="E58" i="47"/>
  <c r="D58" i="47"/>
  <c r="E57" i="47"/>
  <c r="D57" i="47"/>
  <c r="F55" i="47"/>
  <c r="E55" i="47"/>
  <c r="D55" i="47"/>
  <c r="E54" i="47"/>
  <c r="D54" i="47"/>
  <c r="F53" i="47"/>
  <c r="E53" i="47"/>
  <c r="D53" i="47"/>
  <c r="F52" i="47"/>
  <c r="E52" i="47"/>
  <c r="D52" i="47"/>
  <c r="F51" i="47"/>
  <c r="E51" i="47"/>
  <c r="D51" i="47"/>
  <c r="F50" i="47"/>
  <c r="E50" i="47"/>
  <c r="D50" i="47"/>
  <c r="F49" i="47"/>
  <c r="E49" i="47"/>
  <c r="D49" i="47"/>
  <c r="E48" i="47"/>
  <c r="D48" i="47"/>
  <c r="F47" i="47"/>
  <c r="E47" i="47"/>
  <c r="D47" i="47"/>
  <c r="E46" i="47"/>
  <c r="D46" i="47"/>
  <c r="D40" i="47"/>
  <c r="E40" i="47"/>
  <c r="F40" i="47"/>
  <c r="D41" i="47"/>
  <c r="E41" i="47"/>
  <c r="F41" i="47"/>
  <c r="D42" i="47"/>
  <c r="E42" i="47"/>
  <c r="F42" i="47"/>
  <c r="D43" i="47"/>
  <c r="E43" i="47"/>
  <c r="F43" i="47"/>
  <c r="D44" i="47"/>
  <c r="E44" i="47"/>
  <c r="F44" i="47"/>
  <c r="F39" i="47"/>
  <c r="E39" i="47"/>
  <c r="D39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D9" i="47"/>
  <c r="D10" i="47"/>
  <c r="D11" i="47"/>
  <c r="D12" i="47"/>
  <c r="D13" i="47"/>
  <c r="D14" i="47"/>
  <c r="D15" i="47"/>
  <c r="D16" i="47"/>
  <c r="D17" i="47"/>
  <c r="D18" i="47"/>
  <c r="D19" i="47"/>
  <c r="D20" i="47"/>
  <c r="D21" i="47"/>
  <c r="D22" i="47"/>
  <c r="D23" i="47"/>
  <c r="D24" i="47"/>
  <c r="D25" i="47"/>
  <c r="G58" i="47"/>
  <c r="H58" i="47"/>
  <c r="I58" i="47"/>
  <c r="J58" i="47"/>
  <c r="K58" i="47"/>
  <c r="G47" i="47"/>
  <c r="H47" i="47"/>
  <c r="I47" i="47"/>
  <c r="J47" i="47"/>
  <c r="G49" i="47"/>
  <c r="H49" i="47"/>
  <c r="I49" i="47"/>
  <c r="J49" i="47"/>
  <c r="K49" i="47"/>
  <c r="G50" i="47"/>
  <c r="H50" i="47"/>
  <c r="I50" i="47"/>
  <c r="J50" i="47"/>
  <c r="K50" i="47"/>
  <c r="G51" i="47"/>
  <c r="H51" i="47"/>
  <c r="I51" i="47"/>
  <c r="J51" i="47"/>
  <c r="K51" i="47"/>
  <c r="G52" i="47"/>
  <c r="H52" i="47"/>
  <c r="I52" i="47"/>
  <c r="J52" i="47"/>
  <c r="K52" i="47"/>
  <c r="G53" i="47"/>
  <c r="H53" i="47"/>
  <c r="I53" i="47"/>
  <c r="J53" i="47"/>
  <c r="K53" i="47"/>
  <c r="G55" i="47"/>
  <c r="H55" i="47"/>
  <c r="I55" i="47"/>
  <c r="J55" i="47"/>
  <c r="K55" i="47"/>
  <c r="G40" i="47"/>
  <c r="H40" i="47"/>
  <c r="I40" i="47"/>
  <c r="J40" i="47"/>
  <c r="K40" i="47"/>
  <c r="G41" i="47"/>
  <c r="H41" i="47"/>
  <c r="I41" i="47"/>
  <c r="J41" i="47"/>
  <c r="K41" i="47"/>
  <c r="G42" i="47"/>
  <c r="H42" i="47"/>
  <c r="I42" i="47"/>
  <c r="J42" i="47"/>
  <c r="K42" i="47"/>
  <c r="G43" i="47"/>
  <c r="H43" i="47"/>
  <c r="I43" i="47"/>
  <c r="J43" i="47"/>
  <c r="K43" i="47"/>
  <c r="G44" i="47"/>
  <c r="H44" i="47"/>
  <c r="I44" i="47"/>
  <c r="J44" i="47"/>
  <c r="K44" i="47"/>
  <c r="G39" i="47"/>
  <c r="H39" i="47"/>
  <c r="I39" i="47"/>
  <c r="J39" i="47"/>
  <c r="K39" i="47"/>
  <c r="F37" i="47"/>
  <c r="G37" i="47"/>
  <c r="H37" i="47"/>
  <c r="I37" i="47"/>
  <c r="J37" i="47"/>
  <c r="K37" i="47"/>
  <c r="F27" i="47"/>
  <c r="G27" i="47"/>
  <c r="H27" i="47"/>
  <c r="I27" i="47"/>
  <c r="J27" i="47"/>
  <c r="K27" i="47"/>
  <c r="F28" i="47"/>
  <c r="G28" i="47"/>
  <c r="H28" i="47"/>
  <c r="I28" i="47"/>
  <c r="J28" i="47"/>
  <c r="K28" i="47"/>
  <c r="F29" i="47"/>
  <c r="G29" i="47"/>
  <c r="H29" i="47"/>
  <c r="I29" i="47"/>
  <c r="J29" i="47"/>
  <c r="K29" i="47"/>
  <c r="F30" i="47"/>
  <c r="G30" i="47"/>
  <c r="H30" i="47"/>
  <c r="I30" i="47"/>
  <c r="J30" i="47"/>
  <c r="K30" i="47"/>
  <c r="F31" i="47"/>
  <c r="G31" i="47"/>
  <c r="H31" i="47"/>
  <c r="I31" i="47"/>
  <c r="J31" i="47"/>
  <c r="K31" i="47"/>
  <c r="F32" i="47"/>
  <c r="G32" i="47"/>
  <c r="H32" i="47"/>
  <c r="I32" i="47"/>
  <c r="J32" i="47"/>
  <c r="K32" i="47"/>
  <c r="F33" i="47"/>
  <c r="G33" i="47"/>
  <c r="H33" i="47"/>
  <c r="I33" i="47"/>
  <c r="J33" i="47"/>
  <c r="K33" i="47"/>
  <c r="F34" i="47"/>
  <c r="G34" i="47"/>
  <c r="H34" i="47"/>
  <c r="I34" i="47"/>
  <c r="J34" i="47"/>
  <c r="K34" i="47"/>
  <c r="F35" i="47"/>
  <c r="G35" i="47"/>
  <c r="H35" i="47"/>
  <c r="I35" i="47"/>
  <c r="J35" i="47"/>
  <c r="K35" i="47"/>
  <c r="F36" i="47"/>
  <c r="G36" i="47"/>
  <c r="H36" i="47"/>
  <c r="I36" i="47"/>
  <c r="J36" i="47"/>
  <c r="K36" i="47"/>
  <c r="F26" i="47"/>
  <c r="G26" i="47"/>
  <c r="H26" i="47"/>
  <c r="I26" i="47"/>
  <c r="J26" i="47"/>
  <c r="K26" i="47"/>
  <c r="F11" i="47"/>
  <c r="G11" i="47"/>
  <c r="H11" i="47"/>
  <c r="I11" i="47"/>
  <c r="J11" i="47"/>
  <c r="K11" i="47"/>
  <c r="F12" i="47"/>
  <c r="G12" i="47"/>
  <c r="H12" i="47"/>
  <c r="I12" i="47"/>
  <c r="J12" i="47"/>
  <c r="K12" i="47"/>
  <c r="F13" i="47"/>
  <c r="G13" i="47"/>
  <c r="H13" i="47"/>
  <c r="I13" i="47"/>
  <c r="J13" i="47"/>
  <c r="K13" i="47"/>
  <c r="F14" i="47"/>
  <c r="G14" i="47"/>
  <c r="H14" i="47"/>
  <c r="I14" i="47"/>
  <c r="J14" i="47"/>
  <c r="K14" i="47"/>
  <c r="F15" i="47"/>
  <c r="G15" i="47"/>
  <c r="H15" i="47"/>
  <c r="I15" i="47"/>
  <c r="J15" i="47"/>
  <c r="K15" i="47"/>
  <c r="E16" i="47"/>
  <c r="F16" i="47"/>
  <c r="G16" i="47"/>
  <c r="K16" i="47"/>
  <c r="E17" i="47"/>
  <c r="F17" i="47"/>
  <c r="G17" i="47"/>
  <c r="K17" i="47"/>
  <c r="F18" i="47"/>
  <c r="G18" i="47"/>
  <c r="H18" i="47"/>
  <c r="I18" i="47"/>
  <c r="J18" i="47"/>
  <c r="K18" i="47"/>
  <c r="F19" i="47"/>
  <c r="G19" i="47"/>
  <c r="H19" i="47"/>
  <c r="I19" i="47"/>
  <c r="J19" i="47"/>
  <c r="K19" i="47"/>
  <c r="F20" i="47"/>
  <c r="G20" i="47"/>
  <c r="H20" i="47"/>
  <c r="I20" i="47"/>
  <c r="J20" i="47"/>
  <c r="K20" i="47"/>
  <c r="F21" i="47"/>
  <c r="G21" i="47"/>
  <c r="H21" i="47"/>
  <c r="I21" i="47"/>
  <c r="J21" i="47"/>
  <c r="K21" i="47"/>
  <c r="F22" i="47"/>
  <c r="G22" i="47"/>
  <c r="H22" i="47"/>
  <c r="I22" i="47"/>
  <c r="J22" i="47"/>
  <c r="K22" i="47"/>
  <c r="F23" i="47"/>
  <c r="G23" i="47"/>
  <c r="H23" i="47"/>
  <c r="I23" i="47"/>
  <c r="J23" i="47"/>
  <c r="K23" i="47"/>
  <c r="F24" i="47"/>
  <c r="G24" i="47"/>
  <c r="H24" i="47"/>
  <c r="I24" i="47"/>
  <c r="J24" i="47"/>
  <c r="K24" i="47"/>
  <c r="F10" i="47"/>
  <c r="G10" i="47"/>
  <c r="H10" i="47"/>
  <c r="I10" i="47"/>
  <c r="J10" i="47"/>
  <c r="K10" i="47"/>
  <c r="F9" i="47"/>
  <c r="G9" i="47"/>
  <c r="H9" i="47"/>
  <c r="I9" i="47"/>
  <c r="J9" i="47"/>
  <c r="K9" i="47"/>
  <c r="F7" i="47"/>
  <c r="H7" i="47"/>
  <c r="I7" i="47"/>
  <c r="J7" i="47"/>
  <c r="K7" i="47"/>
  <c r="F8" i="47"/>
  <c r="H8" i="47"/>
  <c r="I8" i="47"/>
  <c r="J8" i="47"/>
  <c r="K8" i="47"/>
  <c r="F6" i="47"/>
  <c r="G6" i="47"/>
  <c r="H6" i="47"/>
  <c r="I6" i="47"/>
  <c r="J6" i="47"/>
  <c r="K6" i="47"/>
  <c r="G56" i="47"/>
  <c r="G45" i="47"/>
  <c r="G38" i="47"/>
  <c r="G25" i="47"/>
  <c r="E37" i="47"/>
  <c r="E27" i="47"/>
  <c r="E28" i="47"/>
  <c r="E29" i="47"/>
  <c r="E30" i="47"/>
  <c r="E31" i="47"/>
  <c r="E32" i="47"/>
  <c r="E33" i="47"/>
  <c r="E34" i="47"/>
  <c r="E35" i="47"/>
  <c r="E36" i="47"/>
  <c r="E26" i="47"/>
  <c r="E24" i="47"/>
  <c r="E19" i="47"/>
  <c r="E20" i="47"/>
  <c r="E21" i="47"/>
  <c r="E22" i="47"/>
  <c r="E23" i="47"/>
  <c r="E18" i="47"/>
  <c r="E11" i="47"/>
  <c r="E12" i="47"/>
  <c r="E13" i="47"/>
  <c r="E14" i="47"/>
  <c r="E15" i="47"/>
  <c r="E10" i="47"/>
  <c r="E9" i="47"/>
  <c r="D7" i="47"/>
  <c r="E7" i="47"/>
  <c r="D8" i="47"/>
  <c r="E8" i="47"/>
  <c r="E6" i="47"/>
  <c r="D6" i="47"/>
  <c r="M37" i="42"/>
  <c r="L37" i="42"/>
  <c r="I37" i="42"/>
  <c r="H37" i="42"/>
  <c r="G37" i="42"/>
  <c r="F37" i="42"/>
  <c r="E37" i="42"/>
  <c r="D37" i="42"/>
  <c r="G58" i="51"/>
  <c r="C37" i="42"/>
  <c r="M6" i="42"/>
  <c r="M7" i="42"/>
  <c r="M8" i="42"/>
  <c r="M9" i="42"/>
  <c r="M10" i="42"/>
  <c r="M11" i="42"/>
  <c r="M12" i="42"/>
  <c r="M13" i="42"/>
  <c r="M14" i="42"/>
  <c r="M15" i="42"/>
  <c r="M16" i="42"/>
  <c r="H56" i="51"/>
  <c r="H57" i="51"/>
  <c r="K54" i="51"/>
  <c r="K56" i="51"/>
  <c r="K57" i="51"/>
  <c r="N57" i="51"/>
  <c r="M17" i="42"/>
  <c r="L6" i="42"/>
  <c r="L7" i="42"/>
  <c r="L8" i="42"/>
  <c r="L9" i="42"/>
  <c r="L10" i="42"/>
  <c r="L11" i="42"/>
  <c r="L12" i="42"/>
  <c r="L13" i="42"/>
  <c r="L14" i="42"/>
  <c r="L15" i="42"/>
  <c r="L16" i="42"/>
  <c r="L17" i="42"/>
  <c r="I6" i="42"/>
  <c r="I7" i="42"/>
  <c r="I8" i="42"/>
  <c r="I9" i="42"/>
  <c r="I10" i="42"/>
  <c r="I11" i="42"/>
  <c r="I12" i="42"/>
  <c r="I13" i="42"/>
  <c r="I14" i="42"/>
  <c r="I15" i="42"/>
  <c r="I16" i="42"/>
  <c r="I17" i="42"/>
  <c r="F6" i="42"/>
  <c r="G6" i="42"/>
  <c r="F7" i="42"/>
  <c r="G7" i="42"/>
  <c r="G8" i="42"/>
  <c r="H8" i="42"/>
  <c r="G9" i="42"/>
  <c r="H9" i="42" s="1"/>
  <c r="G10" i="42"/>
  <c r="H10" i="42" s="1"/>
  <c r="G11" i="42"/>
  <c r="H11" i="42" s="1"/>
  <c r="G12" i="42"/>
  <c r="H12" i="42"/>
  <c r="G13" i="42"/>
  <c r="H13" i="42" s="1"/>
  <c r="G14" i="42"/>
  <c r="H14" i="42"/>
  <c r="G15" i="42"/>
  <c r="H15" i="42" s="1"/>
  <c r="G16" i="42"/>
  <c r="H16" i="42"/>
  <c r="F17" i="42"/>
  <c r="E6" i="42"/>
  <c r="E7" i="42"/>
  <c r="E8" i="42"/>
  <c r="E9" i="42"/>
  <c r="E10" i="42"/>
  <c r="E11" i="42"/>
  <c r="E12" i="42"/>
  <c r="E13" i="42"/>
  <c r="E14" i="42"/>
  <c r="E15" i="42"/>
  <c r="E16" i="42"/>
  <c r="E17" i="42"/>
  <c r="D6" i="42"/>
  <c r="D7" i="42"/>
  <c r="D8" i="42"/>
  <c r="D9" i="42"/>
  <c r="D10" i="42"/>
  <c r="D11" i="42"/>
  <c r="D12" i="42"/>
  <c r="D13" i="42"/>
  <c r="D14" i="42"/>
  <c r="D15" i="42"/>
  <c r="D16" i="42"/>
  <c r="D17" i="42"/>
  <c r="C6" i="42"/>
  <c r="C7" i="42"/>
  <c r="C8" i="42"/>
  <c r="C9" i="42"/>
  <c r="C10" i="42"/>
  <c r="C11" i="42"/>
  <c r="C12" i="42"/>
  <c r="C13" i="42"/>
  <c r="C14" i="42"/>
  <c r="C15" i="42"/>
  <c r="C16" i="42"/>
  <c r="C17" i="42"/>
  <c r="H58" i="51"/>
  <c r="K58" i="51"/>
  <c r="M57" i="51"/>
  <c r="M6" i="51"/>
  <c r="M8" i="51"/>
  <c r="N8" i="51"/>
  <c r="N25" i="51"/>
  <c r="N26" i="51"/>
  <c r="N27" i="51"/>
  <c r="N28" i="51"/>
  <c r="N29" i="51"/>
  <c r="N30" i="51"/>
  <c r="N31" i="51"/>
  <c r="N32" i="51"/>
  <c r="K33" i="51"/>
  <c r="N33" i="51"/>
  <c r="N34" i="51"/>
  <c r="F35" i="51"/>
  <c r="K35" i="51"/>
  <c r="N35" i="51"/>
  <c r="N36" i="51"/>
  <c r="N37" i="51"/>
  <c r="F38" i="51"/>
  <c r="G38" i="51"/>
  <c r="K38" i="51"/>
  <c r="N38" i="51"/>
  <c r="N39" i="51"/>
  <c r="N40" i="51"/>
  <c r="N41" i="51"/>
  <c r="N42" i="51"/>
  <c r="N43" i="51"/>
  <c r="N44" i="51"/>
  <c r="N45" i="51"/>
  <c r="N46" i="51"/>
  <c r="N47" i="51"/>
  <c r="N48" i="51"/>
  <c r="N49" i="51"/>
  <c r="N50" i="51"/>
  <c r="N51" i="51"/>
  <c r="N52" i="51"/>
  <c r="N53" i="51"/>
  <c r="N54" i="51"/>
  <c r="N55" i="51"/>
  <c r="N56" i="51"/>
  <c r="F57" i="51"/>
  <c r="G57" i="51"/>
  <c r="D38" i="51"/>
  <c r="E38" i="51"/>
  <c r="E57" i="51"/>
  <c r="E58" i="51"/>
  <c r="N11" i="51"/>
  <c r="N12" i="51"/>
  <c r="N13" i="51"/>
  <c r="N14" i="51"/>
  <c r="N15" i="51"/>
  <c r="N16" i="51"/>
  <c r="N17" i="51"/>
  <c r="N18" i="51"/>
  <c r="N19" i="51"/>
  <c r="N20" i="51"/>
  <c r="N21" i="51"/>
  <c r="N22" i="51"/>
  <c r="N23" i="51"/>
  <c r="N24" i="51"/>
  <c r="N9" i="51"/>
  <c r="N10" i="51"/>
  <c r="N7" i="51"/>
  <c r="N6" i="51"/>
  <c r="M16" i="51"/>
  <c r="M17" i="51"/>
  <c r="K17" i="51"/>
  <c r="K16" i="51"/>
  <c r="G45" i="51"/>
  <c r="G56" i="51"/>
  <c r="G25" i="51"/>
  <c r="F17" i="51"/>
  <c r="F16" i="51"/>
  <c r="F18" i="51"/>
  <c r="K18" i="51"/>
  <c r="M18" i="51"/>
  <c r="F19" i="51"/>
  <c r="K19" i="51"/>
  <c r="M19" i="51"/>
  <c r="D56" i="51"/>
  <c r="D45" i="51"/>
  <c r="E56" i="51"/>
  <c r="E45" i="51"/>
  <c r="E25" i="51"/>
  <c r="H45" i="51"/>
  <c r="H38" i="51"/>
  <c r="H25" i="51"/>
  <c r="K46" i="51"/>
  <c r="K47" i="51"/>
  <c r="K48" i="51"/>
  <c r="K49" i="51"/>
  <c r="K50" i="51"/>
  <c r="K51" i="51"/>
  <c r="K52" i="51"/>
  <c r="K53" i="51"/>
  <c r="K55" i="51"/>
  <c r="K39" i="51"/>
  <c r="K40" i="51"/>
  <c r="K41" i="51"/>
  <c r="K42" i="51"/>
  <c r="K43" i="51"/>
  <c r="K44" i="51"/>
  <c r="K45" i="51"/>
  <c r="K26" i="51"/>
  <c r="K27" i="51"/>
  <c r="K28" i="51"/>
  <c r="K29" i="51"/>
  <c r="K30" i="51"/>
  <c r="K31" i="51"/>
  <c r="K32" i="51"/>
  <c r="K34" i="51"/>
  <c r="K36" i="51"/>
  <c r="K37" i="51"/>
  <c r="K9" i="51"/>
  <c r="K10" i="51"/>
  <c r="K11" i="51"/>
  <c r="K12" i="51"/>
  <c r="K13" i="51"/>
  <c r="K14" i="51"/>
  <c r="K15" i="51"/>
  <c r="K20" i="51"/>
  <c r="K21" i="51"/>
  <c r="K22" i="51"/>
  <c r="K23" i="51"/>
  <c r="K24" i="51"/>
  <c r="K25" i="51"/>
  <c r="K8" i="51"/>
  <c r="K7" i="51"/>
  <c r="K6" i="51"/>
  <c r="L56" i="51"/>
  <c r="L45" i="51"/>
  <c r="L38" i="51"/>
  <c r="L25" i="51"/>
  <c r="L57" i="51"/>
  <c r="L58" i="51"/>
  <c r="J56" i="51"/>
  <c r="J45" i="51"/>
  <c r="J38" i="51"/>
  <c r="J25" i="51"/>
  <c r="J57" i="51"/>
  <c r="J58" i="51"/>
  <c r="I56" i="51"/>
  <c r="I45" i="51"/>
  <c r="I38" i="51"/>
  <c r="I25" i="51"/>
  <c r="I57" i="51"/>
  <c r="I58" i="51"/>
  <c r="F46" i="51"/>
  <c r="F47" i="51"/>
  <c r="F48" i="51"/>
  <c r="F49" i="51"/>
  <c r="F50" i="51"/>
  <c r="F51" i="51"/>
  <c r="F52" i="51"/>
  <c r="F53" i="51"/>
  <c r="F54" i="51"/>
  <c r="F55" i="51"/>
  <c r="F56" i="51"/>
  <c r="F39" i="51"/>
  <c r="F40" i="51"/>
  <c r="F41" i="51"/>
  <c r="F42" i="51"/>
  <c r="F43" i="51"/>
  <c r="F44" i="51"/>
  <c r="F45" i="51"/>
  <c r="F26" i="51"/>
  <c r="F27" i="51"/>
  <c r="F28" i="51"/>
  <c r="F29" i="51"/>
  <c r="F30" i="51"/>
  <c r="F31" i="51"/>
  <c r="F32" i="51"/>
  <c r="F33" i="51"/>
  <c r="F34" i="51"/>
  <c r="F36" i="51"/>
  <c r="F37" i="51"/>
  <c r="F9" i="51"/>
  <c r="F10" i="51"/>
  <c r="F11" i="51"/>
  <c r="F12" i="51"/>
  <c r="F13" i="51"/>
  <c r="F14" i="51"/>
  <c r="F15" i="51"/>
  <c r="F20" i="51"/>
  <c r="F21" i="51"/>
  <c r="F22" i="51"/>
  <c r="F23" i="51"/>
  <c r="F24" i="51"/>
  <c r="F25" i="51"/>
  <c r="F8" i="51"/>
  <c r="F7" i="51"/>
  <c r="F6" i="51"/>
  <c r="M56" i="51"/>
  <c r="M55" i="51"/>
  <c r="M54" i="51"/>
  <c r="M53" i="51"/>
  <c r="M52" i="51"/>
  <c r="M51" i="51"/>
  <c r="M50" i="51"/>
  <c r="M49" i="51"/>
  <c r="M48" i="51"/>
  <c r="M47" i="51"/>
  <c r="M46" i="51"/>
  <c r="M45" i="51"/>
  <c r="M44" i="51"/>
  <c r="M43" i="51"/>
  <c r="M42" i="51"/>
  <c r="M41" i="51"/>
  <c r="M40" i="51"/>
  <c r="M39" i="51"/>
  <c r="M38" i="51"/>
  <c r="M37" i="51"/>
  <c r="M36" i="51"/>
  <c r="M35" i="51"/>
  <c r="M34" i="51"/>
  <c r="M33" i="51"/>
  <c r="M32" i="51"/>
  <c r="M31" i="51"/>
  <c r="M30" i="51"/>
  <c r="M29" i="51"/>
  <c r="M28" i="51"/>
  <c r="M27" i="51"/>
  <c r="M26" i="51"/>
  <c r="M25" i="51"/>
  <c r="M24" i="51"/>
  <c r="M23" i="51"/>
  <c r="M22" i="51"/>
  <c r="M21" i="51"/>
  <c r="M20" i="51"/>
  <c r="M15" i="51"/>
  <c r="M14" i="51"/>
  <c r="M13" i="51"/>
  <c r="M12" i="51"/>
  <c r="M11" i="51"/>
  <c r="M10" i="51"/>
  <c r="M9" i="51"/>
  <c r="M7" i="51"/>
  <c r="K54" i="50"/>
  <c r="K43" i="50"/>
  <c r="K36" i="50"/>
  <c r="K23" i="50"/>
  <c r="K55" i="50"/>
  <c r="K56" i="50"/>
  <c r="K54" i="1"/>
  <c r="K43" i="1"/>
  <c r="K36" i="1"/>
  <c r="K23" i="1"/>
  <c r="K55" i="1"/>
  <c r="K56" i="1"/>
  <c r="J44" i="50"/>
  <c r="J45" i="50"/>
  <c r="J46" i="50"/>
  <c r="J47" i="50"/>
  <c r="J48" i="50"/>
  <c r="J49" i="50"/>
  <c r="J50" i="50"/>
  <c r="J51" i="50"/>
  <c r="J52" i="50"/>
  <c r="J53" i="50"/>
  <c r="J54" i="50"/>
  <c r="J37" i="50"/>
  <c r="J38" i="50"/>
  <c r="J39" i="50"/>
  <c r="J40" i="50"/>
  <c r="J41" i="50"/>
  <c r="J42" i="50"/>
  <c r="J43" i="50"/>
  <c r="J24" i="50"/>
  <c r="J25" i="50"/>
  <c r="J26" i="50"/>
  <c r="J27" i="50"/>
  <c r="J28" i="50"/>
  <c r="J29" i="50"/>
  <c r="J30" i="50"/>
  <c r="J31" i="50"/>
  <c r="J32" i="50"/>
  <c r="J33" i="50"/>
  <c r="J34" i="50"/>
  <c r="J35" i="50"/>
  <c r="J36" i="50"/>
  <c r="J9" i="50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8" i="50"/>
  <c r="J7" i="50"/>
  <c r="J6" i="50"/>
  <c r="J55" i="50"/>
  <c r="J56" i="50"/>
  <c r="H54" i="1"/>
  <c r="H43" i="1"/>
  <c r="H36" i="1"/>
  <c r="H23" i="1"/>
  <c r="H55" i="1"/>
  <c r="H56" i="1"/>
  <c r="I45" i="1"/>
  <c r="I46" i="1"/>
  <c r="I47" i="1"/>
  <c r="I48" i="1"/>
  <c r="I49" i="1"/>
  <c r="I51" i="1"/>
  <c r="I52" i="1"/>
  <c r="I53" i="1"/>
  <c r="I54" i="1"/>
  <c r="I38" i="1"/>
  <c r="I39" i="1"/>
  <c r="I40" i="1"/>
  <c r="I43" i="1"/>
  <c r="I28" i="1"/>
  <c r="I31" i="1"/>
  <c r="I33" i="1"/>
  <c r="I34" i="1"/>
  <c r="I36" i="1"/>
  <c r="I12" i="1"/>
  <c r="I17" i="1"/>
  <c r="I18" i="1"/>
  <c r="I22" i="1"/>
  <c r="I23" i="1"/>
  <c r="I55" i="1"/>
  <c r="I56" i="1"/>
  <c r="J56" i="1"/>
  <c r="J44" i="1"/>
  <c r="J45" i="1"/>
  <c r="J46" i="1"/>
  <c r="J47" i="1"/>
  <c r="J48" i="1"/>
  <c r="J49" i="1"/>
  <c r="J50" i="1"/>
  <c r="J51" i="1"/>
  <c r="J52" i="1"/>
  <c r="J53" i="1"/>
  <c r="J54" i="1"/>
  <c r="J37" i="1"/>
  <c r="J38" i="1"/>
  <c r="J39" i="1"/>
  <c r="J40" i="1"/>
  <c r="J41" i="1"/>
  <c r="J42" i="1"/>
  <c r="J4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8" i="1"/>
  <c r="J6" i="1"/>
  <c r="J55" i="1"/>
  <c r="G54" i="50"/>
  <c r="G43" i="50"/>
  <c r="G36" i="50"/>
  <c r="G23" i="50"/>
  <c r="G55" i="50"/>
  <c r="G56" i="50"/>
  <c r="G54" i="1"/>
  <c r="G43" i="1"/>
  <c r="G36" i="1"/>
  <c r="G23" i="1"/>
  <c r="G55" i="1"/>
  <c r="G56" i="1"/>
  <c r="D54" i="50"/>
  <c r="D43" i="50"/>
  <c r="D36" i="50"/>
  <c r="D23" i="50"/>
  <c r="D55" i="50"/>
  <c r="D56" i="50"/>
  <c r="E54" i="50"/>
  <c r="E43" i="50"/>
  <c r="E36" i="50"/>
  <c r="E23" i="50"/>
  <c r="E55" i="50"/>
  <c r="E56" i="50"/>
  <c r="F56" i="50"/>
  <c r="D54" i="1"/>
  <c r="D43" i="1"/>
  <c r="D36" i="1"/>
  <c r="D23" i="1"/>
  <c r="D55" i="1"/>
  <c r="D56" i="1"/>
  <c r="E54" i="1"/>
  <c r="E43" i="1"/>
  <c r="E36" i="1"/>
  <c r="E23" i="1"/>
  <c r="E55" i="1"/>
  <c r="E56" i="1"/>
  <c r="F56" i="1"/>
  <c r="F44" i="50"/>
  <c r="F45" i="50"/>
  <c r="F46" i="50"/>
  <c r="F47" i="50"/>
  <c r="F48" i="50"/>
  <c r="F49" i="50"/>
  <c r="F50" i="50"/>
  <c r="F51" i="50"/>
  <c r="F52" i="50"/>
  <c r="F53" i="50"/>
  <c r="F54" i="50"/>
  <c r="F37" i="50"/>
  <c r="F38" i="50"/>
  <c r="F39" i="50"/>
  <c r="F40" i="50"/>
  <c r="F41" i="50"/>
  <c r="F42" i="50"/>
  <c r="F43" i="50"/>
  <c r="F24" i="50"/>
  <c r="F25" i="50"/>
  <c r="F26" i="50"/>
  <c r="F27" i="50"/>
  <c r="F28" i="50"/>
  <c r="F29" i="50"/>
  <c r="F30" i="50"/>
  <c r="F31" i="50"/>
  <c r="F32" i="50"/>
  <c r="F33" i="50"/>
  <c r="F34" i="50"/>
  <c r="F35" i="50"/>
  <c r="F36" i="50"/>
  <c r="F9" i="50"/>
  <c r="F10" i="50"/>
  <c r="F11" i="50"/>
  <c r="F12" i="50"/>
  <c r="F13" i="50"/>
  <c r="F14" i="50"/>
  <c r="F15" i="50"/>
  <c r="F16" i="50"/>
  <c r="F17" i="50"/>
  <c r="F18" i="50"/>
  <c r="F19" i="50"/>
  <c r="F20" i="50"/>
  <c r="F21" i="50"/>
  <c r="F22" i="50"/>
  <c r="F23" i="50"/>
  <c r="F8" i="50"/>
  <c r="F7" i="50"/>
  <c r="F6" i="50"/>
  <c r="F55" i="50"/>
  <c r="F44" i="1"/>
  <c r="F45" i="1"/>
  <c r="F46" i="1"/>
  <c r="F47" i="1"/>
  <c r="F48" i="1"/>
  <c r="F49" i="1"/>
  <c r="F50" i="1"/>
  <c r="F51" i="1"/>
  <c r="F52" i="1"/>
  <c r="F53" i="1"/>
  <c r="F54" i="1"/>
  <c r="F37" i="1"/>
  <c r="F38" i="1"/>
  <c r="F39" i="1"/>
  <c r="F40" i="1"/>
  <c r="F41" i="1"/>
  <c r="F42" i="1"/>
  <c r="F4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1"/>
  <c r="F6" i="1"/>
  <c r="F55" i="1"/>
  <c r="F46" i="46"/>
  <c r="F47" i="46"/>
  <c r="F48" i="46"/>
  <c r="F49" i="46"/>
  <c r="F50" i="46"/>
  <c r="F51" i="46"/>
  <c r="F52" i="46"/>
  <c r="F45" i="46"/>
  <c r="D44" i="38"/>
  <c r="D45" i="38"/>
  <c r="D46" i="38"/>
  <c r="D47" i="38"/>
  <c r="D48" i="38"/>
  <c r="D49" i="38"/>
  <c r="D50" i="38"/>
  <c r="D51" i="38"/>
  <c r="D52" i="38"/>
  <c r="D53" i="38"/>
  <c r="D54" i="38"/>
  <c r="D37" i="38"/>
  <c r="D38" i="38"/>
  <c r="D39" i="38"/>
  <c r="D40" i="38"/>
  <c r="D41" i="38"/>
  <c r="D43" i="38"/>
  <c r="D24" i="38"/>
  <c r="D25" i="38"/>
  <c r="D26" i="38"/>
  <c r="D27" i="38"/>
  <c r="D28" i="38"/>
  <c r="D29" i="38"/>
  <c r="D30" i="38"/>
  <c r="D31" i="38"/>
  <c r="D32" i="38"/>
  <c r="D33" i="38"/>
  <c r="D34" i="38"/>
  <c r="D35" i="38"/>
  <c r="D36" i="38"/>
  <c r="D9" i="38"/>
  <c r="D10" i="38"/>
  <c r="D12" i="38"/>
  <c r="D13" i="38"/>
  <c r="D14" i="38"/>
  <c r="D16" i="38"/>
  <c r="D17" i="38"/>
  <c r="D18" i="38"/>
  <c r="D20" i="38"/>
  <c r="D21" i="38"/>
  <c r="D22" i="38"/>
  <c r="D23" i="38"/>
  <c r="D8" i="38"/>
  <c r="D6" i="38"/>
  <c r="D55" i="38"/>
  <c r="D56" i="38"/>
  <c r="E45" i="38"/>
  <c r="E46" i="38"/>
  <c r="E47" i="38"/>
  <c r="E48" i="38"/>
  <c r="E49" i="38"/>
  <c r="E51" i="38"/>
  <c r="E52" i="38"/>
  <c r="E54" i="38"/>
  <c r="E37" i="38"/>
  <c r="E38" i="38"/>
  <c r="E39" i="38"/>
  <c r="E41" i="38"/>
  <c r="E43" i="38"/>
  <c r="E36" i="38"/>
  <c r="E9" i="38"/>
  <c r="E10" i="38"/>
  <c r="E12" i="38"/>
  <c r="E13" i="38"/>
  <c r="E16" i="38"/>
  <c r="E17" i="38"/>
  <c r="E18" i="38"/>
  <c r="E20" i="38"/>
  <c r="E21" i="38"/>
  <c r="E22" i="38"/>
  <c r="E23" i="38"/>
  <c r="E55" i="38"/>
  <c r="E56" i="38"/>
  <c r="F56" i="38"/>
  <c r="I44" i="38"/>
  <c r="I45" i="38"/>
  <c r="I46" i="38"/>
  <c r="I47" i="38"/>
  <c r="I48" i="38"/>
  <c r="I49" i="38"/>
  <c r="I50" i="38"/>
  <c r="I51" i="38"/>
  <c r="I52" i="38"/>
  <c r="I53" i="38"/>
  <c r="I54" i="38"/>
  <c r="I37" i="38"/>
  <c r="I38" i="38"/>
  <c r="I39" i="38"/>
  <c r="I40" i="38"/>
  <c r="I41" i="38"/>
  <c r="I42" i="38"/>
  <c r="I43" i="38"/>
  <c r="I24" i="38"/>
  <c r="I25" i="38"/>
  <c r="I26" i="38"/>
  <c r="I27" i="38"/>
  <c r="I28" i="38"/>
  <c r="I29" i="38"/>
  <c r="I30" i="38"/>
  <c r="I31" i="38"/>
  <c r="I32" i="38"/>
  <c r="I33" i="38"/>
  <c r="I34" i="38"/>
  <c r="I35" i="38"/>
  <c r="I36" i="38"/>
  <c r="I9" i="38"/>
  <c r="I10" i="38"/>
  <c r="I11" i="38"/>
  <c r="I12" i="38"/>
  <c r="I13" i="38"/>
  <c r="I14" i="38"/>
  <c r="I15" i="38"/>
  <c r="I16" i="38"/>
  <c r="I17" i="38"/>
  <c r="I18" i="38"/>
  <c r="I19" i="38"/>
  <c r="I20" i="38"/>
  <c r="I21" i="38"/>
  <c r="I22" i="38"/>
  <c r="I23" i="38"/>
  <c r="I8" i="38"/>
  <c r="I6" i="38"/>
  <c r="I55" i="38"/>
  <c r="I56" i="38"/>
  <c r="J54" i="38"/>
  <c r="J43" i="38"/>
  <c r="J36" i="38"/>
  <c r="J23" i="38"/>
  <c r="J55" i="38"/>
  <c r="J56" i="38"/>
  <c r="K45" i="38"/>
  <c r="K46" i="38"/>
  <c r="K47" i="38"/>
  <c r="K48" i="38"/>
  <c r="K49" i="38"/>
  <c r="K52" i="38"/>
  <c r="K53" i="38"/>
  <c r="K54" i="38"/>
  <c r="K38" i="38"/>
  <c r="K39" i="38"/>
  <c r="K40" i="38"/>
  <c r="K43" i="38"/>
  <c r="K28" i="38"/>
  <c r="K31" i="38"/>
  <c r="K32" i="38"/>
  <c r="K33" i="38"/>
  <c r="K34" i="38"/>
  <c r="K36" i="38"/>
  <c r="K12" i="38"/>
  <c r="K17" i="38"/>
  <c r="K18" i="38"/>
  <c r="K22" i="38"/>
  <c r="K23" i="38"/>
  <c r="K55" i="38"/>
  <c r="K56" i="38"/>
  <c r="L56" i="38"/>
  <c r="M54" i="38"/>
  <c r="M43" i="38"/>
  <c r="M36" i="38"/>
  <c r="M23" i="38"/>
  <c r="M55" i="38"/>
  <c r="M56" i="38"/>
  <c r="N56" i="38"/>
  <c r="L56" i="1"/>
  <c r="M26" i="42"/>
  <c r="D54" i="37"/>
  <c r="D43" i="37"/>
  <c r="D36" i="37"/>
  <c r="D23" i="37"/>
  <c r="D55" i="37"/>
  <c r="D56" i="37"/>
  <c r="E44" i="37"/>
  <c r="E45" i="37"/>
  <c r="E46" i="37"/>
  <c r="E47" i="37"/>
  <c r="E48" i="37"/>
  <c r="E49" i="37"/>
  <c r="E51" i="37"/>
  <c r="E52" i="37"/>
  <c r="E53" i="37"/>
  <c r="E54" i="37"/>
  <c r="E37" i="37"/>
  <c r="E38" i="37"/>
  <c r="E39" i="37"/>
  <c r="E40" i="37"/>
  <c r="E41" i="37"/>
  <c r="E43" i="37"/>
  <c r="E26" i="37"/>
  <c r="E28" i="37"/>
  <c r="E31" i="37"/>
  <c r="E32" i="37"/>
  <c r="E33" i="37"/>
  <c r="E36" i="37"/>
  <c r="E9" i="37"/>
  <c r="E10" i="37"/>
  <c r="E12" i="37"/>
  <c r="E13" i="37"/>
  <c r="E16" i="37"/>
  <c r="E17" i="37"/>
  <c r="E18" i="37"/>
  <c r="E20" i="37"/>
  <c r="E21" i="37"/>
  <c r="E22" i="37"/>
  <c r="E23" i="37"/>
  <c r="E7" i="37"/>
  <c r="E6" i="37"/>
  <c r="E55" i="37"/>
  <c r="E56" i="37"/>
  <c r="F56" i="37"/>
  <c r="I44" i="37"/>
  <c r="I45" i="37"/>
  <c r="I46" i="37"/>
  <c r="I47" i="37"/>
  <c r="I48" i="37"/>
  <c r="I49" i="37"/>
  <c r="I50" i="37"/>
  <c r="I51" i="37"/>
  <c r="I52" i="37"/>
  <c r="I53" i="37"/>
  <c r="I54" i="37"/>
  <c r="I37" i="37"/>
  <c r="I38" i="37"/>
  <c r="I39" i="37"/>
  <c r="I40" i="37"/>
  <c r="I41" i="37"/>
  <c r="I42" i="37"/>
  <c r="I43" i="37"/>
  <c r="I24" i="37"/>
  <c r="I25" i="37"/>
  <c r="I26" i="37"/>
  <c r="I27" i="37"/>
  <c r="I28" i="37"/>
  <c r="I29" i="37"/>
  <c r="I30" i="37"/>
  <c r="I31" i="37"/>
  <c r="I32" i="37"/>
  <c r="I33" i="37"/>
  <c r="I34" i="37"/>
  <c r="I35" i="37"/>
  <c r="I36" i="37"/>
  <c r="I9" i="37"/>
  <c r="I10" i="37"/>
  <c r="I11" i="37"/>
  <c r="I12" i="37"/>
  <c r="I13" i="37"/>
  <c r="I14" i="37"/>
  <c r="I15" i="37"/>
  <c r="I16" i="37"/>
  <c r="I17" i="37"/>
  <c r="I18" i="37"/>
  <c r="I19" i="37"/>
  <c r="I20" i="37"/>
  <c r="I21" i="37"/>
  <c r="I22" i="37"/>
  <c r="I23" i="37"/>
  <c r="I8" i="37"/>
  <c r="I7" i="37"/>
  <c r="I6" i="37"/>
  <c r="I55" i="37"/>
  <c r="I56" i="37"/>
  <c r="J54" i="37"/>
  <c r="J43" i="37"/>
  <c r="J36" i="37"/>
  <c r="J23" i="37"/>
  <c r="J55" i="37"/>
  <c r="J56" i="37"/>
  <c r="K45" i="37"/>
  <c r="K46" i="37"/>
  <c r="K47" i="37"/>
  <c r="K48" i="37"/>
  <c r="K49" i="37"/>
  <c r="K51" i="37"/>
  <c r="K52" i="37"/>
  <c r="K53" i="37"/>
  <c r="K54" i="37"/>
  <c r="K43" i="37"/>
  <c r="K28" i="37"/>
  <c r="K31" i="37"/>
  <c r="K32" i="37"/>
  <c r="K33" i="37"/>
  <c r="K34" i="37"/>
  <c r="K36" i="37"/>
  <c r="K17" i="37"/>
  <c r="K18" i="37"/>
  <c r="K22" i="37"/>
  <c r="K23" i="37"/>
  <c r="K55" i="37"/>
  <c r="K56" i="37"/>
  <c r="L56" i="37"/>
  <c r="M54" i="37"/>
  <c r="M43" i="37"/>
  <c r="M36" i="37"/>
  <c r="M23" i="37"/>
  <c r="M55" i="37"/>
  <c r="M56" i="37"/>
  <c r="N56" i="37"/>
  <c r="M27" i="42"/>
  <c r="D54" i="36"/>
  <c r="D43" i="36"/>
  <c r="D36" i="36"/>
  <c r="D23" i="36"/>
  <c r="D55" i="36"/>
  <c r="D56" i="36"/>
  <c r="E54" i="36"/>
  <c r="E43" i="36"/>
  <c r="E36" i="36"/>
  <c r="E23" i="36"/>
  <c r="E55" i="36"/>
  <c r="E56" i="36"/>
  <c r="F56" i="36"/>
  <c r="G54" i="36"/>
  <c r="G43" i="36"/>
  <c r="G36" i="36"/>
  <c r="G23" i="36"/>
  <c r="G55" i="36"/>
  <c r="G56" i="36"/>
  <c r="H54" i="36"/>
  <c r="H43" i="36"/>
  <c r="H36" i="36"/>
  <c r="H23" i="36"/>
  <c r="H55" i="36"/>
  <c r="H56" i="36"/>
  <c r="I45" i="36"/>
  <c r="I46" i="36"/>
  <c r="I47" i="36"/>
  <c r="I48" i="36"/>
  <c r="I49" i="36"/>
  <c r="I52" i="36"/>
  <c r="I53" i="36"/>
  <c r="I54" i="36"/>
  <c r="I43" i="36"/>
  <c r="I28" i="36"/>
  <c r="I31" i="36"/>
  <c r="I32" i="36"/>
  <c r="I33" i="36"/>
  <c r="I34" i="36"/>
  <c r="I36" i="36"/>
  <c r="I17" i="36"/>
  <c r="I18" i="36"/>
  <c r="I19" i="36"/>
  <c r="I22" i="36"/>
  <c r="I23" i="36"/>
  <c r="I55" i="36"/>
  <c r="I56" i="36"/>
  <c r="J56" i="36"/>
  <c r="K54" i="36"/>
  <c r="K43" i="36"/>
  <c r="K36" i="36"/>
  <c r="K23" i="36"/>
  <c r="K55" i="36"/>
  <c r="K56" i="36"/>
  <c r="L56" i="36"/>
  <c r="M28" i="42"/>
  <c r="D54" i="35"/>
  <c r="D38" i="35"/>
  <c r="D41" i="35"/>
  <c r="D43" i="35"/>
  <c r="D36" i="35"/>
  <c r="D23" i="35"/>
  <c r="D55" i="35"/>
  <c r="D56" i="35"/>
  <c r="E54" i="35"/>
  <c r="E43" i="35"/>
  <c r="E36" i="35"/>
  <c r="E23" i="35"/>
  <c r="E55" i="35"/>
  <c r="E56" i="35"/>
  <c r="F56" i="35"/>
  <c r="G54" i="35"/>
  <c r="G43" i="35"/>
  <c r="G36" i="35"/>
  <c r="G23" i="35"/>
  <c r="G55" i="35"/>
  <c r="G56" i="35"/>
  <c r="H54" i="35"/>
  <c r="H43" i="35"/>
  <c r="H36" i="35"/>
  <c r="H23" i="35"/>
  <c r="H55" i="35"/>
  <c r="H56" i="35"/>
  <c r="I45" i="35"/>
  <c r="I46" i="35"/>
  <c r="I47" i="35"/>
  <c r="I48" i="35"/>
  <c r="I49" i="35"/>
  <c r="I52" i="35"/>
  <c r="I53" i="35"/>
  <c r="I54" i="35"/>
  <c r="I43" i="35"/>
  <c r="I28" i="35"/>
  <c r="I31" i="35"/>
  <c r="I32" i="35"/>
  <c r="I33" i="35"/>
  <c r="I34" i="35"/>
  <c r="I36" i="35"/>
  <c r="I17" i="35"/>
  <c r="I18" i="35"/>
  <c r="I22" i="35"/>
  <c r="I23" i="35"/>
  <c r="I55" i="35"/>
  <c r="I56" i="35"/>
  <c r="J56" i="35"/>
  <c r="K54" i="35"/>
  <c r="K43" i="35"/>
  <c r="K36" i="35"/>
  <c r="K23" i="35"/>
  <c r="K55" i="35"/>
  <c r="K56" i="35"/>
  <c r="L56" i="35"/>
  <c r="M29" i="42"/>
  <c r="D54" i="34"/>
  <c r="D43" i="34"/>
  <c r="D36" i="34"/>
  <c r="D23" i="34"/>
  <c r="D55" i="34"/>
  <c r="D56" i="34"/>
  <c r="E54" i="34"/>
  <c r="E43" i="34"/>
  <c r="E36" i="34"/>
  <c r="E23" i="34"/>
  <c r="E55" i="34"/>
  <c r="E56" i="34"/>
  <c r="F56" i="34"/>
  <c r="G54" i="34"/>
  <c r="G43" i="34"/>
  <c r="G36" i="34"/>
  <c r="G23" i="34"/>
  <c r="G55" i="34"/>
  <c r="G56" i="34"/>
  <c r="H54" i="34"/>
  <c r="H43" i="34"/>
  <c r="H36" i="34"/>
  <c r="H23" i="34"/>
  <c r="H55" i="34"/>
  <c r="H56" i="34"/>
  <c r="I45" i="34"/>
  <c r="I46" i="34"/>
  <c r="I47" i="34"/>
  <c r="I48" i="34"/>
  <c r="I49" i="34"/>
  <c r="I52" i="34"/>
  <c r="I53" i="34"/>
  <c r="I54" i="34"/>
  <c r="I43" i="34"/>
  <c r="I28" i="34"/>
  <c r="I31" i="34"/>
  <c r="I32" i="34"/>
  <c r="I33" i="34"/>
  <c r="I34" i="34"/>
  <c r="I36" i="34"/>
  <c r="I18" i="34"/>
  <c r="I22" i="34"/>
  <c r="I23" i="34"/>
  <c r="I55" i="34"/>
  <c r="I56" i="34"/>
  <c r="J56" i="34"/>
  <c r="K54" i="34"/>
  <c r="K43" i="34"/>
  <c r="K36" i="34"/>
  <c r="K23" i="34"/>
  <c r="K55" i="34"/>
  <c r="K56" i="34"/>
  <c r="L56" i="34"/>
  <c r="M30" i="42"/>
  <c r="D54" i="9"/>
  <c r="D43" i="9"/>
  <c r="D36" i="9"/>
  <c r="D23" i="9"/>
  <c r="D55" i="9"/>
  <c r="D56" i="9"/>
  <c r="E54" i="9"/>
  <c r="E43" i="9"/>
  <c r="E36" i="9"/>
  <c r="E23" i="9"/>
  <c r="E55" i="9"/>
  <c r="E56" i="9"/>
  <c r="F56" i="9"/>
  <c r="G54" i="9"/>
  <c r="G43" i="9"/>
  <c r="G36" i="9"/>
  <c r="G23" i="9"/>
  <c r="G55" i="9"/>
  <c r="G56" i="9"/>
  <c r="H54" i="9"/>
  <c r="H43" i="9"/>
  <c r="H36" i="9"/>
  <c r="H23" i="9"/>
  <c r="H55" i="9"/>
  <c r="H56" i="9"/>
  <c r="I45" i="9"/>
  <c r="I47" i="9"/>
  <c r="I48" i="9"/>
  <c r="I49" i="9"/>
  <c r="I52" i="9"/>
  <c r="I53" i="9"/>
  <c r="I54" i="9"/>
  <c r="I43" i="9"/>
  <c r="I28" i="9"/>
  <c r="I31" i="9"/>
  <c r="I32" i="9"/>
  <c r="I33" i="9"/>
  <c r="I34" i="9"/>
  <c r="I36" i="9"/>
  <c r="I17" i="9"/>
  <c r="I18" i="9"/>
  <c r="I21" i="9"/>
  <c r="I23" i="9"/>
  <c r="I55" i="9"/>
  <c r="I56" i="9"/>
  <c r="J56" i="9"/>
  <c r="K54" i="9"/>
  <c r="K43" i="9"/>
  <c r="K36" i="9"/>
  <c r="K23" i="9"/>
  <c r="K55" i="9"/>
  <c r="K56" i="9"/>
  <c r="L56" i="9"/>
  <c r="M31" i="42"/>
  <c r="D54" i="40"/>
  <c r="D43" i="40"/>
  <c r="D36" i="40"/>
  <c r="D23" i="40"/>
  <c r="D55" i="40"/>
  <c r="D56" i="40"/>
  <c r="E54" i="40"/>
  <c r="E43" i="40"/>
  <c r="E36" i="40"/>
  <c r="E23" i="40"/>
  <c r="E55" i="40"/>
  <c r="E56" i="40"/>
  <c r="F56" i="40"/>
  <c r="G54" i="40"/>
  <c r="G43" i="40"/>
  <c r="G36" i="40"/>
  <c r="G23" i="40"/>
  <c r="G55" i="40"/>
  <c r="G56" i="40"/>
  <c r="H54" i="40"/>
  <c r="H43" i="40"/>
  <c r="H36" i="40"/>
  <c r="H23" i="40"/>
  <c r="H55" i="40"/>
  <c r="H56" i="40"/>
  <c r="I45" i="40"/>
  <c r="I47" i="40"/>
  <c r="I48" i="40"/>
  <c r="I49" i="40"/>
  <c r="I52" i="40"/>
  <c r="I53" i="40"/>
  <c r="I54" i="40"/>
  <c r="I43" i="40"/>
  <c r="I28" i="40"/>
  <c r="I31" i="40"/>
  <c r="I33" i="40"/>
  <c r="I36" i="40"/>
  <c r="I17" i="40"/>
  <c r="I21" i="40"/>
  <c r="I22" i="40"/>
  <c r="I23" i="40"/>
  <c r="I55" i="40"/>
  <c r="I56" i="40"/>
  <c r="J56" i="40"/>
  <c r="K54" i="40"/>
  <c r="K43" i="40"/>
  <c r="K36" i="40"/>
  <c r="K23" i="40"/>
  <c r="K55" i="40"/>
  <c r="K56" i="40"/>
  <c r="L56" i="40"/>
  <c r="M32" i="42"/>
  <c r="D54" i="44"/>
  <c r="D43" i="44"/>
  <c r="D36" i="44"/>
  <c r="D23" i="44"/>
  <c r="D55" i="44"/>
  <c r="D56" i="44"/>
  <c r="E54" i="44"/>
  <c r="E43" i="44"/>
  <c r="E36" i="44"/>
  <c r="E23" i="44"/>
  <c r="E55" i="44"/>
  <c r="E56" i="44"/>
  <c r="F56" i="44"/>
  <c r="G54" i="44"/>
  <c r="G43" i="44"/>
  <c r="G36" i="44"/>
  <c r="G23" i="44"/>
  <c r="G55" i="44"/>
  <c r="G56" i="44"/>
  <c r="H54" i="44"/>
  <c r="H43" i="44"/>
  <c r="H36" i="44"/>
  <c r="H23" i="44"/>
  <c r="H55" i="44"/>
  <c r="H56" i="44"/>
  <c r="I45" i="44"/>
  <c r="I47" i="44"/>
  <c r="I48" i="44"/>
  <c r="I49" i="44"/>
  <c r="I52" i="44"/>
  <c r="I53" i="44"/>
  <c r="I54" i="44"/>
  <c r="I43" i="44"/>
  <c r="I28" i="44"/>
  <c r="I31" i="44"/>
  <c r="I33" i="44"/>
  <c r="I36" i="44"/>
  <c r="I18" i="44"/>
  <c r="I19" i="44"/>
  <c r="I22" i="44"/>
  <c r="I23" i="44"/>
  <c r="I55" i="44"/>
  <c r="I56" i="44"/>
  <c r="J56" i="44"/>
  <c r="K54" i="44"/>
  <c r="K43" i="44"/>
  <c r="K36" i="44"/>
  <c r="K23" i="44"/>
  <c r="K55" i="44"/>
  <c r="K56" i="44"/>
  <c r="L56" i="44"/>
  <c r="M33" i="42"/>
  <c r="D54" i="45"/>
  <c r="D43" i="45"/>
  <c r="D36" i="45"/>
  <c r="D23" i="45"/>
  <c r="D55" i="45"/>
  <c r="D56" i="45"/>
  <c r="E54" i="45"/>
  <c r="E43" i="45"/>
  <c r="E36" i="45"/>
  <c r="E23" i="45"/>
  <c r="E55" i="45"/>
  <c r="E56" i="45"/>
  <c r="F56" i="45"/>
  <c r="G54" i="45"/>
  <c r="G43" i="45"/>
  <c r="G36" i="45"/>
  <c r="G23" i="45"/>
  <c r="G55" i="45"/>
  <c r="G56" i="45"/>
  <c r="H54" i="45"/>
  <c r="H43" i="45"/>
  <c r="H36" i="45"/>
  <c r="H23" i="45"/>
  <c r="H55" i="45"/>
  <c r="H56" i="45"/>
  <c r="I45" i="45"/>
  <c r="I47" i="45"/>
  <c r="I48" i="45"/>
  <c r="I49" i="45"/>
  <c r="I52" i="45"/>
  <c r="I53" i="45"/>
  <c r="I54" i="45"/>
  <c r="I43" i="45"/>
  <c r="I28" i="45"/>
  <c r="I31" i="45"/>
  <c r="I33" i="45"/>
  <c r="I36" i="45"/>
  <c r="I18" i="45"/>
  <c r="I22" i="45"/>
  <c r="I23" i="45"/>
  <c r="I55" i="45"/>
  <c r="I56" i="45"/>
  <c r="J56" i="45"/>
  <c r="K54" i="45"/>
  <c r="K43" i="45"/>
  <c r="K36" i="45"/>
  <c r="K23" i="45"/>
  <c r="K55" i="45"/>
  <c r="K56" i="45"/>
  <c r="L56" i="45"/>
  <c r="M34" i="42"/>
  <c r="D54" i="46"/>
  <c r="D43" i="46"/>
  <c r="D36" i="46"/>
  <c r="D23" i="46"/>
  <c r="D55" i="46"/>
  <c r="D56" i="46"/>
  <c r="E54" i="46"/>
  <c r="E43" i="46"/>
  <c r="E36" i="46"/>
  <c r="E23" i="46"/>
  <c r="E55" i="46"/>
  <c r="E56" i="46"/>
  <c r="F56" i="46"/>
  <c r="G54" i="46"/>
  <c r="G43" i="46"/>
  <c r="G36" i="46"/>
  <c r="G23" i="46"/>
  <c r="G55" i="46"/>
  <c r="G56" i="46"/>
  <c r="J44" i="46"/>
  <c r="J45" i="46"/>
  <c r="J46" i="46"/>
  <c r="J47" i="46"/>
  <c r="J48" i="46"/>
  <c r="J49" i="46"/>
  <c r="J50" i="46"/>
  <c r="J51" i="46"/>
  <c r="J52" i="46"/>
  <c r="J53" i="46"/>
  <c r="J54" i="46"/>
  <c r="J37" i="46"/>
  <c r="J38" i="46"/>
  <c r="J39" i="46"/>
  <c r="J40" i="46"/>
  <c r="J41" i="46"/>
  <c r="J42" i="46"/>
  <c r="J43" i="46"/>
  <c r="J24" i="46"/>
  <c r="J25" i="46"/>
  <c r="J26" i="46"/>
  <c r="J27" i="46"/>
  <c r="J28" i="46"/>
  <c r="J29" i="46"/>
  <c r="J30" i="46"/>
  <c r="J31" i="46"/>
  <c r="J32" i="46"/>
  <c r="J33" i="46"/>
  <c r="J34" i="46"/>
  <c r="J35" i="46"/>
  <c r="J36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8" i="46"/>
  <c r="J7" i="46"/>
  <c r="J6" i="46"/>
  <c r="J55" i="46"/>
  <c r="J56" i="46"/>
  <c r="K54" i="46"/>
  <c r="K43" i="46"/>
  <c r="K36" i="46"/>
  <c r="K23" i="46"/>
  <c r="K55" i="46"/>
  <c r="K56" i="46"/>
  <c r="L56" i="46"/>
  <c r="M35" i="42"/>
  <c r="M36" i="42"/>
  <c r="L26" i="42"/>
  <c r="L27" i="42"/>
  <c r="L28" i="42"/>
  <c r="L29" i="42"/>
  <c r="L30" i="42"/>
  <c r="L31" i="42"/>
  <c r="L32" i="42"/>
  <c r="L33" i="42"/>
  <c r="L34" i="42"/>
  <c r="L35" i="42"/>
  <c r="L36" i="42"/>
  <c r="I26" i="42"/>
  <c r="I27" i="42"/>
  <c r="I28" i="42"/>
  <c r="I29" i="42"/>
  <c r="I30" i="42"/>
  <c r="I31" i="42"/>
  <c r="I32" i="42"/>
  <c r="I33" i="42"/>
  <c r="I34" i="42"/>
  <c r="I35" i="42"/>
  <c r="I36" i="42"/>
  <c r="G54" i="38"/>
  <c r="G43" i="38"/>
  <c r="G36" i="38"/>
  <c r="G23" i="38"/>
  <c r="G55" i="38"/>
  <c r="G56" i="38"/>
  <c r="F26" i="42"/>
  <c r="H54" i="38"/>
  <c r="H43" i="38"/>
  <c r="H36" i="38"/>
  <c r="H23" i="38"/>
  <c r="H55" i="38"/>
  <c r="H56" i="38"/>
  <c r="G26" i="42"/>
  <c r="H26" i="42"/>
  <c r="G54" i="37"/>
  <c r="G43" i="37"/>
  <c r="G36" i="37"/>
  <c r="G23" i="37"/>
  <c r="G55" i="37"/>
  <c r="G56" i="37"/>
  <c r="F27" i="42"/>
  <c r="H54" i="37"/>
  <c r="H43" i="37"/>
  <c r="H36" i="37"/>
  <c r="H23" i="37"/>
  <c r="H55" i="37"/>
  <c r="H56" i="37"/>
  <c r="G27" i="42"/>
  <c r="H27" i="42"/>
  <c r="G28" i="42"/>
  <c r="H28" i="42" s="1"/>
  <c r="G29" i="42"/>
  <c r="H29" i="42" s="1"/>
  <c r="G30" i="42"/>
  <c r="H30" i="42" s="1"/>
  <c r="G31" i="42"/>
  <c r="H31" i="42"/>
  <c r="G32" i="42"/>
  <c r="H32" i="42" s="1"/>
  <c r="G33" i="42"/>
  <c r="H33" i="42"/>
  <c r="G34" i="42"/>
  <c r="H34" i="42" s="1"/>
  <c r="G35" i="42"/>
  <c r="H35" i="42"/>
  <c r="G36" i="42"/>
  <c r="H36" i="42" s="1"/>
  <c r="E26" i="42"/>
  <c r="E27" i="42"/>
  <c r="E28" i="42"/>
  <c r="E29" i="42"/>
  <c r="E30" i="42"/>
  <c r="E31" i="42"/>
  <c r="E32" i="42"/>
  <c r="E33" i="42"/>
  <c r="E34" i="42"/>
  <c r="E35" i="42"/>
  <c r="E36" i="42"/>
  <c r="D26" i="42"/>
  <c r="D27" i="42"/>
  <c r="D28" i="42"/>
  <c r="D29" i="42"/>
  <c r="D30" i="42"/>
  <c r="D31" i="42"/>
  <c r="D32" i="42"/>
  <c r="D33" i="42"/>
  <c r="D34" i="42"/>
  <c r="D35" i="42"/>
  <c r="D36" i="42"/>
  <c r="C26" i="42"/>
  <c r="C27" i="42"/>
  <c r="C28" i="42"/>
  <c r="C29" i="42"/>
  <c r="C30" i="42"/>
  <c r="C31" i="42"/>
  <c r="C32" i="42"/>
  <c r="C33" i="42"/>
  <c r="C34" i="42"/>
  <c r="C35" i="42"/>
  <c r="C36" i="42"/>
  <c r="F44" i="38"/>
  <c r="F45" i="38"/>
  <c r="F46" i="38"/>
  <c r="F47" i="38"/>
  <c r="F48" i="38"/>
  <c r="F49" i="38"/>
  <c r="F50" i="38"/>
  <c r="F51" i="38"/>
  <c r="F52" i="38"/>
  <c r="F53" i="38"/>
  <c r="F54" i="38"/>
  <c r="F37" i="38"/>
  <c r="F38" i="38"/>
  <c r="F39" i="38"/>
  <c r="F40" i="38"/>
  <c r="F41" i="38"/>
  <c r="F42" i="38"/>
  <c r="F4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8" i="38"/>
  <c r="F6" i="38"/>
  <c r="F55" i="38"/>
  <c r="L44" i="38"/>
  <c r="L45" i="38"/>
  <c r="L46" i="38"/>
  <c r="L47" i="38"/>
  <c r="L48" i="38"/>
  <c r="L49" i="38"/>
  <c r="L50" i="38"/>
  <c r="L51" i="38"/>
  <c r="L52" i="38"/>
  <c r="L53" i="38"/>
  <c r="L54" i="38"/>
  <c r="L37" i="38"/>
  <c r="L38" i="38"/>
  <c r="L39" i="38"/>
  <c r="L40" i="38"/>
  <c r="L41" i="38"/>
  <c r="L42" i="38"/>
  <c r="L43" i="38"/>
  <c r="L24" i="38"/>
  <c r="L25" i="38"/>
  <c r="L26" i="38"/>
  <c r="L27" i="38"/>
  <c r="L28" i="38"/>
  <c r="L29" i="38"/>
  <c r="L30" i="38"/>
  <c r="L31" i="38"/>
  <c r="L32" i="38"/>
  <c r="L33" i="38"/>
  <c r="L34" i="38"/>
  <c r="L35" i="38"/>
  <c r="L36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8" i="38"/>
  <c r="L6" i="38"/>
  <c r="L55" i="38"/>
  <c r="N55" i="38"/>
  <c r="L55" i="1"/>
  <c r="F44" i="37"/>
  <c r="F45" i="37"/>
  <c r="F46" i="37"/>
  <c r="F47" i="37"/>
  <c r="F48" i="37"/>
  <c r="F49" i="37"/>
  <c r="F50" i="37"/>
  <c r="F51" i="37"/>
  <c r="F52" i="37"/>
  <c r="F53" i="37"/>
  <c r="F54" i="37"/>
  <c r="F37" i="37"/>
  <c r="F38" i="37"/>
  <c r="F39" i="37"/>
  <c r="F40" i="37"/>
  <c r="F41" i="37"/>
  <c r="F42" i="37"/>
  <c r="F43" i="37"/>
  <c r="F24" i="37"/>
  <c r="F25" i="37"/>
  <c r="F26" i="37"/>
  <c r="F27" i="37"/>
  <c r="F28" i="37"/>
  <c r="F29" i="37"/>
  <c r="F30" i="37"/>
  <c r="F31" i="37"/>
  <c r="F32" i="37"/>
  <c r="F33" i="37"/>
  <c r="F34" i="37"/>
  <c r="F35" i="37"/>
  <c r="F36" i="37"/>
  <c r="F9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8" i="37"/>
  <c r="F7" i="37"/>
  <c r="F6" i="37"/>
  <c r="F55" i="37"/>
  <c r="L44" i="37"/>
  <c r="L45" i="37"/>
  <c r="L46" i="37"/>
  <c r="L47" i="37"/>
  <c r="L48" i="37"/>
  <c r="L49" i="37"/>
  <c r="L50" i="37"/>
  <c r="L51" i="37"/>
  <c r="L52" i="37"/>
  <c r="L53" i="37"/>
  <c r="L54" i="37"/>
  <c r="L37" i="37"/>
  <c r="L38" i="37"/>
  <c r="L39" i="37"/>
  <c r="L40" i="37"/>
  <c r="L41" i="37"/>
  <c r="L42" i="37"/>
  <c r="L43" i="37"/>
  <c r="L24" i="37"/>
  <c r="L25" i="37"/>
  <c r="L26" i="37"/>
  <c r="L27" i="37"/>
  <c r="L28" i="37"/>
  <c r="L29" i="37"/>
  <c r="L30" i="37"/>
  <c r="L31" i="37"/>
  <c r="L32" i="37"/>
  <c r="L33" i="37"/>
  <c r="L34" i="37"/>
  <c r="L35" i="37"/>
  <c r="L36" i="37"/>
  <c r="L9" i="37"/>
  <c r="L10" i="37"/>
  <c r="L11" i="37"/>
  <c r="L12" i="37"/>
  <c r="L13" i="37"/>
  <c r="L14" i="37"/>
  <c r="L15" i="37"/>
  <c r="L16" i="37"/>
  <c r="L17" i="37"/>
  <c r="L18" i="37"/>
  <c r="L19" i="37"/>
  <c r="L20" i="37"/>
  <c r="L21" i="37"/>
  <c r="L22" i="37"/>
  <c r="L23" i="37"/>
  <c r="L8" i="37"/>
  <c r="L7" i="37"/>
  <c r="L6" i="37"/>
  <c r="L55" i="37"/>
  <c r="N55" i="37"/>
  <c r="F44" i="36"/>
  <c r="F45" i="36"/>
  <c r="F46" i="36"/>
  <c r="F47" i="36"/>
  <c r="F48" i="36"/>
  <c r="F49" i="36"/>
  <c r="F50" i="36"/>
  <c r="F51" i="36"/>
  <c r="F52" i="36"/>
  <c r="F53" i="36"/>
  <c r="F54" i="36"/>
  <c r="F37" i="36"/>
  <c r="F38" i="36"/>
  <c r="F39" i="36"/>
  <c r="F40" i="36"/>
  <c r="F41" i="36"/>
  <c r="F42" i="36"/>
  <c r="F4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8" i="36"/>
  <c r="F7" i="36"/>
  <c r="F6" i="36"/>
  <c r="F55" i="36"/>
  <c r="J44" i="36"/>
  <c r="J45" i="36"/>
  <c r="J46" i="36"/>
  <c r="J47" i="36"/>
  <c r="J48" i="36"/>
  <c r="J49" i="36"/>
  <c r="J50" i="36"/>
  <c r="J51" i="36"/>
  <c r="J52" i="36"/>
  <c r="J53" i="36"/>
  <c r="J54" i="36"/>
  <c r="J37" i="36"/>
  <c r="J38" i="36"/>
  <c r="J39" i="36"/>
  <c r="J40" i="36"/>
  <c r="J41" i="36"/>
  <c r="J42" i="36"/>
  <c r="J43" i="36"/>
  <c r="J24" i="36"/>
  <c r="J25" i="36"/>
  <c r="J26" i="36"/>
  <c r="J27" i="36"/>
  <c r="J28" i="36"/>
  <c r="J29" i="36"/>
  <c r="J30" i="36"/>
  <c r="J31" i="36"/>
  <c r="J32" i="36"/>
  <c r="J33" i="36"/>
  <c r="J34" i="36"/>
  <c r="J35" i="36"/>
  <c r="J36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8" i="36"/>
  <c r="J7" i="36"/>
  <c r="J6" i="36"/>
  <c r="J55" i="36"/>
  <c r="L55" i="36"/>
  <c r="F44" i="35"/>
  <c r="F45" i="35"/>
  <c r="F46" i="35"/>
  <c r="F47" i="35"/>
  <c r="F48" i="35"/>
  <c r="F49" i="35"/>
  <c r="F50" i="35"/>
  <c r="F51" i="35"/>
  <c r="F52" i="35"/>
  <c r="F53" i="35"/>
  <c r="F54" i="35"/>
  <c r="F37" i="35"/>
  <c r="F38" i="35"/>
  <c r="F39" i="35"/>
  <c r="F40" i="35"/>
  <c r="F41" i="35"/>
  <c r="F42" i="35"/>
  <c r="F4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  <c r="F9" i="35"/>
  <c r="F10" i="35"/>
  <c r="F11" i="35"/>
  <c r="F12" i="35"/>
  <c r="F13" i="35"/>
  <c r="F14" i="35"/>
  <c r="F15" i="35"/>
  <c r="F16" i="35"/>
  <c r="F17" i="35"/>
  <c r="F18" i="35"/>
  <c r="F19" i="35"/>
  <c r="F20" i="35"/>
  <c r="F21" i="35"/>
  <c r="F22" i="35"/>
  <c r="F23" i="35"/>
  <c r="F8" i="35"/>
  <c r="F7" i="35"/>
  <c r="F6" i="35"/>
  <c r="F55" i="35"/>
  <c r="J44" i="35"/>
  <c r="J45" i="35"/>
  <c r="J46" i="35"/>
  <c r="J47" i="35"/>
  <c r="J48" i="35"/>
  <c r="J49" i="35"/>
  <c r="J50" i="35"/>
  <c r="J51" i="35"/>
  <c r="J52" i="35"/>
  <c r="J53" i="35"/>
  <c r="J54" i="35"/>
  <c r="J37" i="35"/>
  <c r="J38" i="35"/>
  <c r="J39" i="35"/>
  <c r="J40" i="35"/>
  <c r="J41" i="35"/>
  <c r="J42" i="35"/>
  <c r="J4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8" i="35"/>
  <c r="J7" i="35"/>
  <c r="J6" i="35"/>
  <c r="J55" i="35"/>
  <c r="L55" i="35"/>
  <c r="F44" i="34"/>
  <c r="F45" i="34"/>
  <c r="F46" i="34"/>
  <c r="F47" i="34"/>
  <c r="F48" i="34"/>
  <c r="F49" i="34"/>
  <c r="F50" i="34"/>
  <c r="F51" i="34"/>
  <c r="F52" i="34"/>
  <c r="F53" i="34"/>
  <c r="F54" i="34"/>
  <c r="F37" i="34"/>
  <c r="F38" i="34"/>
  <c r="F39" i="34"/>
  <c r="F40" i="34"/>
  <c r="F41" i="34"/>
  <c r="F42" i="34"/>
  <c r="F43" i="34"/>
  <c r="F24" i="34"/>
  <c r="F25" i="34"/>
  <c r="F26" i="34"/>
  <c r="F27" i="34"/>
  <c r="F28" i="34"/>
  <c r="F29" i="34"/>
  <c r="F30" i="34"/>
  <c r="F31" i="34"/>
  <c r="F32" i="34"/>
  <c r="F33" i="34"/>
  <c r="F34" i="34"/>
  <c r="F35" i="34"/>
  <c r="F36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8" i="34"/>
  <c r="F7" i="34"/>
  <c r="F6" i="34"/>
  <c r="F55" i="34"/>
  <c r="J44" i="34"/>
  <c r="J45" i="34"/>
  <c r="J46" i="34"/>
  <c r="J47" i="34"/>
  <c r="J48" i="34"/>
  <c r="J49" i="34"/>
  <c r="J50" i="34"/>
  <c r="J51" i="34"/>
  <c r="J52" i="34"/>
  <c r="J53" i="34"/>
  <c r="J54" i="34"/>
  <c r="J37" i="34"/>
  <c r="J38" i="34"/>
  <c r="J39" i="34"/>
  <c r="J40" i="34"/>
  <c r="J41" i="34"/>
  <c r="J42" i="34"/>
  <c r="J43" i="34"/>
  <c r="J24" i="34"/>
  <c r="J25" i="34"/>
  <c r="J26" i="34"/>
  <c r="J27" i="34"/>
  <c r="J28" i="34"/>
  <c r="J29" i="34"/>
  <c r="J30" i="34"/>
  <c r="J31" i="34"/>
  <c r="J32" i="34"/>
  <c r="J33" i="34"/>
  <c r="J34" i="34"/>
  <c r="J35" i="34"/>
  <c r="J36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8" i="34"/>
  <c r="J7" i="34"/>
  <c r="J6" i="34"/>
  <c r="J55" i="34"/>
  <c r="L55" i="34"/>
  <c r="F44" i="9"/>
  <c r="F45" i="9"/>
  <c r="F46" i="9"/>
  <c r="F47" i="9"/>
  <c r="F48" i="9"/>
  <c r="F49" i="9"/>
  <c r="F50" i="9"/>
  <c r="F51" i="9"/>
  <c r="F52" i="9"/>
  <c r="F53" i="9"/>
  <c r="F54" i="9"/>
  <c r="F37" i="9"/>
  <c r="F38" i="9"/>
  <c r="F39" i="9"/>
  <c r="F40" i="9"/>
  <c r="F41" i="9"/>
  <c r="F42" i="9"/>
  <c r="F4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8" i="9"/>
  <c r="F7" i="9"/>
  <c r="F6" i="9"/>
  <c r="F55" i="9"/>
  <c r="J44" i="9"/>
  <c r="J45" i="9"/>
  <c r="J46" i="9"/>
  <c r="J47" i="9"/>
  <c r="J48" i="9"/>
  <c r="J49" i="9"/>
  <c r="J50" i="9"/>
  <c r="J51" i="9"/>
  <c r="J52" i="9"/>
  <c r="J53" i="9"/>
  <c r="J54" i="9"/>
  <c r="J37" i="9"/>
  <c r="J38" i="9"/>
  <c r="J39" i="9"/>
  <c r="J40" i="9"/>
  <c r="J41" i="9"/>
  <c r="J42" i="9"/>
  <c r="J4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8" i="9"/>
  <c r="J7" i="9"/>
  <c r="J6" i="9"/>
  <c r="J55" i="9"/>
  <c r="L55" i="9"/>
  <c r="F44" i="40"/>
  <c r="F45" i="40"/>
  <c r="F46" i="40"/>
  <c r="F47" i="40"/>
  <c r="F48" i="40"/>
  <c r="F49" i="40"/>
  <c r="F50" i="40"/>
  <c r="F51" i="40"/>
  <c r="F52" i="40"/>
  <c r="F53" i="40"/>
  <c r="F54" i="40"/>
  <c r="F37" i="40"/>
  <c r="F38" i="40"/>
  <c r="F39" i="40"/>
  <c r="F40" i="40"/>
  <c r="F41" i="40"/>
  <c r="F42" i="40"/>
  <c r="F43" i="40"/>
  <c r="F24" i="40"/>
  <c r="F25" i="40"/>
  <c r="F26" i="40"/>
  <c r="F27" i="40"/>
  <c r="F28" i="40"/>
  <c r="F29" i="40"/>
  <c r="F30" i="40"/>
  <c r="F31" i="40"/>
  <c r="F32" i="40"/>
  <c r="F33" i="40"/>
  <c r="F35" i="40"/>
  <c r="F36" i="40"/>
  <c r="F9" i="40"/>
  <c r="F10" i="40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8" i="40"/>
  <c r="F7" i="40"/>
  <c r="F6" i="40"/>
  <c r="F55" i="40"/>
  <c r="J44" i="40"/>
  <c r="J45" i="40"/>
  <c r="J46" i="40"/>
  <c r="J47" i="40"/>
  <c r="J48" i="40"/>
  <c r="J49" i="40"/>
  <c r="J50" i="40"/>
  <c r="J51" i="40"/>
  <c r="J52" i="40"/>
  <c r="J53" i="40"/>
  <c r="J54" i="40"/>
  <c r="J37" i="40"/>
  <c r="J38" i="40"/>
  <c r="J39" i="40"/>
  <c r="J40" i="40"/>
  <c r="J41" i="40"/>
  <c r="J42" i="40"/>
  <c r="J43" i="40"/>
  <c r="J24" i="40"/>
  <c r="J25" i="40"/>
  <c r="J26" i="40"/>
  <c r="J27" i="40"/>
  <c r="J28" i="40"/>
  <c r="J29" i="40"/>
  <c r="J30" i="40"/>
  <c r="J31" i="40"/>
  <c r="J32" i="40"/>
  <c r="J33" i="40"/>
  <c r="J35" i="40"/>
  <c r="J36" i="40"/>
  <c r="J9" i="40"/>
  <c r="J10" i="40"/>
  <c r="J11" i="40"/>
  <c r="J12" i="40"/>
  <c r="J13" i="40"/>
  <c r="J14" i="40"/>
  <c r="J15" i="40"/>
  <c r="J16" i="40"/>
  <c r="J17" i="40"/>
  <c r="J18" i="40"/>
  <c r="J19" i="40"/>
  <c r="J20" i="40"/>
  <c r="J21" i="40"/>
  <c r="J22" i="40"/>
  <c r="J23" i="40"/>
  <c r="J8" i="40"/>
  <c r="J7" i="40"/>
  <c r="J6" i="40"/>
  <c r="J55" i="40"/>
  <c r="L55" i="40"/>
  <c r="F44" i="44"/>
  <c r="F45" i="44"/>
  <c r="F46" i="44"/>
  <c r="F47" i="44"/>
  <c r="F48" i="44"/>
  <c r="F49" i="44"/>
  <c r="F50" i="44"/>
  <c r="F51" i="44"/>
  <c r="F52" i="44"/>
  <c r="F53" i="44"/>
  <c r="F54" i="44"/>
  <c r="F37" i="44"/>
  <c r="F38" i="44"/>
  <c r="F39" i="44"/>
  <c r="F40" i="44"/>
  <c r="F41" i="44"/>
  <c r="F42" i="44"/>
  <c r="F43" i="44"/>
  <c r="F24" i="44"/>
  <c r="F25" i="44"/>
  <c r="F26" i="44"/>
  <c r="F27" i="44"/>
  <c r="F28" i="44"/>
  <c r="F29" i="44"/>
  <c r="F30" i="44"/>
  <c r="F31" i="44"/>
  <c r="F32" i="44"/>
  <c r="F33" i="44"/>
  <c r="F34" i="44"/>
  <c r="F35" i="44"/>
  <c r="F36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8" i="44"/>
  <c r="F7" i="44"/>
  <c r="F6" i="44"/>
  <c r="F55" i="44"/>
  <c r="J44" i="44"/>
  <c r="J45" i="44"/>
  <c r="J46" i="44"/>
  <c r="J47" i="44"/>
  <c r="J48" i="44"/>
  <c r="J49" i="44"/>
  <c r="J50" i="44"/>
  <c r="J51" i="44"/>
  <c r="J52" i="44"/>
  <c r="J53" i="44"/>
  <c r="J54" i="44"/>
  <c r="J38" i="44"/>
  <c r="J39" i="44"/>
  <c r="J40" i="44"/>
  <c r="J41" i="44"/>
  <c r="J42" i="44"/>
  <c r="J43" i="44"/>
  <c r="J24" i="44"/>
  <c r="J25" i="44"/>
  <c r="J26" i="44"/>
  <c r="J27" i="44"/>
  <c r="J28" i="44"/>
  <c r="J29" i="44"/>
  <c r="J30" i="44"/>
  <c r="J31" i="44"/>
  <c r="J32" i="44"/>
  <c r="J33" i="44"/>
  <c r="J34" i="44"/>
  <c r="J35" i="44"/>
  <c r="J36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8" i="44"/>
  <c r="J7" i="44"/>
  <c r="J6" i="44"/>
  <c r="J55" i="44"/>
  <c r="L55" i="44"/>
  <c r="F44" i="45"/>
  <c r="F45" i="45"/>
  <c r="F46" i="45"/>
  <c r="F47" i="45"/>
  <c r="F48" i="45"/>
  <c r="F49" i="45"/>
  <c r="F50" i="45"/>
  <c r="F51" i="45"/>
  <c r="F52" i="45"/>
  <c r="F53" i="45"/>
  <c r="F54" i="45"/>
  <c r="F37" i="45"/>
  <c r="F38" i="45"/>
  <c r="F39" i="45"/>
  <c r="F40" i="45"/>
  <c r="F41" i="45"/>
  <c r="F42" i="45"/>
  <c r="F43" i="45"/>
  <c r="F24" i="45"/>
  <c r="F25" i="45"/>
  <c r="F26" i="45"/>
  <c r="F27" i="45"/>
  <c r="F28" i="45"/>
  <c r="F29" i="45"/>
  <c r="F30" i="45"/>
  <c r="F31" i="45"/>
  <c r="F32" i="45"/>
  <c r="F33" i="45"/>
  <c r="F34" i="45"/>
  <c r="F35" i="45"/>
  <c r="F36" i="45"/>
  <c r="F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8" i="45"/>
  <c r="F7" i="45"/>
  <c r="F6" i="45"/>
  <c r="F55" i="45"/>
  <c r="J44" i="45"/>
  <c r="J45" i="45"/>
  <c r="J46" i="45"/>
  <c r="J47" i="45"/>
  <c r="J48" i="45"/>
  <c r="J49" i="45"/>
  <c r="J50" i="45"/>
  <c r="J51" i="45"/>
  <c r="J52" i="45"/>
  <c r="J53" i="45"/>
  <c r="J54" i="45"/>
  <c r="J38" i="45"/>
  <c r="J39" i="45"/>
  <c r="J40" i="45"/>
  <c r="J41" i="45"/>
  <c r="J42" i="45"/>
  <c r="J43" i="45"/>
  <c r="J24" i="45"/>
  <c r="J25" i="45"/>
  <c r="J26" i="45"/>
  <c r="J27" i="45"/>
  <c r="J28" i="45"/>
  <c r="J29" i="45"/>
  <c r="J30" i="45"/>
  <c r="J31" i="45"/>
  <c r="J32" i="45"/>
  <c r="J33" i="45"/>
  <c r="J34" i="45"/>
  <c r="J35" i="45"/>
  <c r="J36" i="45"/>
  <c r="J9" i="45"/>
  <c r="J10" i="45"/>
  <c r="J11" i="45"/>
  <c r="J12" i="45"/>
  <c r="J13" i="45"/>
  <c r="J14" i="45"/>
  <c r="J15" i="45"/>
  <c r="J16" i="45"/>
  <c r="J17" i="45"/>
  <c r="J18" i="45"/>
  <c r="J19" i="45"/>
  <c r="J20" i="45"/>
  <c r="J21" i="45"/>
  <c r="J22" i="45"/>
  <c r="J23" i="45"/>
  <c r="J8" i="45"/>
  <c r="J7" i="45"/>
  <c r="J6" i="45"/>
  <c r="J55" i="45"/>
  <c r="L55" i="45"/>
  <c r="F44" i="46"/>
  <c r="F53" i="46"/>
  <c r="F54" i="46"/>
  <c r="F37" i="46"/>
  <c r="F38" i="46"/>
  <c r="F39" i="46"/>
  <c r="F40" i="46"/>
  <c r="F41" i="46"/>
  <c r="F42" i="46"/>
  <c r="F43" i="46"/>
  <c r="F24" i="46"/>
  <c r="F25" i="46"/>
  <c r="F26" i="46"/>
  <c r="F27" i="46"/>
  <c r="F28" i="46"/>
  <c r="F29" i="46"/>
  <c r="F30" i="46"/>
  <c r="F31" i="46"/>
  <c r="F32" i="46"/>
  <c r="F33" i="46"/>
  <c r="F34" i="46"/>
  <c r="F35" i="46"/>
  <c r="F36" i="46"/>
  <c r="F9" i="46"/>
  <c r="F10" i="46"/>
  <c r="F11" i="46"/>
  <c r="F12" i="46"/>
  <c r="F13" i="46"/>
  <c r="F14" i="46"/>
  <c r="F15" i="46"/>
  <c r="F16" i="46"/>
  <c r="F17" i="46"/>
  <c r="F18" i="46"/>
  <c r="F19" i="46"/>
  <c r="F20" i="46"/>
  <c r="F21" i="46"/>
  <c r="F22" i="46"/>
  <c r="F23" i="46"/>
  <c r="F8" i="46"/>
  <c r="F7" i="46"/>
  <c r="F6" i="46"/>
  <c r="F55" i="46"/>
  <c r="L55" i="46"/>
  <c r="L55" i="50"/>
  <c r="L41" i="50"/>
  <c r="L30" i="50"/>
  <c r="L23" i="50"/>
  <c r="L15" i="50"/>
  <c r="L14" i="50"/>
  <c r="L54" i="50"/>
  <c r="L50" i="50"/>
  <c r="L40" i="50"/>
  <c r="L38" i="50"/>
  <c r="L33" i="50"/>
  <c r="L28" i="50"/>
  <c r="L27" i="50"/>
  <c r="L34" i="50"/>
  <c r="L39" i="50"/>
  <c r="L37" i="50"/>
  <c r="L35" i="50"/>
  <c r="L32" i="50"/>
  <c r="L31" i="50"/>
  <c r="L26" i="50"/>
  <c r="L7" i="50"/>
  <c r="L42" i="50"/>
  <c r="L29" i="50"/>
  <c r="L8" i="50"/>
  <c r="L6" i="50"/>
  <c r="I23" i="50"/>
  <c r="I54" i="50"/>
  <c r="H23" i="50"/>
  <c r="H54" i="50"/>
  <c r="I43" i="50"/>
  <c r="I36" i="50"/>
  <c r="I55" i="50"/>
  <c r="I56" i="50"/>
  <c r="H43" i="50"/>
  <c r="H36" i="50"/>
  <c r="H55" i="50"/>
  <c r="H56" i="50"/>
  <c r="L53" i="50"/>
  <c r="L52" i="50"/>
  <c r="L51" i="50"/>
  <c r="L49" i="50"/>
  <c r="L48" i="50"/>
  <c r="L47" i="50"/>
  <c r="L46" i="50"/>
  <c r="L45" i="50"/>
  <c r="L44" i="50"/>
  <c r="L43" i="50"/>
  <c r="L36" i="50"/>
  <c r="L25" i="50"/>
  <c r="L24" i="50"/>
  <c r="L22" i="50"/>
  <c r="L21" i="50"/>
  <c r="L20" i="50"/>
  <c r="L19" i="50"/>
  <c r="L18" i="50"/>
  <c r="L17" i="50"/>
  <c r="L16" i="50"/>
  <c r="L13" i="50"/>
  <c r="L12" i="50"/>
  <c r="L11" i="50"/>
  <c r="L10" i="50"/>
  <c r="L9" i="50"/>
  <c r="D68" i="40"/>
  <c r="D67" i="40"/>
  <c r="D69" i="40"/>
  <c r="D73" i="40"/>
  <c r="D82" i="40"/>
  <c r="D76" i="1"/>
  <c r="D76" i="9"/>
  <c r="K76" i="45"/>
  <c r="I76" i="45"/>
  <c r="H76" i="45"/>
  <c r="G76" i="45"/>
  <c r="E76" i="45"/>
  <c r="D76" i="45"/>
  <c r="K75" i="45"/>
  <c r="I75" i="45"/>
  <c r="H75" i="45"/>
  <c r="G75" i="45"/>
  <c r="E75" i="45"/>
  <c r="D75" i="45"/>
  <c r="K74" i="45"/>
  <c r="H74" i="45"/>
  <c r="G74" i="45"/>
  <c r="E74" i="45"/>
  <c r="D74" i="45"/>
  <c r="K76" i="44"/>
  <c r="I76" i="44"/>
  <c r="H76" i="44"/>
  <c r="G76" i="44"/>
  <c r="E76" i="44"/>
  <c r="D76" i="44"/>
  <c r="K75" i="44"/>
  <c r="I75" i="44"/>
  <c r="H75" i="44"/>
  <c r="G75" i="44"/>
  <c r="E75" i="44"/>
  <c r="D75" i="44"/>
  <c r="K74" i="44"/>
  <c r="H74" i="44"/>
  <c r="G74" i="44"/>
  <c r="E74" i="44"/>
  <c r="D74" i="44"/>
  <c r="K76" i="40"/>
  <c r="I76" i="40"/>
  <c r="H76" i="40"/>
  <c r="G76" i="40"/>
  <c r="E76" i="40"/>
  <c r="D76" i="40"/>
  <c r="K75" i="40"/>
  <c r="I75" i="40"/>
  <c r="H75" i="40"/>
  <c r="G75" i="40"/>
  <c r="E75" i="40"/>
  <c r="D75" i="40"/>
  <c r="K74" i="40"/>
  <c r="H74" i="40"/>
  <c r="G74" i="40"/>
  <c r="E74" i="40"/>
  <c r="D74" i="40"/>
  <c r="K76" i="9"/>
  <c r="I76" i="9"/>
  <c r="H76" i="9"/>
  <c r="G76" i="9"/>
  <c r="E76" i="9"/>
  <c r="K75" i="9"/>
  <c r="I75" i="9"/>
  <c r="H75" i="9"/>
  <c r="G75" i="9"/>
  <c r="E75" i="9"/>
  <c r="D75" i="9"/>
  <c r="K74" i="9"/>
  <c r="H74" i="9"/>
  <c r="G74" i="9"/>
  <c r="E74" i="9"/>
  <c r="D74" i="9"/>
  <c r="K76" i="34"/>
  <c r="I76" i="34"/>
  <c r="H76" i="34"/>
  <c r="G76" i="34"/>
  <c r="E76" i="34"/>
  <c r="D76" i="34"/>
  <c r="K75" i="34"/>
  <c r="I75" i="34"/>
  <c r="H75" i="34"/>
  <c r="G75" i="34"/>
  <c r="E75" i="34"/>
  <c r="D75" i="34"/>
  <c r="K74" i="34"/>
  <c r="H74" i="34"/>
  <c r="G74" i="34"/>
  <c r="E74" i="34"/>
  <c r="D74" i="34"/>
  <c r="K76" i="35"/>
  <c r="I76" i="35"/>
  <c r="H76" i="35"/>
  <c r="G76" i="35"/>
  <c r="E76" i="35"/>
  <c r="D76" i="35"/>
  <c r="K75" i="35"/>
  <c r="I75" i="35"/>
  <c r="H75" i="35"/>
  <c r="G75" i="35"/>
  <c r="E75" i="35"/>
  <c r="D75" i="35"/>
  <c r="K74" i="35"/>
  <c r="H74" i="35"/>
  <c r="G74" i="35"/>
  <c r="E74" i="35"/>
  <c r="D74" i="35"/>
  <c r="K76" i="36"/>
  <c r="I76" i="36"/>
  <c r="H76" i="36"/>
  <c r="G76" i="36"/>
  <c r="E76" i="36"/>
  <c r="D76" i="36"/>
  <c r="K75" i="36"/>
  <c r="I75" i="36"/>
  <c r="H75" i="36"/>
  <c r="G75" i="36"/>
  <c r="E75" i="36"/>
  <c r="D75" i="36"/>
  <c r="K74" i="36"/>
  <c r="H74" i="36"/>
  <c r="G74" i="36"/>
  <c r="E74" i="36"/>
  <c r="D74" i="36"/>
  <c r="K76" i="37"/>
  <c r="J76" i="37"/>
  <c r="H76" i="37"/>
  <c r="G76" i="37"/>
  <c r="D76" i="37"/>
  <c r="K75" i="37"/>
  <c r="J75" i="37"/>
  <c r="H75" i="37"/>
  <c r="G75" i="37"/>
  <c r="D75" i="37"/>
  <c r="J74" i="37"/>
  <c r="H74" i="37"/>
  <c r="G74" i="37"/>
  <c r="D74" i="37"/>
  <c r="G79" i="37"/>
  <c r="K76" i="38"/>
  <c r="J76" i="38"/>
  <c r="H76" i="38"/>
  <c r="G76" i="38"/>
  <c r="E76" i="38"/>
  <c r="L75" i="38"/>
  <c r="K75" i="38"/>
  <c r="J75" i="38"/>
  <c r="I75" i="38"/>
  <c r="H75" i="38"/>
  <c r="G75" i="38"/>
  <c r="F75" i="38"/>
  <c r="E75" i="38"/>
  <c r="D75" i="38"/>
  <c r="J74" i="38"/>
  <c r="H74" i="38"/>
  <c r="G74" i="38"/>
  <c r="E74" i="1"/>
  <c r="G74" i="1"/>
  <c r="H74" i="1"/>
  <c r="K74" i="1"/>
  <c r="E75" i="1"/>
  <c r="F75" i="1"/>
  <c r="G75" i="1"/>
  <c r="H75" i="1"/>
  <c r="I75" i="1"/>
  <c r="J75" i="1"/>
  <c r="K75" i="1"/>
  <c r="L75" i="1"/>
  <c r="E76" i="1"/>
  <c r="G76" i="1"/>
  <c r="H76" i="1"/>
  <c r="I76" i="1"/>
  <c r="K76" i="1"/>
  <c r="D74" i="1"/>
  <c r="D75" i="1"/>
  <c r="G80" i="37"/>
  <c r="G81" i="37"/>
  <c r="J61" i="37"/>
  <c r="J59" i="37"/>
  <c r="G59" i="37"/>
  <c r="D59" i="37"/>
  <c r="H59" i="37"/>
  <c r="G61" i="37"/>
  <c r="D61" i="37"/>
  <c r="H61" i="37"/>
  <c r="G71" i="37"/>
  <c r="D71" i="37"/>
  <c r="D63" i="40"/>
  <c r="F66" i="38"/>
  <c r="L31" i="46"/>
  <c r="H54" i="46"/>
  <c r="H43" i="46"/>
  <c r="H36" i="46"/>
  <c r="H23" i="46"/>
  <c r="I54" i="46"/>
  <c r="I43" i="46"/>
  <c r="I36" i="46"/>
  <c r="I23" i="46"/>
  <c r="L48" i="46"/>
  <c r="L49" i="46"/>
  <c r="L53" i="46"/>
  <c r="L37" i="46"/>
  <c r="L40" i="46"/>
  <c r="L25" i="46"/>
  <c r="L34" i="46"/>
  <c r="L11" i="46"/>
  <c r="L12" i="46"/>
  <c r="L13" i="46"/>
  <c r="L16" i="46"/>
  <c r="L17" i="46"/>
  <c r="L19" i="46"/>
  <c r="L20" i="46"/>
  <c r="L8" i="46"/>
  <c r="L7" i="46"/>
  <c r="L38" i="46"/>
  <c r="L28" i="46"/>
  <c r="C62" i="1"/>
  <c r="E61" i="1"/>
  <c r="I74" i="45"/>
  <c r="K53" i="43"/>
  <c r="K52" i="43"/>
  <c r="K51" i="43"/>
  <c r="K50" i="43"/>
  <c r="K49" i="43"/>
  <c r="K48" i="43"/>
  <c r="K47" i="43"/>
  <c r="K44" i="43"/>
  <c r="K45" i="43"/>
  <c r="K46" i="43"/>
  <c r="K54" i="43"/>
  <c r="K42" i="43"/>
  <c r="K41" i="43"/>
  <c r="K40" i="43"/>
  <c r="K39" i="43"/>
  <c r="K38" i="43"/>
  <c r="K37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2" i="43"/>
  <c r="K21" i="43"/>
  <c r="K20" i="43"/>
  <c r="K19" i="43"/>
  <c r="K18" i="43"/>
  <c r="K17" i="43"/>
  <c r="K16" i="43"/>
  <c r="K15" i="43"/>
  <c r="K14" i="43"/>
  <c r="K13" i="43"/>
  <c r="K12" i="43"/>
  <c r="K11" i="43"/>
  <c r="K10" i="43"/>
  <c r="K9" i="43"/>
  <c r="K8" i="43"/>
  <c r="K7" i="43"/>
  <c r="K6" i="43"/>
  <c r="I50" i="43"/>
  <c r="I44" i="43"/>
  <c r="I42" i="43"/>
  <c r="I41" i="43"/>
  <c r="I37" i="43"/>
  <c r="I35" i="43"/>
  <c r="I32" i="43"/>
  <c r="I30" i="43"/>
  <c r="I29" i="43"/>
  <c r="I27" i="43"/>
  <c r="I26" i="43"/>
  <c r="I25" i="43"/>
  <c r="I24" i="43"/>
  <c r="I21" i="43"/>
  <c r="I20" i="43"/>
  <c r="I19" i="43"/>
  <c r="I16" i="43"/>
  <c r="I15" i="43"/>
  <c r="I14" i="43"/>
  <c r="I13" i="43"/>
  <c r="I11" i="43"/>
  <c r="I10" i="43"/>
  <c r="I9" i="43"/>
  <c r="I8" i="43"/>
  <c r="I7" i="43"/>
  <c r="I6" i="43"/>
  <c r="H53" i="43"/>
  <c r="H52" i="43"/>
  <c r="H51" i="43"/>
  <c r="H50" i="43"/>
  <c r="H49" i="43"/>
  <c r="H48" i="43"/>
  <c r="H47" i="43"/>
  <c r="H46" i="43"/>
  <c r="H45" i="43"/>
  <c r="H44" i="43"/>
  <c r="H42" i="43"/>
  <c r="H41" i="43"/>
  <c r="H40" i="43"/>
  <c r="H39" i="43"/>
  <c r="H38" i="43"/>
  <c r="H37" i="43"/>
  <c r="H43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36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9" i="43"/>
  <c r="H10" i="43"/>
  <c r="H23" i="43"/>
  <c r="H8" i="43"/>
  <c r="H7" i="43"/>
  <c r="H6" i="43"/>
  <c r="G53" i="43"/>
  <c r="G52" i="43"/>
  <c r="G51" i="43"/>
  <c r="G50" i="43"/>
  <c r="G49" i="43"/>
  <c r="G48" i="43"/>
  <c r="G47" i="43"/>
  <c r="G46" i="43"/>
  <c r="G45" i="43"/>
  <c r="G44" i="43"/>
  <c r="G42" i="43"/>
  <c r="G41" i="43"/>
  <c r="G40" i="43"/>
  <c r="G39" i="43"/>
  <c r="G38" i="43"/>
  <c r="G37" i="43"/>
  <c r="G43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36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23" i="43"/>
  <c r="G8" i="43"/>
  <c r="G7" i="43"/>
  <c r="G6" i="43"/>
  <c r="E53" i="43"/>
  <c r="E52" i="43"/>
  <c r="E51" i="43"/>
  <c r="E50" i="43"/>
  <c r="E49" i="43"/>
  <c r="E48" i="43"/>
  <c r="E47" i="43"/>
  <c r="E46" i="43"/>
  <c r="E45" i="43"/>
  <c r="E44" i="43"/>
  <c r="E42" i="43"/>
  <c r="E41" i="43"/>
  <c r="E40" i="43"/>
  <c r="E37" i="43"/>
  <c r="E38" i="43"/>
  <c r="E39" i="43"/>
  <c r="E43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23" i="43"/>
  <c r="E8" i="43"/>
  <c r="E7" i="43"/>
  <c r="E6" i="43"/>
  <c r="D53" i="43"/>
  <c r="D52" i="43"/>
  <c r="D51" i="43"/>
  <c r="D50" i="43"/>
  <c r="D49" i="43"/>
  <c r="D48" i="43"/>
  <c r="D47" i="43"/>
  <c r="D46" i="43"/>
  <c r="D44" i="43"/>
  <c r="D45" i="43"/>
  <c r="D54" i="43"/>
  <c r="D42" i="43"/>
  <c r="D41" i="43"/>
  <c r="D40" i="43"/>
  <c r="D39" i="43"/>
  <c r="D38" i="43"/>
  <c r="D37" i="43"/>
  <c r="D35" i="43"/>
  <c r="D34" i="43"/>
  <c r="D33" i="43"/>
  <c r="D32" i="43"/>
  <c r="D31" i="43"/>
  <c r="D30" i="43"/>
  <c r="D29" i="43"/>
  <c r="D28" i="43"/>
  <c r="D27" i="43"/>
  <c r="D26" i="43"/>
  <c r="D25" i="43"/>
  <c r="D24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D6" i="43"/>
  <c r="K59" i="45"/>
  <c r="H59" i="45"/>
  <c r="G59" i="45"/>
  <c r="E59" i="45"/>
  <c r="D59" i="45"/>
  <c r="K67" i="45"/>
  <c r="G67" i="45"/>
  <c r="E67" i="45"/>
  <c r="D67" i="45"/>
  <c r="L53" i="45"/>
  <c r="L46" i="45"/>
  <c r="L44" i="45"/>
  <c r="L42" i="45"/>
  <c r="F39" i="43"/>
  <c r="L37" i="45"/>
  <c r="L34" i="45"/>
  <c r="L31" i="45"/>
  <c r="L32" i="45"/>
  <c r="L59" i="45"/>
  <c r="L29" i="45"/>
  <c r="K68" i="45"/>
  <c r="H68" i="45"/>
  <c r="G68" i="45"/>
  <c r="E68" i="45"/>
  <c r="D68" i="45"/>
  <c r="L22" i="45"/>
  <c r="L20" i="45"/>
  <c r="L17" i="45"/>
  <c r="L15" i="45"/>
  <c r="F75" i="45"/>
  <c r="L6" i="45"/>
  <c r="K59" i="44"/>
  <c r="H59" i="44"/>
  <c r="G59" i="44"/>
  <c r="E59" i="44"/>
  <c r="D59" i="44"/>
  <c r="K58" i="1"/>
  <c r="H58" i="1"/>
  <c r="G58" i="1"/>
  <c r="E58" i="1"/>
  <c r="D58" i="1"/>
  <c r="F58" i="1"/>
  <c r="J47" i="43"/>
  <c r="J19" i="43"/>
  <c r="F76" i="44"/>
  <c r="L42" i="44"/>
  <c r="L40" i="44"/>
  <c r="L37" i="44"/>
  <c r="L34" i="44"/>
  <c r="F59" i="44"/>
  <c r="L26" i="44"/>
  <c r="L25" i="44"/>
  <c r="J21" i="43"/>
  <c r="L20" i="44"/>
  <c r="L17" i="44"/>
  <c r="L16" i="44"/>
  <c r="L15" i="44"/>
  <c r="L12" i="44"/>
  <c r="K67" i="44"/>
  <c r="G67" i="44"/>
  <c r="E67" i="44"/>
  <c r="D67" i="44"/>
  <c r="K68" i="44"/>
  <c r="H68" i="44"/>
  <c r="G68" i="44"/>
  <c r="E68" i="44"/>
  <c r="D68" i="44"/>
  <c r="L11" i="44"/>
  <c r="J75" i="44"/>
  <c r="J7" i="43"/>
  <c r="J76" i="40"/>
  <c r="K67" i="40"/>
  <c r="G67" i="40"/>
  <c r="E67" i="40"/>
  <c r="L44" i="40"/>
  <c r="L35" i="40"/>
  <c r="L32" i="40"/>
  <c r="L30" i="40"/>
  <c r="L29" i="40"/>
  <c r="L28" i="40"/>
  <c r="K68" i="40"/>
  <c r="H68" i="40"/>
  <c r="G68" i="40"/>
  <c r="E68" i="40"/>
  <c r="L19" i="40"/>
  <c r="L16" i="40"/>
  <c r="L15" i="40"/>
  <c r="L12" i="40"/>
  <c r="L9" i="40"/>
  <c r="J75" i="40"/>
  <c r="L6" i="40"/>
  <c r="I68" i="34"/>
  <c r="L49" i="34"/>
  <c r="L47" i="36"/>
  <c r="N22" i="37"/>
  <c r="N18" i="37"/>
  <c r="E59" i="37"/>
  <c r="N46" i="37"/>
  <c r="E76" i="37"/>
  <c r="N29" i="37"/>
  <c r="H68" i="37"/>
  <c r="I75" i="37"/>
  <c r="N33" i="38"/>
  <c r="N21" i="38"/>
  <c r="N18" i="38"/>
  <c r="N40" i="38"/>
  <c r="N31" i="38"/>
  <c r="H68" i="38"/>
  <c r="G68" i="38"/>
  <c r="G68" i="1"/>
  <c r="G67" i="1"/>
  <c r="K67" i="34"/>
  <c r="G67" i="34"/>
  <c r="D67" i="34"/>
  <c r="L52" i="34"/>
  <c r="J76" i="34"/>
  <c r="L50" i="34"/>
  <c r="L42" i="34"/>
  <c r="L40" i="34"/>
  <c r="F74" i="34"/>
  <c r="L37" i="34"/>
  <c r="L25" i="34"/>
  <c r="L24" i="34"/>
  <c r="K68" i="34"/>
  <c r="H68" i="34"/>
  <c r="E68" i="34"/>
  <c r="D68" i="34"/>
  <c r="L19" i="34"/>
  <c r="L14" i="34"/>
  <c r="L8" i="34"/>
  <c r="J75" i="34"/>
  <c r="F75" i="34"/>
  <c r="K67" i="35"/>
  <c r="G67" i="35"/>
  <c r="L52" i="35"/>
  <c r="L48" i="35"/>
  <c r="L32" i="35"/>
  <c r="L31" i="35"/>
  <c r="L30" i="35"/>
  <c r="L28" i="35"/>
  <c r="K68" i="35"/>
  <c r="H68" i="35"/>
  <c r="E68" i="35"/>
  <c r="L21" i="35"/>
  <c r="L16" i="35"/>
  <c r="L9" i="35"/>
  <c r="J75" i="35"/>
  <c r="L6" i="35"/>
  <c r="K67" i="36"/>
  <c r="G67" i="36"/>
  <c r="E67" i="36"/>
  <c r="D67" i="36"/>
  <c r="L53" i="36"/>
  <c r="L51" i="36"/>
  <c r="L49" i="36"/>
  <c r="L48" i="36"/>
  <c r="L45" i="36"/>
  <c r="L42" i="36"/>
  <c r="L40" i="36"/>
  <c r="L26" i="36"/>
  <c r="L25" i="36"/>
  <c r="K68" i="36"/>
  <c r="H68" i="36"/>
  <c r="G68" i="36"/>
  <c r="D68" i="36"/>
  <c r="L22" i="36"/>
  <c r="L19" i="36"/>
  <c r="L18" i="36"/>
  <c r="L17" i="36"/>
  <c r="L14" i="36"/>
  <c r="L13" i="36"/>
  <c r="L12" i="36"/>
  <c r="L10" i="36"/>
  <c r="L9" i="36"/>
  <c r="J75" i="36"/>
  <c r="M67" i="37"/>
  <c r="L76" i="37"/>
  <c r="N49" i="37"/>
  <c r="N30" i="37"/>
  <c r="N20" i="37"/>
  <c r="N19" i="37"/>
  <c r="L75" i="37"/>
  <c r="N6" i="37"/>
  <c r="M67" i="38"/>
  <c r="N42" i="38"/>
  <c r="N29" i="38"/>
  <c r="N27" i="38"/>
  <c r="N25" i="38"/>
  <c r="M68" i="38"/>
  <c r="N20" i="38"/>
  <c r="N17" i="38"/>
  <c r="N15" i="38"/>
  <c r="N11" i="38"/>
  <c r="N9" i="38"/>
  <c r="I34" i="43"/>
  <c r="I31" i="43"/>
  <c r="L33" i="9"/>
  <c r="L32" i="9"/>
  <c r="L24" i="9"/>
  <c r="L19" i="9"/>
  <c r="L18" i="9"/>
  <c r="L15" i="9"/>
  <c r="L11" i="9"/>
  <c r="F75" i="9"/>
  <c r="L6" i="9"/>
  <c r="H68" i="9"/>
  <c r="L52" i="9"/>
  <c r="L49" i="9"/>
  <c r="L47" i="9"/>
  <c r="L42" i="9"/>
  <c r="L38" i="9"/>
  <c r="L26" i="9"/>
  <c r="L22" i="9"/>
  <c r="L20" i="9"/>
  <c r="L16" i="9"/>
  <c r="L13" i="9"/>
  <c r="L12" i="9"/>
  <c r="L9" i="9"/>
  <c r="L8" i="9"/>
  <c r="J35" i="43"/>
  <c r="J30" i="43"/>
  <c r="J27" i="43"/>
  <c r="J16" i="43"/>
  <c r="L11" i="1"/>
  <c r="J10" i="43"/>
  <c r="H68" i="1"/>
  <c r="J8" i="43"/>
  <c r="L8" i="1"/>
  <c r="L47" i="1"/>
  <c r="F47" i="43"/>
  <c r="L42" i="1"/>
  <c r="F40" i="43"/>
  <c r="L37" i="1"/>
  <c r="L35" i="1"/>
  <c r="L32" i="1"/>
  <c r="F29" i="43"/>
  <c r="F27" i="43"/>
  <c r="L26" i="1"/>
  <c r="F21" i="43"/>
  <c r="L21" i="43"/>
  <c r="L20" i="1"/>
  <c r="F20" i="43"/>
  <c r="F8" i="43"/>
  <c r="F6" i="43"/>
  <c r="D67" i="9"/>
  <c r="E67" i="9"/>
  <c r="E67" i="1"/>
  <c r="K67" i="9"/>
  <c r="K67" i="1"/>
  <c r="D68" i="9"/>
  <c r="E68" i="9"/>
  <c r="G68" i="9"/>
  <c r="K68" i="9"/>
  <c r="D68" i="1"/>
  <c r="E68" i="1"/>
  <c r="K68" i="1"/>
  <c r="L21" i="34"/>
  <c r="L16" i="34"/>
  <c r="L31" i="34"/>
  <c r="L11" i="35"/>
  <c r="L10" i="35"/>
  <c r="L27" i="35"/>
  <c r="L8" i="35"/>
  <c r="L27" i="36"/>
  <c r="L12" i="34"/>
  <c r="L39" i="34"/>
  <c r="L44" i="34"/>
  <c r="L28" i="34"/>
  <c r="L12" i="35"/>
  <c r="L25" i="35"/>
  <c r="L32" i="36"/>
  <c r="I68" i="36"/>
  <c r="L28" i="36"/>
  <c r="N24" i="37"/>
  <c r="N28" i="37"/>
  <c r="L38" i="40"/>
  <c r="L51" i="40"/>
  <c r="L17" i="40"/>
  <c r="L27" i="40"/>
  <c r="L34" i="40"/>
  <c r="N15" i="37"/>
  <c r="L14" i="35"/>
  <c r="L40" i="9"/>
  <c r="L13" i="40"/>
  <c r="L14" i="40"/>
  <c r="L46" i="40"/>
  <c r="L50" i="40"/>
  <c r="L52" i="40"/>
  <c r="L53" i="40"/>
  <c r="L49" i="40"/>
  <c r="I68" i="40"/>
  <c r="L24" i="40"/>
  <c r="L26" i="40"/>
  <c r="L33" i="40"/>
  <c r="L40" i="40"/>
  <c r="L42" i="40"/>
  <c r="L8" i="40"/>
  <c r="L10" i="9"/>
  <c r="L14" i="9"/>
  <c r="L27" i="9"/>
  <c r="L10" i="40"/>
  <c r="L51" i="9"/>
  <c r="N13" i="38"/>
  <c r="L47" i="40"/>
  <c r="L29" i="34"/>
  <c r="L19" i="44"/>
  <c r="L13" i="44"/>
  <c r="L10" i="44"/>
  <c r="L8" i="44"/>
  <c r="L6" i="44"/>
  <c r="L9" i="44"/>
  <c r="L41" i="44"/>
  <c r="L38" i="44"/>
  <c r="L49" i="44"/>
  <c r="L46" i="44"/>
  <c r="L44" i="44"/>
  <c r="L35" i="44"/>
  <c r="L32" i="44"/>
  <c r="L30" i="44"/>
  <c r="L33" i="44"/>
  <c r="L28" i="44"/>
  <c r="G5" i="42"/>
  <c r="H5" i="42" s="1"/>
  <c r="J37" i="43"/>
  <c r="L19" i="1"/>
  <c r="L33" i="1"/>
  <c r="J53" i="43"/>
  <c r="J41" i="43"/>
  <c r="J9" i="43"/>
  <c r="L27" i="1"/>
  <c r="L9" i="34"/>
  <c r="N38" i="37"/>
  <c r="N44" i="37"/>
  <c r="N26" i="37"/>
  <c r="N9" i="37"/>
  <c r="L46" i="35"/>
  <c r="L33" i="34"/>
  <c r="L27" i="44"/>
  <c r="L45" i="44"/>
  <c r="I68" i="44"/>
  <c r="L47" i="34"/>
  <c r="N24" i="38"/>
  <c r="J12" i="42"/>
  <c r="L48" i="9"/>
  <c r="L27" i="34"/>
  <c r="N31" i="37"/>
  <c r="L37" i="40"/>
  <c r="L48" i="40"/>
  <c r="J17" i="43"/>
  <c r="L18" i="40"/>
  <c r="N16" i="37"/>
  <c r="L51" i="44"/>
  <c r="J34" i="43"/>
  <c r="J6" i="43"/>
  <c r="J24" i="43"/>
  <c r="L24" i="44"/>
  <c r="L22" i="44"/>
  <c r="L39" i="35"/>
  <c r="L18" i="35"/>
  <c r="L46" i="36"/>
  <c r="L6" i="36"/>
  <c r="L10" i="34"/>
  <c r="N8" i="38"/>
  <c r="N35" i="37"/>
  <c r="L44" i="35"/>
  <c r="L11" i="34"/>
  <c r="N21" i="37"/>
  <c r="L45" i="34"/>
  <c r="L31" i="36"/>
  <c r="L26" i="45"/>
  <c r="L30" i="45"/>
  <c r="H54" i="43"/>
  <c r="L19" i="45"/>
  <c r="F59" i="45"/>
  <c r="L13" i="45"/>
  <c r="L16" i="45"/>
  <c r="L27" i="45"/>
  <c r="L52" i="45"/>
  <c r="L45" i="45"/>
  <c r="L51" i="45"/>
  <c r="L12" i="45"/>
  <c r="L40" i="45"/>
  <c r="L21" i="45"/>
  <c r="L47" i="45"/>
  <c r="I68" i="45"/>
  <c r="I67" i="45"/>
  <c r="I69" i="45"/>
  <c r="I73" i="45"/>
  <c r="L38" i="45"/>
  <c r="L14" i="45"/>
  <c r="F46" i="43"/>
  <c r="L49" i="45"/>
  <c r="L16" i="1"/>
  <c r="L30" i="1"/>
  <c r="I38" i="43"/>
  <c r="J38" i="43"/>
  <c r="I12" i="43"/>
  <c r="L12" i="1"/>
  <c r="I68" i="1"/>
  <c r="F42" i="43"/>
  <c r="J42" i="43"/>
  <c r="L42" i="43"/>
  <c r="L33" i="45"/>
  <c r="I33" i="43"/>
  <c r="F15" i="43"/>
  <c r="L15" i="1"/>
  <c r="L21" i="9"/>
  <c r="I18" i="43"/>
  <c r="J18" i="43"/>
  <c r="I59" i="45"/>
  <c r="L29" i="1"/>
  <c r="L8" i="45"/>
  <c r="L43" i="40"/>
  <c r="L37" i="36"/>
  <c r="L30" i="36"/>
  <c r="F13" i="43"/>
  <c r="L13" i="1"/>
  <c r="L24" i="1"/>
  <c r="L17" i="9"/>
  <c r="L45" i="9"/>
  <c r="L20" i="36"/>
  <c r="L24" i="36"/>
  <c r="L41" i="36"/>
  <c r="L47" i="35"/>
  <c r="L15" i="34"/>
  <c r="L23" i="34"/>
  <c r="L21" i="40"/>
  <c r="N42" i="37"/>
  <c r="L29" i="35"/>
  <c r="F17" i="43"/>
  <c r="L17" i="43"/>
  <c r="F19" i="43"/>
  <c r="L25" i="45"/>
  <c r="F25" i="43"/>
  <c r="F33" i="43"/>
  <c r="L35" i="45"/>
  <c r="F45" i="43"/>
  <c r="I45" i="43"/>
  <c r="J26" i="43"/>
  <c r="F50" i="43"/>
  <c r="L50" i="45"/>
  <c r="L9" i="48"/>
  <c r="L13" i="34"/>
  <c r="N12" i="38"/>
  <c r="L11" i="40"/>
  <c r="L22" i="40"/>
  <c r="J15" i="43"/>
  <c r="L15" i="43"/>
  <c r="J20" i="43"/>
  <c r="F16" i="43"/>
  <c r="L18" i="45"/>
  <c r="F28" i="43"/>
  <c r="L53" i="34"/>
  <c r="F30" i="43"/>
  <c r="L30" i="43"/>
  <c r="F38" i="43"/>
  <c r="F7" i="43"/>
  <c r="L7" i="43"/>
  <c r="I22" i="43"/>
  <c r="J28" i="43"/>
  <c r="L28" i="1"/>
  <c r="J59" i="45"/>
  <c r="L38" i="1"/>
  <c r="N13" i="37"/>
  <c r="K15" i="48"/>
  <c r="L11" i="48"/>
  <c r="D55" i="43"/>
  <c r="G13" i="48"/>
  <c r="H13" i="48"/>
  <c r="F67" i="36"/>
  <c r="L52" i="1"/>
  <c r="L41" i="9"/>
  <c r="J60" i="37"/>
  <c r="J67" i="37"/>
  <c r="J65" i="37"/>
  <c r="L15" i="48"/>
  <c r="L14" i="48"/>
  <c r="F32" i="43"/>
  <c r="F35" i="43"/>
  <c r="F18" i="43"/>
  <c r="L18" i="43"/>
  <c r="J15" i="48"/>
  <c r="J11" i="43"/>
  <c r="L21" i="44"/>
  <c r="E69" i="1"/>
  <c r="E73" i="1"/>
  <c r="L6" i="43"/>
  <c r="F41" i="43"/>
  <c r="L7" i="9"/>
  <c r="L75" i="9"/>
  <c r="J75" i="9"/>
  <c r="I67" i="9"/>
  <c r="J32" i="43"/>
  <c r="N32" i="37"/>
  <c r="L39" i="36"/>
  <c r="F74" i="36"/>
  <c r="G9" i="48"/>
  <c r="H9" i="48"/>
  <c r="G68" i="35"/>
  <c r="D76" i="38"/>
  <c r="D66" i="38"/>
  <c r="D65" i="38"/>
  <c r="F74" i="37"/>
  <c r="E74" i="37"/>
  <c r="E71" i="37"/>
  <c r="E69" i="40"/>
  <c r="E73" i="40"/>
  <c r="L31" i="40"/>
  <c r="I74" i="40"/>
  <c r="L7" i="45"/>
  <c r="L75" i="45"/>
  <c r="J75" i="45"/>
  <c r="H67" i="45"/>
  <c r="H69" i="45"/>
  <c r="H73" i="45"/>
  <c r="F48" i="43"/>
  <c r="F51" i="43"/>
  <c r="H65" i="45"/>
  <c r="D43" i="43"/>
  <c r="L20" i="43"/>
  <c r="L47" i="43"/>
  <c r="L28" i="48"/>
  <c r="K69" i="1"/>
  <c r="K73" i="1"/>
  <c r="K69" i="9"/>
  <c r="K73" i="9"/>
  <c r="F67" i="9"/>
  <c r="E74" i="38"/>
  <c r="L38" i="35"/>
  <c r="J29" i="43"/>
  <c r="L29" i="43"/>
  <c r="L16" i="43"/>
  <c r="L18" i="1"/>
  <c r="L23" i="36"/>
  <c r="L15" i="36"/>
  <c r="L68" i="36"/>
  <c r="D67" i="38"/>
  <c r="F67" i="35"/>
  <c r="D30" i="48"/>
  <c r="D31" i="48"/>
  <c r="D14" i="48"/>
  <c r="D15" i="48"/>
  <c r="J22" i="43"/>
  <c r="L10" i="48"/>
  <c r="L29" i="44"/>
  <c r="N50" i="37"/>
  <c r="J12" i="48"/>
  <c r="E69" i="9"/>
  <c r="E73" i="9"/>
  <c r="G67" i="9"/>
  <c r="D67" i="1"/>
  <c r="L34" i="1"/>
  <c r="F76" i="1"/>
  <c r="L6" i="1"/>
  <c r="J14" i="43"/>
  <c r="L35" i="43"/>
  <c r="L76" i="38"/>
  <c r="N27" i="37"/>
  <c r="F59" i="37"/>
  <c r="D69" i="36"/>
  <c r="D73" i="36"/>
  <c r="K69" i="36"/>
  <c r="K73" i="36"/>
  <c r="G5" i="48"/>
  <c r="H5" i="48"/>
  <c r="J74" i="40"/>
  <c r="L19" i="43"/>
  <c r="I77" i="45"/>
  <c r="I72" i="45"/>
  <c r="G6" i="48"/>
  <c r="J21" i="48"/>
  <c r="J5" i="48"/>
  <c r="L50" i="9"/>
  <c r="F76" i="9"/>
  <c r="I58" i="1"/>
  <c r="J58" i="1"/>
  <c r="L58" i="1"/>
  <c r="L7" i="36"/>
  <c r="L75" i="36"/>
  <c r="F75" i="36"/>
  <c r="L50" i="36"/>
  <c r="J76" i="36"/>
  <c r="I74" i="35"/>
  <c r="L34" i="35"/>
  <c r="G69" i="44"/>
  <c r="G73" i="44"/>
  <c r="L39" i="45"/>
  <c r="L74" i="45"/>
  <c r="F74" i="45"/>
  <c r="G12" i="48"/>
  <c r="H12" i="48"/>
  <c r="F34" i="43"/>
  <c r="G55" i="43"/>
  <c r="I67" i="38"/>
  <c r="L76" i="45"/>
  <c r="L12" i="48"/>
  <c r="L29" i="48"/>
  <c r="L43" i="34"/>
  <c r="L13" i="48"/>
  <c r="I67" i="1"/>
  <c r="I69" i="1"/>
  <c r="I73" i="1"/>
  <c r="I67" i="40"/>
  <c r="I69" i="40"/>
  <c r="I73" i="40"/>
  <c r="I65" i="40"/>
  <c r="L76" i="40"/>
  <c r="D69" i="9"/>
  <c r="D73" i="9"/>
  <c r="D5" i="48"/>
  <c r="F31" i="43"/>
  <c r="F74" i="1"/>
  <c r="J45" i="43"/>
  <c r="J6" i="48"/>
  <c r="J68" i="38"/>
  <c r="L52" i="36"/>
  <c r="F74" i="35"/>
  <c r="F76" i="35"/>
  <c r="E67" i="35"/>
  <c r="E67" i="34"/>
  <c r="G7" i="48"/>
  <c r="H67" i="37"/>
  <c r="H65" i="37"/>
  <c r="L33" i="36"/>
  <c r="I68" i="35"/>
  <c r="L22" i="35"/>
  <c r="J44" i="43"/>
  <c r="J68" i="1"/>
  <c r="J76" i="1"/>
  <c r="L29" i="9"/>
  <c r="L31" i="9"/>
  <c r="I17" i="43"/>
  <c r="I23" i="43"/>
  <c r="M69" i="38"/>
  <c r="L68" i="38"/>
  <c r="N14" i="37"/>
  <c r="J62" i="37"/>
  <c r="J68" i="37"/>
  <c r="N51" i="37"/>
  <c r="L21" i="36"/>
  <c r="E68" i="36"/>
  <c r="J74" i="36"/>
  <c r="L20" i="35"/>
  <c r="J74" i="35"/>
  <c r="L50" i="35"/>
  <c r="J76" i="35"/>
  <c r="L6" i="34"/>
  <c r="L76" i="34"/>
  <c r="G10" i="48"/>
  <c r="H10" i="48"/>
  <c r="G68" i="34"/>
  <c r="L30" i="34"/>
  <c r="F68" i="34"/>
  <c r="I74" i="38"/>
  <c r="N46" i="38"/>
  <c r="I76" i="38"/>
  <c r="G67" i="38"/>
  <c r="G65" i="38"/>
  <c r="N47" i="38"/>
  <c r="K74" i="38"/>
  <c r="N22" i="38"/>
  <c r="G62" i="37"/>
  <c r="G68" i="37"/>
  <c r="N37" i="37"/>
  <c r="N41" i="37"/>
  <c r="I68" i="37"/>
  <c r="N48" i="37"/>
  <c r="N47" i="37"/>
  <c r="N53" i="37"/>
  <c r="N40" i="37"/>
  <c r="D68" i="35"/>
  <c r="G69" i="40"/>
  <c r="G73" i="40"/>
  <c r="F76" i="40"/>
  <c r="H67" i="40"/>
  <c r="H65" i="40"/>
  <c r="H67" i="44"/>
  <c r="H69" i="44"/>
  <c r="H73" i="44"/>
  <c r="H65" i="44"/>
  <c r="L47" i="44"/>
  <c r="J76" i="44"/>
  <c r="L53" i="44"/>
  <c r="L18" i="44"/>
  <c r="I74" i="44"/>
  <c r="F12" i="43"/>
  <c r="F14" i="43"/>
  <c r="L14" i="43"/>
  <c r="D69" i="45"/>
  <c r="D73" i="45"/>
  <c r="K69" i="45"/>
  <c r="K73" i="45"/>
  <c r="J74" i="45"/>
  <c r="D23" i="43"/>
  <c r="H67" i="1"/>
  <c r="H69" i="1"/>
  <c r="H73" i="1"/>
  <c r="H65" i="1"/>
  <c r="L21" i="1"/>
  <c r="J76" i="9"/>
  <c r="H67" i="9"/>
  <c r="H69" i="9"/>
  <c r="H73" i="9"/>
  <c r="H65" i="9"/>
  <c r="F74" i="9"/>
  <c r="I52" i="43"/>
  <c r="I74" i="1"/>
  <c r="N6" i="38"/>
  <c r="N19" i="38"/>
  <c r="N53" i="38"/>
  <c r="N11" i="37"/>
  <c r="M68" i="37"/>
  <c r="L8" i="36"/>
  <c r="G69" i="36"/>
  <c r="G73" i="36"/>
  <c r="L29" i="36"/>
  <c r="L44" i="36"/>
  <c r="H67" i="36"/>
  <c r="H65" i="36"/>
  <c r="L7" i="35"/>
  <c r="L75" i="35"/>
  <c r="F75" i="35"/>
  <c r="K69" i="35"/>
  <c r="K73" i="35"/>
  <c r="L35" i="35"/>
  <c r="L40" i="35"/>
  <c r="L42" i="35"/>
  <c r="L51" i="35"/>
  <c r="H67" i="35"/>
  <c r="H69" i="35"/>
  <c r="H73" i="35"/>
  <c r="H65" i="35"/>
  <c r="L7" i="34"/>
  <c r="L75" i="34"/>
  <c r="L20" i="34"/>
  <c r="L22" i="34"/>
  <c r="L26" i="34"/>
  <c r="L38" i="34"/>
  <c r="J68" i="34"/>
  <c r="H67" i="34"/>
  <c r="H69" i="34"/>
  <c r="H73" i="34"/>
  <c r="H65" i="34"/>
  <c r="G69" i="1"/>
  <c r="G73" i="1"/>
  <c r="I65" i="38"/>
  <c r="H67" i="38"/>
  <c r="H69" i="38"/>
  <c r="H73" i="38"/>
  <c r="H65" i="38"/>
  <c r="N52" i="38"/>
  <c r="N35" i="38"/>
  <c r="H69" i="37"/>
  <c r="H73" i="37"/>
  <c r="E75" i="37"/>
  <c r="L74" i="37"/>
  <c r="K74" i="37"/>
  <c r="E61" i="37"/>
  <c r="H69" i="40"/>
  <c r="H73" i="40"/>
  <c r="D69" i="44"/>
  <c r="D73" i="44"/>
  <c r="K69" i="44"/>
  <c r="K73" i="44"/>
  <c r="L10" i="45"/>
  <c r="E69" i="45"/>
  <c r="E73" i="45"/>
  <c r="L24" i="45"/>
  <c r="F76" i="45"/>
  <c r="J74" i="9"/>
  <c r="I74" i="9"/>
  <c r="N30" i="38"/>
  <c r="J67" i="38"/>
  <c r="J65" i="38"/>
  <c r="D68" i="37"/>
  <c r="D62" i="37"/>
  <c r="H62" i="37"/>
  <c r="F61" i="37"/>
  <c r="I61" i="37"/>
  <c r="F76" i="37"/>
  <c r="D67" i="37"/>
  <c r="D60" i="37"/>
  <c r="L16" i="36"/>
  <c r="H69" i="36"/>
  <c r="H73" i="36"/>
  <c r="F76" i="36"/>
  <c r="L13" i="35"/>
  <c r="L17" i="35"/>
  <c r="E69" i="35"/>
  <c r="E73" i="35"/>
  <c r="L26" i="35"/>
  <c r="D67" i="35"/>
  <c r="L17" i="34"/>
  <c r="D69" i="34"/>
  <c r="D73" i="34"/>
  <c r="K69" i="34"/>
  <c r="K73" i="34"/>
  <c r="L35" i="34"/>
  <c r="L34" i="34"/>
  <c r="L32" i="34"/>
  <c r="L74" i="34"/>
  <c r="F76" i="34"/>
  <c r="G69" i="38"/>
  <c r="G73" i="38"/>
  <c r="I68" i="38"/>
  <c r="N34" i="38"/>
  <c r="E68" i="38"/>
  <c r="D74" i="38"/>
  <c r="K68" i="38"/>
  <c r="I74" i="37"/>
  <c r="I76" i="37"/>
  <c r="G60" i="37"/>
  <c r="G63" i="37"/>
  <c r="G67" i="37"/>
  <c r="G65" i="37"/>
  <c r="I74" i="36"/>
  <c r="J74" i="34"/>
  <c r="I74" i="34"/>
  <c r="L7" i="40"/>
  <c r="L75" i="40"/>
  <c r="F75" i="40"/>
  <c r="L20" i="40"/>
  <c r="C13" i="48"/>
  <c r="K69" i="40"/>
  <c r="K73" i="40"/>
  <c r="L39" i="40"/>
  <c r="L74" i="40"/>
  <c r="F74" i="40"/>
  <c r="L41" i="40"/>
  <c r="F68" i="40"/>
  <c r="L7" i="44"/>
  <c r="L75" i="44"/>
  <c r="F75" i="44"/>
  <c r="E69" i="44"/>
  <c r="E73" i="44"/>
  <c r="L14" i="44"/>
  <c r="F74" i="44"/>
  <c r="L11" i="45"/>
  <c r="G69" i="45"/>
  <c r="G73" i="45"/>
  <c r="J76" i="45"/>
  <c r="L28" i="43"/>
  <c r="L32" i="43"/>
  <c r="K23" i="43"/>
  <c r="L41" i="43"/>
  <c r="L34" i="43"/>
  <c r="D36" i="43"/>
  <c r="E36" i="43"/>
  <c r="L41" i="46"/>
  <c r="L42" i="46"/>
  <c r="L29" i="46"/>
  <c r="H55" i="46"/>
  <c r="J25" i="47"/>
  <c r="J56" i="47"/>
  <c r="L47" i="46"/>
  <c r="D56" i="47"/>
  <c r="D45" i="47"/>
  <c r="G56" i="43"/>
  <c r="K5" i="48"/>
  <c r="J22" i="48"/>
  <c r="J6" i="42"/>
  <c r="L38" i="43"/>
  <c r="J25" i="42"/>
  <c r="L36" i="36"/>
  <c r="N12" i="37"/>
  <c r="F62" i="37"/>
  <c r="I62" i="37"/>
  <c r="L52" i="44"/>
  <c r="J52" i="43"/>
  <c r="J67" i="44"/>
  <c r="L22" i="1"/>
  <c r="I46" i="43"/>
  <c r="I39" i="43"/>
  <c r="N14" i="38"/>
  <c r="D68" i="38"/>
  <c r="N25" i="37"/>
  <c r="L67" i="37"/>
  <c r="K67" i="37"/>
  <c r="F9" i="43"/>
  <c r="F68" i="45"/>
  <c r="L36" i="35"/>
  <c r="F68" i="9"/>
  <c r="F69" i="9"/>
  <c r="F73" i="9"/>
  <c r="D5" i="42"/>
  <c r="L37" i="9"/>
  <c r="I49" i="43"/>
  <c r="N45" i="37"/>
  <c r="J68" i="36"/>
  <c r="L24" i="35"/>
  <c r="L36" i="34"/>
  <c r="L67" i="38"/>
  <c r="K67" i="38"/>
  <c r="L48" i="44"/>
  <c r="F11" i="43"/>
  <c r="L11" i="43"/>
  <c r="L35" i="46"/>
  <c r="E56" i="43"/>
  <c r="F26" i="43"/>
  <c r="L26" i="43"/>
  <c r="N28" i="38"/>
  <c r="F53" i="43"/>
  <c r="L53" i="43"/>
  <c r="J7" i="42"/>
  <c r="L53" i="1"/>
  <c r="K55" i="43"/>
  <c r="E62" i="37"/>
  <c r="F22" i="43"/>
  <c r="L22" i="43"/>
  <c r="J5" i="42"/>
  <c r="J68" i="45"/>
  <c r="L46" i="9"/>
  <c r="J32" i="42"/>
  <c r="L5" i="48"/>
  <c r="L10" i="1"/>
  <c r="F10" i="43"/>
  <c r="L10" i="43"/>
  <c r="L14" i="1"/>
  <c r="L17" i="1"/>
  <c r="L44" i="1"/>
  <c r="F44" i="43"/>
  <c r="L53" i="9"/>
  <c r="L25" i="9"/>
  <c r="L36" i="9"/>
  <c r="I51" i="43"/>
  <c r="I40" i="43"/>
  <c r="J40" i="43"/>
  <c r="L40" i="43"/>
  <c r="N44" i="38"/>
  <c r="C7" i="48"/>
  <c r="N48" i="38"/>
  <c r="N38" i="38"/>
  <c r="N10" i="38"/>
  <c r="L23" i="40"/>
  <c r="L45" i="40"/>
  <c r="F68" i="44"/>
  <c r="J13" i="43"/>
  <c r="L13" i="43"/>
  <c r="J68" i="44"/>
  <c r="L41" i="45"/>
  <c r="L43" i="45"/>
  <c r="F49" i="43"/>
  <c r="G54" i="43"/>
  <c r="L8" i="43"/>
  <c r="L11" i="36"/>
  <c r="K68" i="37"/>
  <c r="K69" i="37"/>
  <c r="K73" i="37"/>
  <c r="N17" i="37"/>
  <c r="L39" i="44"/>
  <c r="E55" i="43"/>
  <c r="J68" i="9"/>
  <c r="F52" i="43"/>
  <c r="L52" i="43"/>
  <c r="C11" i="48"/>
  <c r="L23" i="1"/>
  <c r="L9" i="1"/>
  <c r="L36" i="1"/>
  <c r="L50" i="1"/>
  <c r="L76" i="1"/>
  <c r="J25" i="43"/>
  <c r="L25" i="1"/>
  <c r="L48" i="1"/>
  <c r="N52" i="37"/>
  <c r="F6" i="48"/>
  <c r="N37" i="38"/>
  <c r="J50" i="43"/>
  <c r="L50" i="43"/>
  <c r="L50" i="44"/>
  <c r="I59" i="44"/>
  <c r="J74" i="44"/>
  <c r="F24" i="43"/>
  <c r="G8" i="48"/>
  <c r="H8" i="48"/>
  <c r="I68" i="9"/>
  <c r="J8" i="42"/>
  <c r="L31" i="1"/>
  <c r="L9" i="45"/>
  <c r="J33" i="43"/>
  <c r="L33" i="43"/>
  <c r="N45" i="38"/>
  <c r="L41" i="1"/>
  <c r="J74" i="1"/>
  <c r="L68" i="37"/>
  <c r="N10" i="37"/>
  <c r="L48" i="34"/>
  <c r="N32" i="38"/>
  <c r="N16" i="38"/>
  <c r="J12" i="43"/>
  <c r="L12" i="43"/>
  <c r="L27" i="43"/>
  <c r="L30" i="9"/>
  <c r="L34" i="9"/>
  <c r="L39" i="9"/>
  <c r="L44" i="9"/>
  <c r="N33" i="37"/>
  <c r="L43" i="35"/>
  <c r="L37" i="35"/>
  <c r="L74" i="35"/>
  <c r="N51" i="38"/>
  <c r="E54" i="43"/>
  <c r="I53" i="43"/>
  <c r="I48" i="43"/>
  <c r="I28" i="43"/>
  <c r="I36" i="43"/>
  <c r="L27" i="46"/>
  <c r="L39" i="46"/>
  <c r="L51" i="46"/>
  <c r="L15" i="46"/>
  <c r="L50" i="46"/>
  <c r="L46" i="46"/>
  <c r="E25" i="47"/>
  <c r="F37" i="43"/>
  <c r="L35" i="9"/>
  <c r="N8" i="37"/>
  <c r="N39" i="37"/>
  <c r="L35" i="36"/>
  <c r="L38" i="36"/>
  <c r="L15" i="35"/>
  <c r="L19" i="35"/>
  <c r="L33" i="35"/>
  <c r="L41" i="35"/>
  <c r="L49" i="35"/>
  <c r="J9" i="48"/>
  <c r="L18" i="34"/>
  <c r="L41" i="34"/>
  <c r="L68" i="34"/>
  <c r="L51" i="34"/>
  <c r="N49" i="38"/>
  <c r="C6" i="48"/>
  <c r="L25" i="40"/>
  <c r="L36" i="40"/>
  <c r="F61" i="1"/>
  <c r="E62" i="1"/>
  <c r="L6" i="46"/>
  <c r="L9" i="46"/>
  <c r="L33" i="46"/>
  <c r="H25" i="47"/>
  <c r="H56" i="47"/>
  <c r="L53" i="35"/>
  <c r="K36" i="43"/>
  <c r="K43" i="43"/>
  <c r="L26" i="46"/>
  <c r="E56" i="47"/>
  <c r="E45" i="47"/>
  <c r="L24" i="46"/>
  <c r="L45" i="46"/>
  <c r="L21" i="46"/>
  <c r="L52" i="46"/>
  <c r="L44" i="46"/>
  <c r="I55" i="46"/>
  <c r="L32" i="46"/>
  <c r="H38" i="47"/>
  <c r="H45" i="47"/>
  <c r="I47" i="43"/>
  <c r="L22" i="46"/>
  <c r="L18" i="46"/>
  <c r="L14" i="46"/>
  <c r="L10" i="46"/>
  <c r="L30" i="46"/>
  <c r="E38" i="47"/>
  <c r="J38" i="47"/>
  <c r="J45" i="47"/>
  <c r="H77" i="35"/>
  <c r="H72" i="35"/>
  <c r="I72" i="1"/>
  <c r="I77" i="1"/>
  <c r="L69" i="37"/>
  <c r="L73" i="37"/>
  <c r="F67" i="44"/>
  <c r="F69" i="44"/>
  <c r="F73" i="44"/>
  <c r="H77" i="34"/>
  <c r="H72" i="34"/>
  <c r="J69" i="44"/>
  <c r="J73" i="44"/>
  <c r="F77" i="9"/>
  <c r="F72" i="9"/>
  <c r="D69" i="38"/>
  <c r="I77" i="40"/>
  <c r="I72" i="40"/>
  <c r="H77" i="38"/>
  <c r="H72" i="38"/>
  <c r="H77" i="9"/>
  <c r="H72" i="9"/>
  <c r="H72" i="1"/>
  <c r="H77" i="1"/>
  <c r="L74" i="9"/>
  <c r="L28" i="9"/>
  <c r="F67" i="45"/>
  <c r="F69" i="45"/>
  <c r="F73" i="45"/>
  <c r="F65" i="45"/>
  <c r="D25" i="42"/>
  <c r="D21" i="48"/>
  <c r="G77" i="45"/>
  <c r="G72" i="45"/>
  <c r="K77" i="40"/>
  <c r="K72" i="40"/>
  <c r="I69" i="38"/>
  <c r="I73" i="38"/>
  <c r="D63" i="37"/>
  <c r="H60" i="37"/>
  <c r="H63" i="37"/>
  <c r="H77" i="40"/>
  <c r="H72" i="40"/>
  <c r="G77" i="36"/>
  <c r="G72" i="36"/>
  <c r="J13" i="48"/>
  <c r="J13" i="42"/>
  <c r="N34" i="37"/>
  <c r="F67" i="34"/>
  <c r="F69" i="34"/>
  <c r="F73" i="34"/>
  <c r="L69" i="38"/>
  <c r="L73" i="38"/>
  <c r="G77" i="44"/>
  <c r="G72" i="44"/>
  <c r="J10" i="48"/>
  <c r="J26" i="48"/>
  <c r="L26" i="48"/>
  <c r="J11" i="48"/>
  <c r="F68" i="1"/>
  <c r="F67" i="1"/>
  <c r="F69" i="1"/>
  <c r="F73" i="1"/>
  <c r="J28" i="48"/>
  <c r="G14" i="48"/>
  <c r="H14" i="48"/>
  <c r="G15" i="48"/>
  <c r="H15" i="48"/>
  <c r="L54" i="34"/>
  <c r="L67" i="34"/>
  <c r="L69" i="34"/>
  <c r="L73" i="34"/>
  <c r="I8" i="48"/>
  <c r="J67" i="36"/>
  <c r="J65" i="36"/>
  <c r="E60" i="37"/>
  <c r="E63" i="37"/>
  <c r="E67" i="37"/>
  <c r="I69" i="9"/>
  <c r="I73" i="9"/>
  <c r="I31" i="48"/>
  <c r="L76" i="44"/>
  <c r="H6" i="48"/>
  <c r="N36" i="37"/>
  <c r="K77" i="37"/>
  <c r="K72" i="37"/>
  <c r="I67" i="34"/>
  <c r="I69" i="34"/>
  <c r="I73" i="34"/>
  <c r="I65" i="34"/>
  <c r="F60" i="37"/>
  <c r="I60" i="37"/>
  <c r="F67" i="37"/>
  <c r="F65" i="37"/>
  <c r="D63" i="44"/>
  <c r="J67" i="1"/>
  <c r="G26" i="48"/>
  <c r="H26" i="48"/>
  <c r="G25" i="48"/>
  <c r="H25" i="48"/>
  <c r="D62" i="40"/>
  <c r="D64" i="40"/>
  <c r="K69" i="38"/>
  <c r="K73" i="38"/>
  <c r="N41" i="38"/>
  <c r="G77" i="38"/>
  <c r="G72" i="38"/>
  <c r="K77" i="34"/>
  <c r="K72" i="34"/>
  <c r="E77" i="35"/>
  <c r="E72" i="35"/>
  <c r="E77" i="45"/>
  <c r="E72" i="45"/>
  <c r="D72" i="44"/>
  <c r="D77" i="44"/>
  <c r="E68" i="37"/>
  <c r="L43" i="36"/>
  <c r="C15" i="48"/>
  <c r="C14" i="48"/>
  <c r="K77" i="45"/>
  <c r="K72" i="45"/>
  <c r="F65" i="44"/>
  <c r="F65" i="1"/>
  <c r="F66" i="44"/>
  <c r="H77" i="44"/>
  <c r="H72" i="44"/>
  <c r="G69" i="37"/>
  <c r="L76" i="35"/>
  <c r="L34" i="36"/>
  <c r="L74" i="36"/>
  <c r="J69" i="37"/>
  <c r="J73" i="37"/>
  <c r="D77" i="9"/>
  <c r="D72" i="9"/>
  <c r="L76" i="36"/>
  <c r="J68" i="35"/>
  <c r="J24" i="48"/>
  <c r="J7" i="48"/>
  <c r="G11" i="48"/>
  <c r="H11" i="48"/>
  <c r="F65" i="35"/>
  <c r="K77" i="9"/>
  <c r="K72" i="9"/>
  <c r="N50" i="38"/>
  <c r="F76" i="38"/>
  <c r="G69" i="9"/>
  <c r="G73" i="9"/>
  <c r="J31" i="48"/>
  <c r="J30" i="48"/>
  <c r="J63" i="37"/>
  <c r="L74" i="38"/>
  <c r="G29" i="48"/>
  <c r="H29" i="48"/>
  <c r="J8" i="48"/>
  <c r="K31" i="48"/>
  <c r="K30" i="48"/>
  <c r="E67" i="38"/>
  <c r="I67" i="44"/>
  <c r="I69" i="44"/>
  <c r="I73" i="44"/>
  <c r="C30" i="48"/>
  <c r="C31" i="48"/>
  <c r="K9" i="48"/>
  <c r="I67" i="35"/>
  <c r="I69" i="35"/>
  <c r="I73" i="35"/>
  <c r="I65" i="35"/>
  <c r="C21" i="48"/>
  <c r="E21" i="48"/>
  <c r="J29" i="48"/>
  <c r="J14" i="42"/>
  <c r="L68" i="40"/>
  <c r="H77" i="37"/>
  <c r="H72" i="37"/>
  <c r="L7" i="48"/>
  <c r="G69" i="34"/>
  <c r="G73" i="34"/>
  <c r="J69" i="1"/>
  <c r="J73" i="1"/>
  <c r="D9" i="48"/>
  <c r="G22" i="48"/>
  <c r="D77" i="36"/>
  <c r="D72" i="36"/>
  <c r="D11" i="48"/>
  <c r="E77" i="40"/>
  <c r="E72" i="40"/>
  <c r="G69" i="35"/>
  <c r="G73" i="35"/>
  <c r="J67" i="40"/>
  <c r="J65" i="40"/>
  <c r="C8" i="48"/>
  <c r="C9" i="48"/>
  <c r="C10" i="48"/>
  <c r="C12" i="48"/>
  <c r="C16" i="48"/>
  <c r="C5" i="48"/>
  <c r="C17" i="48"/>
  <c r="D12" i="48"/>
  <c r="F65" i="34"/>
  <c r="L68" i="1"/>
  <c r="L43" i="44"/>
  <c r="L45" i="1"/>
  <c r="H55" i="43"/>
  <c r="F67" i="40"/>
  <c r="F69" i="40"/>
  <c r="F73" i="40"/>
  <c r="F65" i="40"/>
  <c r="L31" i="48"/>
  <c r="L30" i="48"/>
  <c r="J11" i="42"/>
  <c r="G23" i="48"/>
  <c r="E77" i="44"/>
  <c r="E72" i="44"/>
  <c r="H77" i="36"/>
  <c r="H72" i="36"/>
  <c r="D69" i="37"/>
  <c r="D73" i="37"/>
  <c r="K77" i="44"/>
  <c r="K72" i="44"/>
  <c r="F75" i="37"/>
  <c r="N7" i="37"/>
  <c r="G72" i="1"/>
  <c r="G77" i="1"/>
  <c r="G77" i="40"/>
  <c r="G72" i="40"/>
  <c r="F7" i="48"/>
  <c r="H7" i="48"/>
  <c r="D10" i="48"/>
  <c r="F68" i="35"/>
  <c r="F69" i="35"/>
  <c r="F73" i="35"/>
  <c r="J69" i="38"/>
  <c r="J73" i="38"/>
  <c r="K12" i="48"/>
  <c r="I59" i="37"/>
  <c r="F63" i="37"/>
  <c r="I63" i="37"/>
  <c r="D69" i="1"/>
  <c r="D73" i="1"/>
  <c r="L8" i="48"/>
  <c r="F65" i="9"/>
  <c r="H77" i="45"/>
  <c r="H72" i="45"/>
  <c r="E69" i="34"/>
  <c r="E73" i="34"/>
  <c r="F68" i="36"/>
  <c r="F69" i="36"/>
  <c r="F73" i="36"/>
  <c r="F71" i="37"/>
  <c r="E72" i="1"/>
  <c r="E77" i="1"/>
  <c r="F65" i="36"/>
  <c r="L27" i="48"/>
  <c r="I67" i="36"/>
  <c r="I69" i="36"/>
  <c r="I73" i="36"/>
  <c r="I65" i="36"/>
  <c r="F74" i="38"/>
  <c r="N39" i="38"/>
  <c r="D77" i="34"/>
  <c r="D72" i="34"/>
  <c r="F68" i="37"/>
  <c r="I67" i="37"/>
  <c r="I65" i="37"/>
  <c r="K77" i="35"/>
  <c r="K72" i="35"/>
  <c r="M69" i="37"/>
  <c r="L6" i="48"/>
  <c r="L16" i="48"/>
  <c r="L17" i="48"/>
  <c r="D77" i="45"/>
  <c r="D72" i="45"/>
  <c r="D69" i="35"/>
  <c r="D73" i="35"/>
  <c r="E69" i="36"/>
  <c r="E73" i="36"/>
  <c r="G57" i="37"/>
  <c r="G28" i="48"/>
  <c r="H28" i="48"/>
  <c r="L76" i="9"/>
  <c r="D13" i="48"/>
  <c r="J68" i="40"/>
  <c r="G25" i="42"/>
  <c r="H21" i="48"/>
  <c r="G21" i="48"/>
  <c r="H25" i="42"/>
  <c r="K77" i="36"/>
  <c r="K72" i="36"/>
  <c r="C5" i="42"/>
  <c r="E5" i="42" s="1"/>
  <c r="E5" i="48"/>
  <c r="E77" i="9"/>
  <c r="E72" i="9"/>
  <c r="K72" i="1"/>
  <c r="K77" i="1"/>
  <c r="E66" i="38"/>
  <c r="N26" i="38"/>
  <c r="I65" i="9"/>
  <c r="J14" i="48"/>
  <c r="J16" i="48"/>
  <c r="J17" i="48"/>
  <c r="L25" i="48"/>
  <c r="I43" i="43"/>
  <c r="L23" i="46"/>
  <c r="H56" i="46"/>
  <c r="J15" i="42"/>
  <c r="J9" i="42"/>
  <c r="J10" i="42"/>
  <c r="J19" i="42"/>
  <c r="L36" i="46"/>
  <c r="I38" i="47"/>
  <c r="K12" i="42"/>
  <c r="J25" i="48"/>
  <c r="J33" i="42"/>
  <c r="H56" i="43"/>
  <c r="J23" i="43"/>
  <c r="F38" i="47"/>
  <c r="L43" i="46"/>
  <c r="I45" i="47"/>
  <c r="N36" i="38"/>
  <c r="K9" i="42"/>
  <c r="L43" i="1"/>
  <c r="L39" i="1"/>
  <c r="L74" i="1"/>
  <c r="L44" i="43"/>
  <c r="F54" i="43"/>
  <c r="L5" i="42"/>
  <c r="L45" i="43"/>
  <c r="L54" i="9"/>
  <c r="L23" i="45"/>
  <c r="L68" i="45"/>
  <c r="J26" i="42"/>
  <c r="E9" i="48"/>
  <c r="L54" i="46"/>
  <c r="F25" i="47"/>
  <c r="F22" i="48"/>
  <c r="N54" i="38"/>
  <c r="N67" i="38"/>
  <c r="L54" i="1"/>
  <c r="L40" i="1"/>
  <c r="L67" i="1"/>
  <c r="D56" i="43"/>
  <c r="K5" i="42"/>
  <c r="K21" i="48"/>
  <c r="F56" i="47"/>
  <c r="L37" i="43"/>
  <c r="F43" i="43"/>
  <c r="L28" i="45"/>
  <c r="L36" i="45"/>
  <c r="L45" i="35"/>
  <c r="L46" i="1"/>
  <c r="I56" i="47"/>
  <c r="J46" i="43"/>
  <c r="L46" i="43"/>
  <c r="D7" i="48"/>
  <c r="D62" i="1"/>
  <c r="F62" i="1"/>
  <c r="C25" i="42"/>
  <c r="J59" i="44"/>
  <c r="J31" i="43"/>
  <c r="L31" i="43"/>
  <c r="L31" i="44"/>
  <c r="L59" i="44"/>
  <c r="L36" i="44"/>
  <c r="N43" i="38"/>
  <c r="L23" i="44"/>
  <c r="L68" i="44"/>
  <c r="L54" i="44"/>
  <c r="L67" i="44"/>
  <c r="L69" i="44"/>
  <c r="L73" i="44"/>
  <c r="J51" i="43"/>
  <c r="L51" i="43"/>
  <c r="L51" i="1"/>
  <c r="K6" i="48"/>
  <c r="J49" i="43"/>
  <c r="L49" i="43"/>
  <c r="L49" i="1"/>
  <c r="L43" i="9"/>
  <c r="L54" i="36"/>
  <c r="L67" i="36"/>
  <c r="L69" i="36"/>
  <c r="L73" i="36"/>
  <c r="L9" i="43"/>
  <c r="L23" i="43"/>
  <c r="F23" i="43"/>
  <c r="I54" i="43"/>
  <c r="I13" i="48"/>
  <c r="K19" i="42"/>
  <c r="K15" i="42"/>
  <c r="I56" i="46"/>
  <c r="L48" i="45"/>
  <c r="K13" i="42"/>
  <c r="I55" i="43"/>
  <c r="L46" i="34"/>
  <c r="N54" i="37"/>
  <c r="N67" i="37"/>
  <c r="I25" i="47"/>
  <c r="K45" i="47"/>
  <c r="F45" i="47"/>
  <c r="E10" i="48"/>
  <c r="F36" i="43"/>
  <c r="L24" i="43"/>
  <c r="J39" i="43"/>
  <c r="N43" i="37"/>
  <c r="L54" i="40"/>
  <c r="L67" i="40"/>
  <c r="E12" i="48"/>
  <c r="K10" i="48"/>
  <c r="L54" i="45"/>
  <c r="N23" i="38"/>
  <c r="J48" i="43"/>
  <c r="L48" i="43"/>
  <c r="L23" i="9"/>
  <c r="L68" i="9"/>
  <c r="N23" i="37"/>
  <c r="N68" i="37"/>
  <c r="N69" i="37"/>
  <c r="J34" i="42"/>
  <c r="L25" i="43"/>
  <c r="F77" i="40"/>
  <c r="F72" i="40"/>
  <c r="L77" i="36"/>
  <c r="L72" i="36"/>
  <c r="F77" i="45"/>
  <c r="F72" i="45"/>
  <c r="I77" i="35"/>
  <c r="I72" i="35"/>
  <c r="D28" i="48"/>
  <c r="D29" i="48"/>
  <c r="L21" i="48"/>
  <c r="G24" i="48"/>
  <c r="H24" i="48"/>
  <c r="D58" i="40"/>
  <c r="C28" i="48"/>
  <c r="J77" i="37"/>
  <c r="J72" i="37"/>
  <c r="L77" i="34"/>
  <c r="L72" i="34"/>
  <c r="L67" i="45"/>
  <c r="L69" i="45"/>
  <c r="L73" i="45"/>
  <c r="E31" i="48"/>
  <c r="E30" i="48"/>
  <c r="K14" i="42"/>
  <c r="K29" i="48"/>
  <c r="E11" i="48"/>
  <c r="L67" i="9"/>
  <c r="L69" i="9"/>
  <c r="L73" i="9"/>
  <c r="C27" i="48"/>
  <c r="K25" i="48"/>
  <c r="I7" i="48"/>
  <c r="C22" i="48"/>
  <c r="C26" i="48"/>
  <c r="E77" i="34"/>
  <c r="E72" i="34"/>
  <c r="K28" i="48"/>
  <c r="C25" i="48"/>
  <c r="J67" i="9"/>
  <c r="J65" i="9"/>
  <c r="L69" i="1"/>
  <c r="L73" i="1"/>
  <c r="I12" i="48"/>
  <c r="D27" i="48"/>
  <c r="G77" i="34"/>
  <c r="G72" i="34"/>
  <c r="E69" i="38"/>
  <c r="E73" i="38"/>
  <c r="K13" i="48"/>
  <c r="K14" i="48"/>
  <c r="G77" i="9"/>
  <c r="G72" i="9"/>
  <c r="G27" i="48"/>
  <c r="H27" i="48"/>
  <c r="I69" i="37"/>
  <c r="I73" i="37"/>
  <c r="E69" i="37"/>
  <c r="E73" i="37"/>
  <c r="F16" i="48"/>
  <c r="G30" i="48"/>
  <c r="H30" i="48"/>
  <c r="G31" i="48"/>
  <c r="H31" i="48"/>
  <c r="I77" i="38"/>
  <c r="I72" i="38"/>
  <c r="L23" i="35"/>
  <c r="L68" i="35"/>
  <c r="J69" i="36"/>
  <c r="J73" i="36"/>
  <c r="K8" i="42"/>
  <c r="K7" i="48"/>
  <c r="K8" i="48"/>
  <c r="K11" i="48"/>
  <c r="K16" i="48"/>
  <c r="K17" i="48"/>
  <c r="J67" i="35"/>
  <c r="J65" i="35"/>
  <c r="K27" i="48"/>
  <c r="D77" i="35"/>
  <c r="D72" i="35"/>
  <c r="F77" i="36"/>
  <c r="F72" i="36"/>
  <c r="D25" i="48"/>
  <c r="K77" i="38"/>
  <c r="K72" i="38"/>
  <c r="I77" i="34"/>
  <c r="I72" i="34"/>
  <c r="F72" i="1"/>
  <c r="F77" i="1"/>
  <c r="F23" i="48"/>
  <c r="H23" i="48"/>
  <c r="J27" i="48"/>
  <c r="L77" i="37"/>
  <c r="L72" i="37"/>
  <c r="L36" i="43"/>
  <c r="E15" i="48"/>
  <c r="E14" i="48"/>
  <c r="J67" i="45"/>
  <c r="C24" i="48"/>
  <c r="G16" i="48"/>
  <c r="E77" i="36"/>
  <c r="E72" i="36"/>
  <c r="L22" i="48"/>
  <c r="I77" i="36"/>
  <c r="I72" i="36"/>
  <c r="D72" i="1"/>
  <c r="D77" i="1"/>
  <c r="D79" i="1"/>
  <c r="L69" i="40"/>
  <c r="L73" i="40"/>
  <c r="N68" i="38"/>
  <c r="N69" i="38"/>
  <c r="D77" i="40"/>
  <c r="D72" i="40"/>
  <c r="F67" i="38"/>
  <c r="F65" i="38"/>
  <c r="H16" i="48"/>
  <c r="H17" i="48"/>
  <c r="L77" i="38"/>
  <c r="L72" i="38"/>
  <c r="D73" i="38"/>
  <c r="G71" i="38"/>
  <c r="C23" i="48"/>
  <c r="F32" i="48"/>
  <c r="H22" i="48"/>
  <c r="J69" i="40"/>
  <c r="J73" i="40"/>
  <c r="F77" i="35"/>
  <c r="F72" i="35"/>
  <c r="L23" i="48"/>
  <c r="I77" i="44"/>
  <c r="I72" i="44"/>
  <c r="D26" i="48"/>
  <c r="C29" i="48"/>
  <c r="F77" i="34"/>
  <c r="F72" i="34"/>
  <c r="F77" i="44"/>
  <c r="F72" i="44"/>
  <c r="J67" i="34"/>
  <c r="J65" i="34"/>
  <c r="E13" i="48"/>
  <c r="J31" i="42"/>
  <c r="I11" i="48"/>
  <c r="K11" i="42"/>
  <c r="L24" i="48"/>
  <c r="F69" i="37"/>
  <c r="F73" i="37"/>
  <c r="J77" i="38"/>
  <c r="J72" i="38"/>
  <c r="D77" i="37"/>
  <c r="D72" i="37"/>
  <c r="G73" i="37"/>
  <c r="G78" i="37"/>
  <c r="G82" i="37"/>
  <c r="G77" i="35"/>
  <c r="G72" i="35"/>
  <c r="J72" i="1"/>
  <c r="J77" i="1"/>
  <c r="L74" i="44"/>
  <c r="L77" i="44"/>
  <c r="D6" i="48"/>
  <c r="D8" i="48"/>
  <c r="D16" i="48"/>
  <c r="D17" i="48"/>
  <c r="J23" i="48"/>
  <c r="J27" i="42"/>
  <c r="J28" i="42"/>
  <c r="G70" i="37"/>
  <c r="F68" i="38"/>
  <c r="F69" i="38"/>
  <c r="F73" i="38"/>
  <c r="I77" i="9"/>
  <c r="I72" i="9"/>
  <c r="E8" i="48"/>
  <c r="J77" i="44"/>
  <c r="J72" i="44"/>
  <c r="J35" i="42"/>
  <c r="J39" i="42"/>
  <c r="K56" i="47"/>
  <c r="E24" i="48"/>
  <c r="L25" i="42"/>
  <c r="K56" i="43"/>
  <c r="K26" i="48"/>
  <c r="K10" i="42"/>
  <c r="L39" i="43"/>
  <c r="L43" i="43"/>
  <c r="J43" i="43"/>
  <c r="I56" i="43"/>
  <c r="K33" i="42"/>
  <c r="K34" i="42"/>
  <c r="K35" i="42"/>
  <c r="K39" i="42"/>
  <c r="K25" i="47"/>
  <c r="J54" i="43"/>
  <c r="E27" i="48"/>
  <c r="K31" i="42"/>
  <c r="K32" i="42"/>
  <c r="K25" i="42"/>
  <c r="K6" i="42"/>
  <c r="K22" i="48"/>
  <c r="F56" i="43"/>
  <c r="L54" i="43"/>
  <c r="K29" i="42"/>
  <c r="K38" i="47"/>
  <c r="E22" i="48"/>
  <c r="K23" i="48"/>
  <c r="K7" i="42"/>
  <c r="J36" i="43"/>
  <c r="M8" i="48"/>
  <c r="L54" i="35"/>
  <c r="L67" i="35"/>
  <c r="E6" i="48"/>
  <c r="F55" i="43"/>
  <c r="J29" i="42"/>
  <c r="J30" i="42"/>
  <c r="L77" i="9"/>
  <c r="L72" i="9"/>
  <c r="L77" i="45"/>
  <c r="L72" i="45"/>
  <c r="J77" i="40"/>
  <c r="J72" i="40"/>
  <c r="I25" i="48"/>
  <c r="M10" i="48"/>
  <c r="M14" i="48"/>
  <c r="M15" i="48"/>
  <c r="E23" i="48"/>
  <c r="E25" i="48"/>
  <c r="E26" i="48"/>
  <c r="E28" i="48"/>
  <c r="E29" i="48"/>
  <c r="E32" i="48"/>
  <c r="E33" i="48"/>
  <c r="I25" i="42"/>
  <c r="I21" i="48"/>
  <c r="I5" i="42"/>
  <c r="I5" i="48"/>
  <c r="D23" i="48"/>
  <c r="F77" i="38"/>
  <c r="F72" i="38"/>
  <c r="D22" i="48"/>
  <c r="I10" i="48"/>
  <c r="H32" i="48"/>
  <c r="H33" i="48"/>
  <c r="J69" i="45"/>
  <c r="J73" i="45"/>
  <c r="J77" i="36"/>
  <c r="J72" i="36"/>
  <c r="C32" i="48"/>
  <c r="C33" i="48"/>
  <c r="K24" i="48"/>
  <c r="K32" i="48"/>
  <c r="K33" i="48"/>
  <c r="D77" i="38"/>
  <c r="D72" i="38"/>
  <c r="I77" i="37"/>
  <c r="I72" i="37"/>
  <c r="J69" i="9"/>
  <c r="J73" i="9"/>
  <c r="M11" i="48"/>
  <c r="M13" i="48"/>
  <c r="I9" i="48"/>
  <c r="M30" i="48"/>
  <c r="M31" i="48"/>
  <c r="L77" i="40"/>
  <c r="L72" i="40"/>
  <c r="I14" i="48"/>
  <c r="I15" i="48"/>
  <c r="I6" i="48"/>
  <c r="I16" i="48"/>
  <c r="I17" i="48"/>
  <c r="L69" i="35"/>
  <c r="L73" i="35"/>
  <c r="J69" i="35"/>
  <c r="J73" i="35"/>
  <c r="L72" i="1"/>
  <c r="L77" i="1"/>
  <c r="L72" i="44"/>
  <c r="J69" i="34"/>
  <c r="J73" i="34"/>
  <c r="I28" i="48"/>
  <c r="I29" i="48"/>
  <c r="I30" i="48"/>
  <c r="M25" i="42"/>
  <c r="M21" i="48"/>
  <c r="I24" i="48"/>
  <c r="M12" i="48"/>
  <c r="J55" i="43"/>
  <c r="F60" i="40"/>
  <c r="D24" i="48"/>
  <c r="G77" i="37"/>
  <c r="G72" i="37"/>
  <c r="J32" i="48"/>
  <c r="J33" i="48"/>
  <c r="F77" i="37"/>
  <c r="F72" i="37"/>
  <c r="G32" i="48"/>
  <c r="L32" i="48"/>
  <c r="L33" i="48"/>
  <c r="E7" i="48"/>
  <c r="E16" i="48"/>
  <c r="E17" i="48"/>
  <c r="E77" i="37"/>
  <c r="E72" i="37"/>
  <c r="E77" i="38"/>
  <c r="E72" i="38"/>
  <c r="K27" i="42"/>
  <c r="K40" i="42" s="1"/>
  <c r="K41" i="42" s="1"/>
  <c r="K30" i="42"/>
  <c r="M29" i="48"/>
  <c r="J56" i="43"/>
  <c r="L56" i="43"/>
  <c r="K28" i="42"/>
  <c r="K26" i="42"/>
  <c r="M25" i="48"/>
  <c r="L55" i="43"/>
  <c r="M22" i="48"/>
  <c r="L77" i="35"/>
  <c r="L72" i="35"/>
  <c r="J77" i="9"/>
  <c r="J72" i="9"/>
  <c r="M24" i="48"/>
  <c r="I22" i="48"/>
  <c r="I26" i="48"/>
  <c r="M9" i="48"/>
  <c r="I27" i="48"/>
  <c r="M5" i="42"/>
  <c r="M5" i="48"/>
  <c r="M6" i="48"/>
  <c r="M7" i="48"/>
  <c r="M16" i="48"/>
  <c r="M17" i="48"/>
  <c r="J77" i="34"/>
  <c r="J72" i="34"/>
  <c r="M28" i="48"/>
  <c r="I23" i="48"/>
  <c r="J77" i="35"/>
  <c r="J72" i="35"/>
  <c r="J77" i="45"/>
  <c r="J72" i="45"/>
  <c r="D32" i="48"/>
  <c r="D33" i="48"/>
  <c r="M27" i="48"/>
  <c r="I32" i="48"/>
  <c r="I33" i="48"/>
  <c r="M23" i="48"/>
  <c r="M26" i="48"/>
  <c r="M32" i="48"/>
  <c r="M33" i="48"/>
  <c r="F58" i="52" l="1"/>
  <c r="E39" i="42"/>
  <c r="F58" i="53"/>
  <c r="E38" i="42"/>
  <c r="E40" i="42" s="1"/>
  <c r="E41" i="42" s="1"/>
  <c r="F20" i="42"/>
  <c r="H18" i="42"/>
  <c r="C21" i="42"/>
  <c r="J58" i="52"/>
  <c r="I18" i="42"/>
  <c r="I20" i="42" s="1"/>
  <c r="I21" i="42" s="1"/>
  <c r="H57" i="53"/>
  <c r="J18" i="42"/>
  <c r="I19" i="42"/>
  <c r="D58" i="53"/>
  <c r="C39" i="42"/>
  <c r="C38" i="42"/>
  <c r="C40" i="42" s="1"/>
  <c r="C41" i="42" s="1"/>
  <c r="G58" i="53"/>
  <c r="G39" i="42"/>
  <c r="G38" i="42"/>
  <c r="G40" i="42" s="1"/>
  <c r="E58" i="53"/>
  <c r="D38" i="42"/>
  <c r="D40" i="42" s="1"/>
  <c r="D41" i="42" s="1"/>
  <c r="D39" i="42"/>
  <c r="E19" i="42"/>
  <c r="E18" i="42"/>
  <c r="E20" i="42" s="1"/>
  <c r="E21" i="42" s="1"/>
  <c r="F57" i="53"/>
  <c r="J57" i="53" s="1"/>
  <c r="L38" i="42"/>
  <c r="L40" i="42" s="1"/>
  <c r="L41" i="42" s="1"/>
  <c r="I58" i="53"/>
  <c r="K38" i="42"/>
  <c r="L39" i="42"/>
  <c r="J40" i="42"/>
  <c r="J41" i="42" s="1"/>
  <c r="K20" i="42"/>
  <c r="K21" i="42" s="1"/>
  <c r="I41" i="42"/>
  <c r="D21" i="42"/>
  <c r="H17" i="42"/>
  <c r="H7" i="42"/>
  <c r="M21" i="42"/>
  <c r="E25" i="42"/>
  <c r="M41" i="42"/>
  <c r="L21" i="42"/>
  <c r="J20" i="42"/>
  <c r="J21" i="42" s="1"/>
  <c r="H6" i="42"/>
  <c r="H20" i="42" l="1"/>
  <c r="H38" i="42"/>
  <c r="H40" i="42" s="1"/>
  <c r="H41" i="42" s="1"/>
  <c r="F40" i="42"/>
  <c r="H39" i="42"/>
  <c r="J58" i="53"/>
  <c r="J38" i="42"/>
  <c r="H58" i="53"/>
  <c r="I39" i="42"/>
  <c r="H21" i="42"/>
</calcChain>
</file>

<file path=xl/sharedStrings.xml><?xml version="1.0" encoding="utf-8"?>
<sst xmlns="http://schemas.openxmlformats.org/spreadsheetml/2006/main" count="1388" uniqueCount="141">
  <si>
    <t>System</t>
  </si>
  <si>
    <t>Institution Name</t>
  </si>
  <si>
    <t>BOR</t>
  </si>
  <si>
    <t>Board of Regents</t>
  </si>
  <si>
    <t>LOSFA</t>
  </si>
  <si>
    <t>LUMCON</t>
  </si>
  <si>
    <t>LCTC SYS</t>
  </si>
  <si>
    <t>Baton Rouge CC</t>
  </si>
  <si>
    <t>Bossier Parish CC</t>
  </si>
  <si>
    <t>Central LA Tech. CC</t>
  </si>
  <si>
    <t>Delgado CC</t>
  </si>
  <si>
    <t>L.E. Fletcher Tech. CC</t>
  </si>
  <si>
    <t>LCTC BOS</t>
  </si>
  <si>
    <t>LCTCS Online</t>
  </si>
  <si>
    <t>Louisiana Delta CC</t>
  </si>
  <si>
    <t>Louisiana Tech. College</t>
  </si>
  <si>
    <t>Nunez CC</t>
  </si>
  <si>
    <t>Northshore Tech. CC</t>
  </si>
  <si>
    <t>River Parishes CC</t>
  </si>
  <si>
    <t>South Louisiana CC</t>
  </si>
  <si>
    <t>Sowela Technical CC</t>
  </si>
  <si>
    <t>LCTC SYS Total</t>
  </si>
  <si>
    <t>LSU SYS</t>
  </si>
  <si>
    <t>EA Conway</t>
  </si>
  <si>
    <t>Huey P. Long</t>
  </si>
  <si>
    <t>LSU Ag Center</t>
  </si>
  <si>
    <t>LSU Alexandria</t>
  </si>
  <si>
    <t>LSU A&amp;M</t>
  </si>
  <si>
    <t>LSU BOS</t>
  </si>
  <si>
    <t>LSU Eunice</t>
  </si>
  <si>
    <t>LSU HSC - NO</t>
  </si>
  <si>
    <t>LSU HSC - S</t>
  </si>
  <si>
    <t>LSU Shreveport</t>
  </si>
  <si>
    <t>Paul M. Hebert Law</t>
  </si>
  <si>
    <t>Pennington</t>
  </si>
  <si>
    <t>LSU SYS Total</t>
  </si>
  <si>
    <t>SU SYS</t>
  </si>
  <si>
    <t>Southern Ag. Ctr.</t>
  </si>
  <si>
    <t>Southern BR A&amp;M</t>
  </si>
  <si>
    <t>Southern Law</t>
  </si>
  <si>
    <t>Southern N.O.</t>
  </si>
  <si>
    <t>Southern S'port</t>
  </si>
  <si>
    <t>SU BOS</t>
  </si>
  <si>
    <t>SU SYS Total</t>
  </si>
  <si>
    <t>UL SYS</t>
  </si>
  <si>
    <t>Grambling State</t>
  </si>
  <si>
    <t>Louisiana Tech</t>
  </si>
  <si>
    <t>McNeese State</t>
  </si>
  <si>
    <t>Nicholls State</t>
  </si>
  <si>
    <t>Northwestern State</t>
  </si>
  <si>
    <t>Southeastern La</t>
  </si>
  <si>
    <t>UL BOS</t>
  </si>
  <si>
    <t>Univ. of La - Lafayette</t>
  </si>
  <si>
    <t>Univ. of La - Monroe</t>
  </si>
  <si>
    <t>Univ. of New Orleans</t>
  </si>
  <si>
    <t>UL SYS Total</t>
  </si>
  <si>
    <t>Grand Total</t>
  </si>
  <si>
    <t>State General Fund</t>
  </si>
  <si>
    <t>Statutory Dedication</t>
  </si>
  <si>
    <t>Interagency Transfers</t>
  </si>
  <si>
    <t>Self Generated Funds</t>
  </si>
  <si>
    <t>Federal Funds</t>
  </si>
  <si>
    <t>Total</t>
  </si>
  <si>
    <t>Excluding LOSFA &amp; Hospitals</t>
  </si>
  <si>
    <t>FY 08-09 Higher Education Excluding LOSFA and Hospitals</t>
  </si>
  <si>
    <t xml:space="preserve">    Change</t>
  </si>
  <si>
    <t xml:space="preserve">      % Change</t>
  </si>
  <si>
    <t>Total State Funds</t>
  </si>
  <si>
    <t>Other Self Generated</t>
  </si>
  <si>
    <t>FY 2008-2009 Beginning Operating Budget</t>
  </si>
  <si>
    <t>FY 2014-2015 Beginning Operating Budget</t>
  </si>
  <si>
    <t>FY 2009-2010 Beginning Operating Budget</t>
  </si>
  <si>
    <t>Total Interagency Transfers</t>
  </si>
  <si>
    <t>ARRA Funds</t>
  </si>
  <si>
    <t>IAT's</t>
  </si>
  <si>
    <t>FY 2010-2011 Beginning Operating Budget</t>
  </si>
  <si>
    <t>FY 2011-2012 Beginning Operating Budget</t>
  </si>
  <si>
    <t>FY 2012-2013 Beginning Operating Budget</t>
  </si>
  <si>
    <t>FY 2013-2014 Beginning Operating Budget</t>
  </si>
  <si>
    <t>FY 2015-2016 Beginning Operating Budget</t>
  </si>
  <si>
    <t>ARRA Funds (IAT)</t>
  </si>
  <si>
    <t>FY 09-10 Change</t>
  </si>
  <si>
    <t>FY 10-11 Change</t>
  </si>
  <si>
    <t>FY 11-12 Change</t>
  </si>
  <si>
    <t>FY 12-13 Change</t>
  </si>
  <si>
    <t>FY 13-14 Change</t>
  </si>
  <si>
    <t>FY 14-15 Change</t>
  </si>
  <si>
    <t>FY 15-16 Change</t>
  </si>
  <si>
    <t>Budgeted Tuition &amp; Fees</t>
  </si>
  <si>
    <t xml:space="preserve">FY 08-09 Higher Education </t>
  </si>
  <si>
    <t>FY 2016-2017 Beginning Operating Budget</t>
  </si>
  <si>
    <t>FY 16-17 Change</t>
  </si>
  <si>
    <t xml:space="preserve"> </t>
  </si>
  <si>
    <t>Med Schools Only</t>
  </si>
  <si>
    <t>LOUISIANA BOARD OF REGENTS</t>
  </si>
  <si>
    <t>FY 2017-2018 Beginning Operating Budget</t>
  </si>
  <si>
    <t>FY 17-18 Change</t>
  </si>
  <si>
    <t>COMPARISON OF FY 08-09 APPROPRIATIONS VS FY 17-18 APPROPRIATIONS BY SOURCE - DETAIL</t>
  </si>
  <si>
    <t>FY 18-19 Higher Education</t>
  </si>
  <si>
    <t>FY 18-19 Higher Education Excuding LOSFA and Hospitals</t>
  </si>
  <si>
    <t>FY 2018-2019 Beginning Operating Budget</t>
  </si>
  <si>
    <t>Change in Higher Education Funding FY 08-09 to FY 18-19</t>
  </si>
  <si>
    <t>COMPARISON OF FY 08-09 APPROPRIATIONS VS FY 18-19 APPROPRIATIONS WITH CHANGE BY FISCAL YEAR AND SOURCE</t>
  </si>
  <si>
    <t>Change in Higher Education Funding FY 08-09 to FY 18-19 with LOSFA and Hospitals Removed from Consideration</t>
  </si>
  <si>
    <t>Formula Institutions</t>
  </si>
  <si>
    <t>Specialized Institutions</t>
  </si>
  <si>
    <t xml:space="preserve">TOPS </t>
  </si>
  <si>
    <t xml:space="preserve">Boards </t>
  </si>
  <si>
    <t>4 year</t>
  </si>
  <si>
    <t>2 year</t>
  </si>
  <si>
    <t>DEGREE GRANTING</t>
  </si>
  <si>
    <t>FY 2019-2020 Beginning Operating Budget</t>
  </si>
  <si>
    <t>FY 2020-2021 Beginning Operating Budget</t>
  </si>
  <si>
    <t>CARES Act</t>
  </si>
  <si>
    <t>LCTCS Adult Education</t>
  </si>
  <si>
    <t>LCTCS RR</t>
  </si>
  <si>
    <t>Total
(w/ CARES Act)</t>
  </si>
  <si>
    <t>ARRA Funds (IAT) / CARES Act</t>
  </si>
  <si>
    <t>FY 09 - FY 10 Change</t>
  </si>
  <si>
    <t>FY 10 - FY 11 Change</t>
  </si>
  <si>
    <t>FY 11 - FY 12 Change</t>
  </si>
  <si>
    <t>FY 12 - FY 13 Change</t>
  </si>
  <si>
    <t>FY 13 - FY 14 Change</t>
  </si>
  <si>
    <t>FY 14 - FY 15 Change</t>
  </si>
  <si>
    <t>FY 15 - FY 16 Change</t>
  </si>
  <si>
    <t>FY 16 - FY 17 Change</t>
  </si>
  <si>
    <t>FY 17 - FY 18 Change</t>
  </si>
  <si>
    <t>FY 18 - FY 19 Change</t>
  </si>
  <si>
    <t>FY 19 - FY 20 Change</t>
  </si>
  <si>
    <t>FY 20 - FY 21 Change</t>
  </si>
  <si>
    <t>COMPARISON OF FY 08-09 APPROPRIATIONS VS FY 20-21 APPROPRIATIONS BY SOURCE - DETAIL</t>
  </si>
  <si>
    <t>LCTCS Rapid Response</t>
  </si>
  <si>
    <t>FY 2021-2022 Beginning Operating Budget</t>
  </si>
  <si>
    <t>FY 21 - FY 22 Change</t>
  </si>
  <si>
    <t>FY 21-22 Higher Education</t>
  </si>
  <si>
    <t>FY 21-22 Higher Education Excuding LOSFA and Hospitals</t>
  </si>
  <si>
    <t>COMPARISON OF FY 08-09 APPROPRIATIONS VS FY 21-22 APPROPRIATIONS WITH CHANGE BY FISCAL YEAR AND SOURCE</t>
  </si>
  <si>
    <t>COMPARISON OF FY 08-09 APPROPRIATIONS VS FY 21-22 APPROPRIATIONS BY SOURCE - DETAIL</t>
  </si>
  <si>
    <t>Total Self Generated Funds</t>
  </si>
  <si>
    <t>Change in Higher Education Funding FY 08-09 to FY 21-22</t>
  </si>
  <si>
    <r>
      <t xml:space="preserve">Change in Higher Education Funding FY 08-09 to FY 21-22 with LOSFA and Hospitals </t>
    </r>
    <r>
      <rPr>
        <b/>
        <sz val="11"/>
        <color rgb="FF00B0F0"/>
        <rFont val="Calibri"/>
        <family val="2"/>
      </rPr>
      <t>Removed</t>
    </r>
    <r>
      <rPr>
        <b/>
        <sz val="11"/>
        <color indexed="8"/>
        <rFont val="Calibri"/>
        <family val="2"/>
      </rPr>
      <t xml:space="preserve"> from Consideration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</si>
</sst>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\ 0.00%;[Red]\-0.00%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5"/>
      <color indexed="8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F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5"/>
      </right>
      <top/>
      <bottom style="thin">
        <color indexed="8"/>
      </bottom>
      <diagonal/>
    </border>
    <border>
      <left style="thin">
        <color indexed="6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0"/>
  </cellStyleXfs>
  <cellXfs count="14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3" xfId="0" applyFont="1" applyFill="1" applyBorder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1" fillId="0" borderId="0" xfId="0" applyFont="1" applyFill="1"/>
    <xf numFmtId="0" fontId="6" fillId="0" borderId="4" xfId="0" applyFont="1" applyBorder="1" applyAlignment="1">
      <alignment wrapText="1"/>
    </xf>
    <xf numFmtId="0" fontId="6" fillId="0" borderId="5" xfId="0" applyFont="1" applyBorder="1"/>
    <xf numFmtId="0" fontId="7" fillId="0" borderId="4" xfId="0" applyFont="1" applyBorder="1"/>
    <xf numFmtId="0" fontId="7" fillId="0" borderId="6" xfId="0" applyFont="1" applyBorder="1"/>
    <xf numFmtId="0" fontId="6" fillId="0" borderId="4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7" fillId="0" borderId="4" xfId="0" applyFont="1" applyFill="1" applyBorder="1"/>
    <xf numFmtId="0" fontId="7" fillId="0" borderId="6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6" fillId="0" borderId="11" xfId="0" applyFont="1" applyBorder="1"/>
    <xf numFmtId="0" fontId="1" fillId="2" borderId="12" xfId="0" applyFont="1" applyFill="1" applyBorder="1"/>
    <xf numFmtId="0" fontId="6" fillId="0" borderId="9" xfId="0" applyFont="1" applyBorder="1"/>
    <xf numFmtId="0" fontId="1" fillId="2" borderId="13" xfId="0" applyFont="1" applyFill="1" applyBorder="1"/>
    <xf numFmtId="164" fontId="0" fillId="0" borderId="0" xfId="0" applyNumberFormat="1"/>
    <xf numFmtId="164" fontId="0" fillId="0" borderId="14" xfId="0" applyNumberFormat="1" applyBorder="1" applyAlignment="1">
      <alignment horizontal="center" wrapText="1"/>
    </xf>
    <xf numFmtId="164" fontId="0" fillId="0" borderId="15" xfId="0" applyNumberFormat="1" applyBorder="1"/>
    <xf numFmtId="164" fontId="0" fillId="0" borderId="16" xfId="0" applyNumberFormat="1" applyBorder="1"/>
    <xf numFmtId="164" fontId="0" fillId="0" borderId="0" xfId="0" applyNumberFormat="1" applyBorder="1"/>
    <xf numFmtId="0" fontId="0" fillId="0" borderId="0" xfId="0" applyBorder="1"/>
    <xf numFmtId="6" fontId="11" fillId="0" borderId="0" xfId="0" applyNumberFormat="1" applyFont="1"/>
    <xf numFmtId="0" fontId="11" fillId="0" borderId="0" xfId="0" applyFont="1"/>
    <xf numFmtId="164" fontId="0" fillId="0" borderId="0" xfId="0" applyNumberFormat="1" applyFill="1" applyBorder="1"/>
    <xf numFmtId="6" fontId="11" fillId="0" borderId="0" xfId="0" applyNumberFormat="1" applyFont="1" applyBorder="1"/>
    <xf numFmtId="0" fontId="12" fillId="0" borderId="17" xfId="0" applyFont="1" applyBorder="1"/>
    <xf numFmtId="6" fontId="11" fillId="0" borderId="17" xfId="0" applyNumberFormat="1" applyFont="1" applyBorder="1"/>
    <xf numFmtId="0" fontId="12" fillId="3" borderId="17" xfId="0" applyFont="1" applyFill="1" applyBorder="1"/>
    <xf numFmtId="0" fontId="12" fillId="0" borderId="14" xfId="0" applyFont="1" applyBorder="1"/>
    <xf numFmtId="164" fontId="11" fillId="0" borderId="14" xfId="0" applyNumberFormat="1" applyFont="1" applyBorder="1"/>
    <xf numFmtId="0" fontId="12" fillId="3" borderId="14" xfId="0" applyFont="1" applyFill="1" applyBorder="1"/>
    <xf numFmtId="164" fontId="11" fillId="0" borderId="17" xfId="0" applyNumberFormat="1" applyFont="1" applyBorder="1"/>
    <xf numFmtId="164" fontId="11" fillId="0" borderId="18" xfId="0" applyNumberFormat="1" applyFont="1" applyBorder="1"/>
    <xf numFmtId="164" fontId="11" fillId="0" borderId="19" xfId="0" applyNumberFormat="1" applyFont="1" applyBorder="1"/>
    <xf numFmtId="164" fontId="11" fillId="0" borderId="20" xfId="0" applyNumberFormat="1" applyFont="1" applyBorder="1"/>
    <xf numFmtId="164" fontId="11" fillId="0" borderId="21" xfId="0" applyNumberFormat="1" applyFont="1" applyBorder="1"/>
    <xf numFmtId="164" fontId="11" fillId="0" borderId="22" xfId="0" applyNumberFormat="1" applyFont="1" applyBorder="1"/>
    <xf numFmtId="0" fontId="5" fillId="0" borderId="5" xfId="0" applyFont="1" applyBorder="1"/>
    <xf numFmtId="0" fontId="2" fillId="2" borderId="3" xfId="0" applyFont="1" applyFill="1" applyBorder="1"/>
    <xf numFmtId="0" fontId="5" fillId="0" borderId="11" xfId="0" applyFont="1" applyBorder="1"/>
    <xf numFmtId="0" fontId="2" fillId="2" borderId="12" xfId="0" applyFont="1" applyFill="1" applyBorder="1"/>
    <xf numFmtId="0" fontId="5" fillId="0" borderId="9" xfId="0" applyFont="1" applyBorder="1"/>
    <xf numFmtId="0" fontId="2" fillId="2" borderId="13" xfId="0" applyFont="1" applyFill="1" applyBorder="1"/>
    <xf numFmtId="164" fontId="11" fillId="0" borderId="23" xfId="0" applyNumberFormat="1" applyFont="1" applyBorder="1"/>
    <xf numFmtId="0" fontId="0" fillId="3" borderId="0" xfId="0" applyFill="1"/>
    <xf numFmtId="0" fontId="0" fillId="3" borderId="0" xfId="0" applyFill="1" applyBorder="1"/>
    <xf numFmtId="0" fontId="0" fillId="0" borderId="24" xfId="0" applyBorder="1"/>
    <xf numFmtId="0" fontId="11" fillId="0" borderId="25" xfId="0" applyFont="1" applyBorder="1"/>
    <xf numFmtId="0" fontId="11" fillId="3" borderId="3" xfId="0" applyFont="1" applyFill="1" applyBorder="1"/>
    <xf numFmtId="0" fontId="11" fillId="0" borderId="3" xfId="0" applyFont="1" applyBorder="1"/>
    <xf numFmtId="6" fontId="11" fillId="0" borderId="3" xfId="0" applyNumberFormat="1" applyFont="1" applyBorder="1"/>
    <xf numFmtId="0" fontId="11" fillId="0" borderId="26" xfId="0" applyFont="1" applyBorder="1"/>
    <xf numFmtId="0" fontId="11" fillId="0" borderId="26" xfId="0" applyFont="1" applyFill="1" applyBorder="1"/>
    <xf numFmtId="0" fontId="11" fillId="0" borderId="3" xfId="0" applyFont="1" applyFill="1" applyBorder="1"/>
    <xf numFmtId="6" fontId="0" fillId="0" borderId="0" xfId="0" applyNumberFormat="1"/>
    <xf numFmtId="0" fontId="5" fillId="0" borderId="5" xfId="0" applyFont="1" applyBorder="1" applyAlignment="1">
      <alignment wrapText="1"/>
    </xf>
    <xf numFmtId="164" fontId="11" fillId="0" borderId="14" xfId="0" applyNumberFormat="1" applyFont="1" applyBorder="1" applyAlignment="1">
      <alignment horizontal="center" wrapText="1"/>
    </xf>
    <xf numFmtId="0" fontId="5" fillId="0" borderId="27" xfId="0" applyFont="1" applyBorder="1" applyAlignment="1">
      <alignment wrapText="1"/>
    </xf>
    <xf numFmtId="164" fontId="11" fillId="0" borderId="17" xfId="0" applyNumberFormat="1" applyFont="1" applyBorder="1" applyAlignment="1">
      <alignment horizontal="center" wrapText="1"/>
    </xf>
    <xf numFmtId="0" fontId="2" fillId="3" borderId="0" xfId="0" applyFont="1" applyFill="1" applyAlignment="1">
      <alignment wrapText="1"/>
    </xf>
    <xf numFmtId="165" fontId="11" fillId="0" borderId="26" xfId="2" applyNumberFormat="1" applyFont="1" applyBorder="1"/>
    <xf numFmtId="0" fontId="13" fillId="0" borderId="0" xfId="0" applyFont="1"/>
    <xf numFmtId="0" fontId="11" fillId="3" borderId="0" xfId="0" applyFont="1" applyFill="1"/>
    <xf numFmtId="164" fontId="0" fillId="4" borderId="14" xfId="0" applyNumberFormat="1" applyFill="1" applyBorder="1" applyAlignment="1">
      <alignment horizontal="center" wrapText="1"/>
    </xf>
    <xf numFmtId="164" fontId="11" fillId="4" borderId="14" xfId="0" applyNumberFormat="1" applyFont="1" applyFill="1" applyBorder="1"/>
    <xf numFmtId="164" fontId="11" fillId="4" borderId="20" xfId="0" applyNumberFormat="1" applyFont="1" applyFill="1" applyBorder="1"/>
    <xf numFmtId="164" fontId="11" fillId="4" borderId="22" xfId="0" applyNumberFormat="1" applyFont="1" applyFill="1" applyBorder="1"/>
    <xf numFmtId="164" fontId="0" fillId="4" borderId="16" xfId="0" applyNumberFormat="1" applyFill="1" applyBorder="1"/>
    <xf numFmtId="164" fontId="11" fillId="4" borderId="18" xfId="0" applyNumberFormat="1" applyFont="1" applyFill="1" applyBorder="1"/>
    <xf numFmtId="164" fontId="11" fillId="4" borderId="23" xfId="0" applyNumberFormat="1" applyFont="1" applyFill="1" applyBorder="1"/>
    <xf numFmtId="164" fontId="11" fillId="4" borderId="17" xfId="0" applyNumberFormat="1" applyFont="1" applyFill="1" applyBorder="1"/>
    <xf numFmtId="6" fontId="11" fillId="4" borderId="17" xfId="0" applyNumberFormat="1" applyFont="1" applyFill="1" applyBorder="1"/>
    <xf numFmtId="165" fontId="11" fillId="4" borderId="26" xfId="2" applyNumberFormat="1" applyFont="1" applyFill="1" applyBorder="1"/>
    <xf numFmtId="164" fontId="11" fillId="0" borderId="14" xfId="0" applyNumberFormat="1" applyFont="1" applyBorder="1"/>
    <xf numFmtId="6" fontId="0" fillId="0" borderId="16" xfId="0" applyNumberFormat="1" applyBorder="1"/>
    <xf numFmtId="6" fontId="0" fillId="4" borderId="16" xfId="0" applyNumberFormat="1" applyFill="1" applyBorder="1"/>
    <xf numFmtId="0" fontId="11" fillId="0" borderId="24" xfId="0" applyFont="1" applyBorder="1"/>
    <xf numFmtId="0" fontId="11" fillId="3" borderId="0" xfId="0" applyFont="1" applyFill="1" applyBorder="1"/>
    <xf numFmtId="6" fontId="11" fillId="0" borderId="23" xfId="0" applyNumberFormat="1" applyFont="1" applyBorder="1"/>
    <xf numFmtId="6" fontId="11" fillId="4" borderId="23" xfId="0" applyNumberFormat="1" applyFont="1" applyFill="1" applyBorder="1"/>
    <xf numFmtId="6" fontId="0" fillId="0" borderId="16" xfId="0" applyNumberFormat="1" applyFill="1" applyBorder="1"/>
    <xf numFmtId="164" fontId="11" fillId="4" borderId="14" xfId="0" applyNumberFormat="1" applyFont="1" applyFill="1" applyBorder="1" applyAlignment="1">
      <alignment horizontal="center" wrapText="1"/>
    </xf>
    <xf numFmtId="0" fontId="2" fillId="3" borderId="3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1" fillId="3" borderId="0" xfId="0" applyFont="1" applyFill="1"/>
    <xf numFmtId="0" fontId="2" fillId="3" borderId="0" xfId="0" applyFont="1" applyFill="1"/>
    <xf numFmtId="164" fontId="11" fillId="5" borderId="14" xfId="0" applyNumberFormat="1" applyFont="1" applyFill="1" applyBorder="1" applyAlignment="1">
      <alignment horizontal="center" wrapText="1"/>
    </xf>
    <xf numFmtId="0" fontId="12" fillId="0" borderId="0" xfId="0" applyFont="1" applyFill="1" applyBorder="1"/>
    <xf numFmtId="0" fontId="14" fillId="0" borderId="0" xfId="0" applyFont="1"/>
    <xf numFmtId="164" fontId="14" fillId="0" borderId="0" xfId="0" applyNumberFormat="1" applyFont="1"/>
    <xf numFmtId="0" fontId="8" fillId="0" borderId="0" xfId="0" applyFont="1" applyAlignment="1"/>
    <xf numFmtId="15" fontId="9" fillId="0" borderId="0" xfId="0" applyNumberFormat="1" applyFont="1" applyAlignment="1"/>
    <xf numFmtId="164" fontId="15" fillId="0" borderId="0" xfId="0" applyNumberFormat="1" applyFont="1"/>
    <xf numFmtId="0" fontId="15" fillId="0" borderId="0" xfId="0" applyFont="1"/>
    <xf numFmtId="6" fontId="11" fillId="0" borderId="16" xfId="0" applyNumberFormat="1" applyFont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164" fontId="14" fillId="0" borderId="0" xfId="0" applyNumberFormat="1" applyFont="1" applyFill="1"/>
    <xf numFmtId="164" fontId="0" fillId="0" borderId="0" xfId="0" applyNumberFormat="1" applyFill="1"/>
    <xf numFmtId="164" fontId="0" fillId="0" borderId="14" xfId="0" applyNumberFormat="1" applyFill="1" applyBorder="1" applyAlignment="1">
      <alignment horizontal="center" wrapText="1"/>
    </xf>
    <xf numFmtId="164" fontId="11" fillId="0" borderId="14" xfId="0" applyNumberFormat="1" applyFont="1" applyFill="1" applyBorder="1"/>
    <xf numFmtId="164" fontId="11" fillId="0" borderId="18" xfId="0" applyNumberFormat="1" applyFont="1" applyFill="1" applyBorder="1"/>
    <xf numFmtId="164" fontId="11" fillId="0" borderId="17" xfId="0" applyNumberFormat="1" applyFont="1" applyFill="1" applyBorder="1"/>
    <xf numFmtId="15" fontId="17" fillId="0" borderId="0" xfId="0" applyNumberFormat="1" applyFont="1" applyAlignment="1"/>
    <xf numFmtId="6" fontId="11" fillId="0" borderId="14" xfId="1" applyNumberFormat="1" applyFont="1" applyBorder="1"/>
    <xf numFmtId="6" fontId="11" fillId="5" borderId="14" xfId="1" applyNumberFormat="1" applyFont="1" applyFill="1" applyBorder="1"/>
    <xf numFmtId="6" fontId="11" fillId="4" borderId="14" xfId="1" applyNumberFormat="1" applyFont="1" applyFill="1" applyBorder="1"/>
    <xf numFmtId="6" fontId="10" fillId="0" borderId="23" xfId="1" applyNumberFormat="1" applyFont="1" applyBorder="1"/>
    <xf numFmtId="6" fontId="10" fillId="5" borderId="23" xfId="1" applyNumberFormat="1" applyFont="1" applyFill="1" applyBorder="1"/>
    <xf numFmtId="6" fontId="10" fillId="4" borderId="23" xfId="1" applyNumberFormat="1" applyFont="1" applyFill="1" applyBorder="1"/>
    <xf numFmtId="6" fontId="10" fillId="0" borderId="16" xfId="1" applyNumberFormat="1" applyFont="1" applyBorder="1"/>
    <xf numFmtId="6" fontId="10" fillId="5" borderId="16" xfId="1" applyNumberFormat="1" applyFont="1" applyFill="1" applyBorder="1"/>
    <xf numFmtId="6" fontId="10" fillId="4" borderId="16" xfId="1" applyNumberFormat="1" applyFont="1" applyFill="1" applyBorder="1"/>
    <xf numFmtId="6" fontId="11" fillId="0" borderId="18" xfId="1" applyNumberFormat="1" applyFont="1" applyBorder="1"/>
    <xf numFmtId="6" fontId="11" fillId="5" borderId="18" xfId="1" applyNumberFormat="1" applyFont="1" applyFill="1" applyBorder="1"/>
    <xf numFmtId="6" fontId="11" fillId="4" borderId="18" xfId="1" applyNumberFormat="1" applyFont="1" applyFill="1" applyBorder="1"/>
    <xf numFmtId="164" fontId="11" fillId="0" borderId="16" xfId="0" applyNumberFormat="1" applyFont="1" applyBorder="1"/>
    <xf numFmtId="0" fontId="4" fillId="0" borderId="8" xfId="0" applyFont="1" applyFill="1" applyBorder="1"/>
    <xf numFmtId="164" fontId="0" fillId="0" borderId="23" xfId="0" applyNumberFormat="1" applyFont="1" applyBorder="1"/>
    <xf numFmtId="164" fontId="0" fillId="0" borderId="16" xfId="0" applyNumberFormat="1" applyFont="1" applyBorder="1"/>
    <xf numFmtId="0" fontId="20" fillId="3" borderId="14" xfId="0" applyFont="1" applyFill="1" applyBorder="1"/>
    <xf numFmtId="6" fontId="20" fillId="0" borderId="0" xfId="0" applyNumberFormat="1" applyFont="1"/>
    <xf numFmtId="164" fontId="19" fillId="0" borderId="0" xfId="0" applyNumberFormat="1" applyFont="1"/>
    <xf numFmtId="0" fontId="20" fillId="0" borderId="0" xfId="0" applyFont="1"/>
    <xf numFmtId="6" fontId="0" fillId="0" borderId="16" xfId="0" applyNumberFormat="1" applyFont="1" applyBorder="1"/>
    <xf numFmtId="0" fontId="11" fillId="0" borderId="25" xfId="0" applyFont="1" applyFill="1" applyBorder="1"/>
    <xf numFmtId="6" fontId="11" fillId="0" borderId="17" xfId="0" applyNumberFormat="1" applyFont="1" applyFill="1" applyBorder="1"/>
    <xf numFmtId="0" fontId="21" fillId="0" borderId="14" xfId="0" applyFont="1" applyFill="1" applyBorder="1"/>
    <xf numFmtId="164" fontId="21" fillId="0" borderId="14" xfId="0" applyNumberFormat="1" applyFont="1" applyFill="1" applyBorder="1"/>
    <xf numFmtId="164" fontId="21" fillId="0" borderId="17" xfId="0" applyNumberFormat="1" applyFont="1" applyFill="1" applyBorder="1"/>
  </cellXfs>
  <cellStyles count="5">
    <cellStyle name="Comma 3" xfId="3" xr:uid="{00000000-0005-0000-0000-000001000000}"/>
    <cellStyle name="Currency" xfId="1" builtinId="4"/>
    <cellStyle name="Normal" xfId="0" builtinId="0"/>
    <cellStyle name="Normal 2" xfId="4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workbookViewId="0">
      <pane xSplit="3" ySplit="5" topLeftCell="D47" activePane="bottomRight" state="frozen"/>
      <selection pane="topRight" activeCell="D1" sqref="D1"/>
      <selection pane="bottomLeft" activeCell="A6" sqref="A6"/>
      <selection pane="bottomRight" sqref="A1:L56"/>
    </sheetView>
  </sheetViews>
  <sheetFormatPr defaultRowHeight="15" x14ac:dyDescent="0.25"/>
  <cols>
    <col min="2" max="2" width="22.85546875" customWidth="1"/>
    <col min="3" max="3" width="1.42578125" customWidth="1"/>
    <col min="4" max="12" width="16.28515625" style="25" customWidth="1"/>
    <col min="13" max="13" width="1.42578125" customWidth="1"/>
    <col min="14" max="15" width="15.28515625" bestFit="1" customWidth="1"/>
  </cols>
  <sheetData>
    <row r="1" spans="1:16" s="99" customFormat="1" ht="18.75" x14ac:dyDescent="0.3">
      <c r="A1" s="99" t="s">
        <v>94</v>
      </c>
      <c r="D1" s="100"/>
      <c r="E1" s="100"/>
      <c r="F1" s="100"/>
      <c r="G1" s="100"/>
      <c r="H1" s="100"/>
      <c r="I1" s="100"/>
      <c r="J1" s="100"/>
      <c r="K1" s="100"/>
      <c r="L1" s="100"/>
    </row>
    <row r="2" spans="1:16" s="99" customFormat="1" ht="18.75" x14ac:dyDescent="0.3">
      <c r="A2" s="101" t="s">
        <v>69</v>
      </c>
      <c r="B2" s="101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6" s="104" customFormat="1" ht="18.75" x14ac:dyDescent="0.3">
      <c r="A3" s="102"/>
      <c r="B3" s="101"/>
      <c r="C3" s="101"/>
      <c r="D3" s="103"/>
      <c r="E3" s="103"/>
      <c r="F3" s="103"/>
      <c r="G3" s="103"/>
      <c r="H3" s="103"/>
      <c r="I3" s="103"/>
      <c r="J3" s="103"/>
      <c r="K3" s="103"/>
      <c r="L3" s="103"/>
      <c r="M3" s="101"/>
    </row>
    <row r="4" spans="1:16" x14ac:dyDescent="0.25">
      <c r="A4" s="1"/>
      <c r="B4" s="2"/>
      <c r="C4" s="9"/>
      <c r="M4" s="9"/>
    </row>
    <row r="5" spans="1:16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59</v>
      </c>
      <c r="H5" s="73" t="s">
        <v>88</v>
      </c>
      <c r="I5" s="73" t="s">
        <v>68</v>
      </c>
      <c r="J5" s="26" t="s">
        <v>60</v>
      </c>
      <c r="K5" s="26" t="s">
        <v>61</v>
      </c>
      <c r="L5" s="26" t="s">
        <v>62</v>
      </c>
      <c r="M5" s="4"/>
    </row>
    <row r="6" spans="1:16" x14ac:dyDescent="0.25">
      <c r="A6" s="11" t="s">
        <v>2</v>
      </c>
      <c r="B6" s="11" t="s">
        <v>3</v>
      </c>
      <c r="C6" s="5"/>
      <c r="D6" s="39">
        <v>50237106</v>
      </c>
      <c r="E6" s="39">
        <v>38212500</v>
      </c>
      <c r="F6" s="39">
        <f>D6+E6</f>
        <v>88449606</v>
      </c>
      <c r="G6" s="39">
        <v>23426493</v>
      </c>
      <c r="H6" s="74">
        <v>0</v>
      </c>
      <c r="I6" s="74">
        <v>2566380</v>
      </c>
      <c r="J6" s="39">
        <f>H6+I6</f>
        <v>2566380</v>
      </c>
      <c r="K6" s="39">
        <v>12063873</v>
      </c>
      <c r="L6" s="39">
        <f>F6+G6+J6+K6</f>
        <v>126506352</v>
      </c>
      <c r="M6" s="5"/>
    </row>
    <row r="7" spans="1:16" x14ac:dyDescent="0.25">
      <c r="A7" s="21" t="s">
        <v>4</v>
      </c>
      <c r="B7" s="21" t="s">
        <v>4</v>
      </c>
      <c r="C7" s="22"/>
      <c r="D7" s="43">
        <v>0</v>
      </c>
      <c r="E7" s="44">
        <v>0</v>
      </c>
      <c r="F7" s="39">
        <v>0</v>
      </c>
      <c r="G7" s="44">
        <v>0</v>
      </c>
      <c r="H7" s="75">
        <v>0</v>
      </c>
      <c r="I7" s="75">
        <v>0</v>
      </c>
      <c r="J7" s="39">
        <v>0</v>
      </c>
      <c r="K7" s="44">
        <v>0</v>
      </c>
      <c r="L7" s="39">
        <v>0</v>
      </c>
      <c r="M7" s="22"/>
      <c r="N7" s="33"/>
      <c r="O7" s="29"/>
      <c r="P7" s="30"/>
    </row>
    <row r="8" spans="1:16" x14ac:dyDescent="0.25">
      <c r="A8" s="23" t="s">
        <v>5</v>
      </c>
      <c r="B8" s="23" t="s">
        <v>5</v>
      </c>
      <c r="C8" s="24"/>
      <c r="D8" s="45">
        <v>3178545</v>
      </c>
      <c r="E8" s="46">
        <v>47859</v>
      </c>
      <c r="F8" s="39">
        <f>D8+E8</f>
        <v>3226404</v>
      </c>
      <c r="G8" s="46">
        <v>850000</v>
      </c>
      <c r="H8" s="76">
        <v>0</v>
      </c>
      <c r="I8" s="76">
        <v>1100000</v>
      </c>
      <c r="J8" s="39">
        <f t="shared" ref="J8:J22" si="0">H8+I8</f>
        <v>1100000</v>
      </c>
      <c r="K8" s="46">
        <v>4034667</v>
      </c>
      <c r="L8" s="39">
        <f t="shared" ref="L8:L39" si="1">F8+G8+J8+K8</f>
        <v>9211071</v>
      </c>
      <c r="M8" s="24"/>
      <c r="N8" s="30"/>
      <c r="O8" s="30"/>
      <c r="P8" s="30"/>
    </row>
    <row r="9" spans="1:16" x14ac:dyDescent="0.25">
      <c r="A9" s="16" t="s">
        <v>6</v>
      </c>
      <c r="B9" s="16" t="s">
        <v>7</v>
      </c>
      <c r="C9" s="3"/>
      <c r="D9" s="27">
        <v>20914069</v>
      </c>
      <c r="E9" s="28">
        <v>264392</v>
      </c>
      <c r="F9" s="28">
        <f>D9+E9</f>
        <v>21178461</v>
      </c>
      <c r="G9" s="28">
        <v>0</v>
      </c>
      <c r="H9" s="77">
        <v>10497622</v>
      </c>
      <c r="I9" s="77">
        <v>140300</v>
      </c>
      <c r="J9" s="28">
        <f t="shared" si="0"/>
        <v>10637922</v>
      </c>
      <c r="K9" s="28">
        <v>0</v>
      </c>
      <c r="L9" s="28">
        <f t="shared" si="1"/>
        <v>31816383</v>
      </c>
      <c r="M9" s="3"/>
      <c r="N9" s="30"/>
      <c r="O9" s="30"/>
      <c r="P9" s="30"/>
    </row>
    <row r="10" spans="1:16" x14ac:dyDescent="0.25">
      <c r="A10" s="15"/>
      <c r="B10" s="16" t="s">
        <v>8</v>
      </c>
      <c r="C10" s="3"/>
      <c r="D10" s="27">
        <v>15355749</v>
      </c>
      <c r="E10" s="28">
        <v>410941</v>
      </c>
      <c r="F10" s="28">
        <f>D10+E10</f>
        <v>15766690</v>
      </c>
      <c r="G10" s="28">
        <v>0</v>
      </c>
      <c r="H10" s="77">
        <v>7788492</v>
      </c>
      <c r="I10" s="77">
        <v>375000</v>
      </c>
      <c r="J10" s="28">
        <f t="shared" si="0"/>
        <v>8163492</v>
      </c>
      <c r="K10" s="28">
        <v>0</v>
      </c>
      <c r="L10" s="28">
        <f t="shared" si="1"/>
        <v>23930182</v>
      </c>
      <c r="M10" s="3"/>
      <c r="N10" s="30"/>
      <c r="O10" s="30"/>
      <c r="P10" s="30"/>
    </row>
    <row r="11" spans="1:16" x14ac:dyDescent="0.25">
      <c r="A11" s="15"/>
      <c r="B11" s="16" t="s">
        <v>9</v>
      </c>
      <c r="C11" s="3"/>
      <c r="D11" s="27">
        <v>0</v>
      </c>
      <c r="E11" s="28">
        <v>0</v>
      </c>
      <c r="F11" s="28">
        <f t="shared" ref="F11:F22" si="2">D11+E11</f>
        <v>0</v>
      </c>
      <c r="G11" s="28">
        <v>0</v>
      </c>
      <c r="H11" s="77">
        <v>0</v>
      </c>
      <c r="I11" s="77">
        <v>0</v>
      </c>
      <c r="J11" s="28">
        <f t="shared" si="0"/>
        <v>0</v>
      </c>
      <c r="K11" s="28">
        <v>0</v>
      </c>
      <c r="L11" s="28">
        <f t="shared" si="1"/>
        <v>0</v>
      </c>
      <c r="M11" s="3"/>
      <c r="N11" s="30"/>
      <c r="O11" s="30"/>
      <c r="P11" s="30"/>
    </row>
    <row r="12" spans="1:16" x14ac:dyDescent="0.25">
      <c r="A12" s="15"/>
      <c r="B12" s="16" t="s">
        <v>10</v>
      </c>
      <c r="C12" s="3"/>
      <c r="D12" s="27">
        <v>41677810</v>
      </c>
      <c r="E12" s="28">
        <v>1742059</v>
      </c>
      <c r="F12" s="28">
        <f t="shared" si="2"/>
        <v>43419869</v>
      </c>
      <c r="G12" s="28">
        <v>0</v>
      </c>
      <c r="H12" s="77">
        <v>25931278</v>
      </c>
      <c r="I12" s="77">
        <f>10000+2441500</f>
        <v>2451500</v>
      </c>
      <c r="J12" s="28">
        <f t="shared" si="0"/>
        <v>28382778</v>
      </c>
      <c r="K12" s="28">
        <v>0</v>
      </c>
      <c r="L12" s="28">
        <f t="shared" si="1"/>
        <v>71802647</v>
      </c>
      <c r="M12" s="3"/>
      <c r="N12" s="30"/>
      <c r="O12" s="30"/>
      <c r="P12" s="30"/>
    </row>
    <row r="13" spans="1:16" x14ac:dyDescent="0.25">
      <c r="A13" s="15"/>
      <c r="B13" s="16" t="s">
        <v>11</v>
      </c>
      <c r="C13" s="3"/>
      <c r="D13" s="27">
        <v>4848775</v>
      </c>
      <c r="E13" s="28">
        <v>125115</v>
      </c>
      <c r="F13" s="28">
        <f t="shared" si="2"/>
        <v>4973890</v>
      </c>
      <c r="G13" s="28">
        <v>0</v>
      </c>
      <c r="H13" s="77">
        <v>1674715</v>
      </c>
      <c r="I13" s="77">
        <v>0</v>
      </c>
      <c r="J13" s="28">
        <f t="shared" si="0"/>
        <v>1674715</v>
      </c>
      <c r="K13" s="28">
        <v>0</v>
      </c>
      <c r="L13" s="28">
        <f t="shared" si="1"/>
        <v>6648605</v>
      </c>
      <c r="M13" s="3"/>
      <c r="N13" s="30"/>
      <c r="O13" s="30"/>
      <c r="P13" s="30"/>
    </row>
    <row r="14" spans="1:16" x14ac:dyDescent="0.25">
      <c r="A14" s="15"/>
      <c r="B14" s="16" t="s">
        <v>12</v>
      </c>
      <c r="C14" s="3"/>
      <c r="D14" s="27">
        <v>4536397</v>
      </c>
      <c r="E14" s="28">
        <v>10100000</v>
      </c>
      <c r="F14" s="28">
        <f t="shared" si="2"/>
        <v>14636397</v>
      </c>
      <c r="G14" s="28">
        <v>0</v>
      </c>
      <c r="H14" s="77">
        <v>0</v>
      </c>
      <c r="I14" s="77">
        <v>0</v>
      </c>
      <c r="J14" s="28">
        <f t="shared" si="0"/>
        <v>0</v>
      </c>
      <c r="K14" s="28">
        <v>0</v>
      </c>
      <c r="L14" s="28">
        <f t="shared" si="1"/>
        <v>14636397</v>
      </c>
      <c r="M14" s="3"/>
      <c r="N14" s="30"/>
      <c r="O14" s="30"/>
      <c r="P14" s="30"/>
    </row>
    <row r="15" spans="1:16" x14ac:dyDescent="0.25">
      <c r="A15" s="15"/>
      <c r="B15" s="16" t="s">
        <v>13</v>
      </c>
      <c r="C15" s="3"/>
      <c r="D15" s="27">
        <v>0</v>
      </c>
      <c r="E15" s="28">
        <v>0</v>
      </c>
      <c r="F15" s="28">
        <f t="shared" si="2"/>
        <v>0</v>
      </c>
      <c r="G15" s="28">
        <v>0</v>
      </c>
      <c r="H15" s="77">
        <v>0</v>
      </c>
      <c r="I15" s="77">
        <v>0</v>
      </c>
      <c r="J15" s="28">
        <f t="shared" si="0"/>
        <v>0</v>
      </c>
      <c r="K15" s="28">
        <v>0</v>
      </c>
      <c r="L15" s="28">
        <f t="shared" si="1"/>
        <v>0</v>
      </c>
      <c r="M15" s="3"/>
      <c r="N15" s="30"/>
      <c r="O15" s="30"/>
      <c r="P15" s="30"/>
    </row>
    <row r="16" spans="1:16" x14ac:dyDescent="0.25">
      <c r="A16" s="15"/>
      <c r="B16" s="16" t="s">
        <v>14</v>
      </c>
      <c r="C16" s="3"/>
      <c r="D16" s="27">
        <v>4428505</v>
      </c>
      <c r="E16" s="28">
        <v>19263</v>
      </c>
      <c r="F16" s="28">
        <f t="shared" si="2"/>
        <v>4447768</v>
      </c>
      <c r="G16" s="28">
        <v>0</v>
      </c>
      <c r="H16" s="77">
        <v>2234055</v>
      </c>
      <c r="I16" s="77">
        <v>19100</v>
      </c>
      <c r="J16" s="28">
        <f t="shared" si="0"/>
        <v>2253155</v>
      </c>
      <c r="K16" s="28">
        <v>0</v>
      </c>
      <c r="L16" s="28">
        <f t="shared" si="1"/>
        <v>6700923</v>
      </c>
      <c r="M16" s="3"/>
      <c r="N16" s="30"/>
      <c r="O16" s="30"/>
      <c r="P16" s="30"/>
    </row>
    <row r="17" spans="1:16" x14ac:dyDescent="0.25">
      <c r="A17" s="15"/>
      <c r="B17" s="16" t="s">
        <v>15</v>
      </c>
      <c r="C17" s="3"/>
      <c r="D17" s="27">
        <v>76198019</v>
      </c>
      <c r="E17" s="28">
        <v>3292996</v>
      </c>
      <c r="F17" s="28">
        <f t="shared" si="2"/>
        <v>79491015</v>
      </c>
      <c r="G17" s="28">
        <v>0</v>
      </c>
      <c r="H17" s="77">
        <v>12728500</v>
      </c>
      <c r="I17" s="77">
        <f>510725+386775</f>
        <v>897500</v>
      </c>
      <c r="J17" s="28">
        <f t="shared" si="0"/>
        <v>13626000</v>
      </c>
      <c r="K17" s="28">
        <v>0</v>
      </c>
      <c r="L17" s="28">
        <f t="shared" si="1"/>
        <v>93117015</v>
      </c>
      <c r="M17" s="3"/>
      <c r="N17" s="30"/>
      <c r="O17" s="30"/>
      <c r="P17" s="30"/>
    </row>
    <row r="18" spans="1:16" x14ac:dyDescent="0.25">
      <c r="A18" s="15"/>
      <c r="B18" s="16" t="s">
        <v>16</v>
      </c>
      <c r="C18" s="3"/>
      <c r="D18" s="27">
        <v>5216950</v>
      </c>
      <c r="E18" s="28">
        <v>206235</v>
      </c>
      <c r="F18" s="28">
        <f t="shared" si="2"/>
        <v>5423185</v>
      </c>
      <c r="G18" s="28">
        <v>0</v>
      </c>
      <c r="H18" s="77">
        <v>2619422</v>
      </c>
      <c r="I18" s="77">
        <f>214286+187012</f>
        <v>401298</v>
      </c>
      <c r="J18" s="28">
        <f t="shared" si="0"/>
        <v>3020720</v>
      </c>
      <c r="K18" s="28">
        <v>0</v>
      </c>
      <c r="L18" s="28">
        <f t="shared" si="1"/>
        <v>8443905</v>
      </c>
      <c r="M18" s="3"/>
      <c r="N18" s="30"/>
      <c r="O18" s="30"/>
      <c r="P18" s="30"/>
    </row>
    <row r="19" spans="1:16" x14ac:dyDescent="0.25">
      <c r="A19" s="15"/>
      <c r="B19" s="16" t="s">
        <v>17</v>
      </c>
      <c r="C19" s="3"/>
      <c r="D19" s="27">
        <v>0</v>
      </c>
      <c r="E19" s="28">
        <v>0</v>
      </c>
      <c r="F19" s="28">
        <f t="shared" si="2"/>
        <v>0</v>
      </c>
      <c r="G19" s="28">
        <v>0</v>
      </c>
      <c r="H19" s="77">
        <v>0</v>
      </c>
      <c r="I19" s="77">
        <v>0</v>
      </c>
      <c r="J19" s="28">
        <f t="shared" si="0"/>
        <v>0</v>
      </c>
      <c r="K19" s="28">
        <v>0</v>
      </c>
      <c r="L19" s="28">
        <f t="shared" si="1"/>
        <v>0</v>
      </c>
      <c r="M19" s="3"/>
      <c r="N19" s="30"/>
      <c r="O19" s="30"/>
      <c r="P19" s="30"/>
    </row>
    <row r="20" spans="1:16" x14ac:dyDescent="0.25">
      <c r="A20" s="15"/>
      <c r="B20" s="16" t="s">
        <v>18</v>
      </c>
      <c r="C20" s="3"/>
      <c r="D20" s="27">
        <v>3209060</v>
      </c>
      <c r="E20" s="28">
        <v>34541</v>
      </c>
      <c r="F20" s="28">
        <f t="shared" si="2"/>
        <v>3243601</v>
      </c>
      <c r="G20" s="28">
        <v>0</v>
      </c>
      <c r="H20" s="77">
        <v>1541584</v>
      </c>
      <c r="I20" s="77">
        <v>0</v>
      </c>
      <c r="J20" s="28">
        <f t="shared" si="0"/>
        <v>1541584</v>
      </c>
      <c r="K20" s="28">
        <v>0</v>
      </c>
      <c r="L20" s="28">
        <f t="shared" si="1"/>
        <v>4785185</v>
      </c>
      <c r="M20" s="3"/>
      <c r="N20" s="30"/>
      <c r="O20" s="30"/>
      <c r="P20" s="30"/>
    </row>
    <row r="21" spans="1:16" x14ac:dyDescent="0.25">
      <c r="A21" s="15"/>
      <c r="B21" s="16" t="s">
        <v>19</v>
      </c>
      <c r="C21" s="3"/>
      <c r="D21" s="27">
        <v>7587681</v>
      </c>
      <c r="E21" s="28">
        <v>52917</v>
      </c>
      <c r="F21" s="28">
        <f t="shared" si="2"/>
        <v>7640598</v>
      </c>
      <c r="G21" s="28">
        <v>0</v>
      </c>
      <c r="H21" s="77">
        <v>4377777</v>
      </c>
      <c r="I21" s="77">
        <v>86792</v>
      </c>
      <c r="J21" s="28">
        <f t="shared" si="0"/>
        <v>4464569</v>
      </c>
      <c r="K21" s="28">
        <v>0</v>
      </c>
      <c r="L21" s="28">
        <f t="shared" si="1"/>
        <v>12105167</v>
      </c>
      <c r="M21" s="3"/>
      <c r="N21" s="30"/>
      <c r="O21" s="30"/>
      <c r="P21" s="30"/>
    </row>
    <row r="22" spans="1:16" x14ac:dyDescent="0.25">
      <c r="A22" s="15"/>
      <c r="B22" s="16" t="s">
        <v>20</v>
      </c>
      <c r="C22" s="3"/>
      <c r="D22" s="27">
        <v>7916689</v>
      </c>
      <c r="E22" s="28">
        <v>562715</v>
      </c>
      <c r="F22" s="28">
        <f t="shared" si="2"/>
        <v>8479404</v>
      </c>
      <c r="G22" s="28">
        <v>0</v>
      </c>
      <c r="H22" s="77">
        <v>3004240</v>
      </c>
      <c r="I22" s="77">
        <f>50416+48288</f>
        <v>98704</v>
      </c>
      <c r="J22" s="28">
        <f t="shared" si="0"/>
        <v>3102944</v>
      </c>
      <c r="K22" s="28">
        <v>0</v>
      </c>
      <c r="L22" s="28">
        <f t="shared" si="1"/>
        <v>11582348</v>
      </c>
      <c r="M22" s="3"/>
      <c r="N22" s="30"/>
      <c r="O22" s="30"/>
      <c r="P22" s="30"/>
    </row>
    <row r="23" spans="1:16" x14ac:dyDescent="0.25">
      <c r="A23" s="17" t="s">
        <v>21</v>
      </c>
      <c r="B23" s="18"/>
      <c r="C23" s="6"/>
      <c r="D23" s="39">
        <f t="shared" ref="D23:K23" si="3">SUM(D9:D22)</f>
        <v>191889704</v>
      </c>
      <c r="E23" s="39">
        <f t="shared" si="3"/>
        <v>16811174</v>
      </c>
      <c r="F23" s="39">
        <f t="shared" si="3"/>
        <v>208700878</v>
      </c>
      <c r="G23" s="39">
        <f t="shared" si="3"/>
        <v>0</v>
      </c>
      <c r="H23" s="74">
        <f>SUM(H9:H22)</f>
        <v>72397685</v>
      </c>
      <c r="I23" s="74">
        <f>SUM(I9:I22)</f>
        <v>4470194</v>
      </c>
      <c r="J23" s="39">
        <f t="shared" si="3"/>
        <v>76867879</v>
      </c>
      <c r="K23" s="39">
        <f t="shared" si="3"/>
        <v>0</v>
      </c>
      <c r="L23" s="39">
        <f t="shared" si="1"/>
        <v>285568757</v>
      </c>
      <c r="M23" s="6"/>
      <c r="N23" s="30"/>
      <c r="O23" s="30"/>
      <c r="P23" s="30"/>
    </row>
    <row r="24" spans="1:16" x14ac:dyDescent="0.25">
      <c r="A24" s="14" t="s">
        <v>22</v>
      </c>
      <c r="B24" s="14" t="s">
        <v>23</v>
      </c>
      <c r="C24" s="3"/>
      <c r="D24" s="27">
        <v>13290934</v>
      </c>
      <c r="E24" s="28">
        <v>0</v>
      </c>
      <c r="F24" s="28">
        <f t="shared" ref="F24:F35" si="4">D24+E24</f>
        <v>13290934</v>
      </c>
      <c r="G24" s="28">
        <v>67842647</v>
      </c>
      <c r="H24" s="77">
        <v>0</v>
      </c>
      <c r="I24" s="77">
        <v>1636520</v>
      </c>
      <c r="J24" s="28">
        <f t="shared" ref="J24:J35" si="5">H24+I24</f>
        <v>1636520</v>
      </c>
      <c r="K24" s="28">
        <v>6925284</v>
      </c>
      <c r="L24" s="28">
        <f t="shared" si="1"/>
        <v>89695385</v>
      </c>
      <c r="M24" s="3"/>
      <c r="N24" s="29"/>
      <c r="O24" s="29"/>
      <c r="P24" s="30"/>
    </row>
    <row r="25" spans="1:16" x14ac:dyDescent="0.25">
      <c r="A25" s="15"/>
      <c r="B25" s="16" t="s">
        <v>24</v>
      </c>
      <c r="C25" s="3"/>
      <c r="D25" s="27">
        <v>14404067</v>
      </c>
      <c r="E25" s="28">
        <v>0</v>
      </c>
      <c r="F25" s="28">
        <f t="shared" si="4"/>
        <v>14404067</v>
      </c>
      <c r="G25" s="28">
        <v>40336977</v>
      </c>
      <c r="H25" s="77">
        <v>0</v>
      </c>
      <c r="I25" s="77">
        <v>1330426</v>
      </c>
      <c r="J25" s="28">
        <f t="shared" si="5"/>
        <v>1330426</v>
      </c>
      <c r="K25" s="28">
        <v>4547674</v>
      </c>
      <c r="L25" s="28">
        <f t="shared" si="1"/>
        <v>60619144</v>
      </c>
      <c r="M25" s="3"/>
      <c r="N25" s="29"/>
      <c r="O25" s="29"/>
      <c r="P25" s="30"/>
    </row>
    <row r="26" spans="1:16" x14ac:dyDescent="0.25">
      <c r="A26" s="15"/>
      <c r="B26" s="16" t="s">
        <v>25</v>
      </c>
      <c r="C26" s="3"/>
      <c r="D26" s="27">
        <v>86835525</v>
      </c>
      <c r="E26" s="28">
        <v>6311536</v>
      </c>
      <c r="F26" s="28">
        <f t="shared" si="4"/>
        <v>93147061</v>
      </c>
      <c r="G26" s="28">
        <v>0</v>
      </c>
      <c r="H26" s="77">
        <v>0</v>
      </c>
      <c r="I26" s="77">
        <v>6267967</v>
      </c>
      <c r="J26" s="28">
        <f t="shared" si="5"/>
        <v>6267967</v>
      </c>
      <c r="K26" s="28">
        <v>13018275</v>
      </c>
      <c r="L26" s="28">
        <f t="shared" si="1"/>
        <v>112433303</v>
      </c>
      <c r="M26" s="3"/>
      <c r="N26" s="30"/>
      <c r="O26" s="30"/>
      <c r="P26" s="30"/>
    </row>
    <row r="27" spans="1:16" x14ac:dyDescent="0.25">
      <c r="A27" s="15"/>
      <c r="B27" s="16" t="s">
        <v>26</v>
      </c>
      <c r="C27" s="3"/>
      <c r="D27" s="27">
        <v>12666528</v>
      </c>
      <c r="E27" s="28">
        <v>331247</v>
      </c>
      <c r="F27" s="28">
        <f t="shared" si="4"/>
        <v>12997775</v>
      </c>
      <c r="G27" s="28">
        <v>0</v>
      </c>
      <c r="H27" s="77">
        <v>7761664</v>
      </c>
      <c r="I27" s="77">
        <v>289040</v>
      </c>
      <c r="J27" s="28">
        <f t="shared" si="5"/>
        <v>8050704</v>
      </c>
      <c r="K27" s="28">
        <v>0</v>
      </c>
      <c r="L27" s="28">
        <f t="shared" si="1"/>
        <v>21048479</v>
      </c>
      <c r="M27" s="3"/>
      <c r="N27" s="30"/>
      <c r="O27" s="30"/>
      <c r="P27" s="30"/>
    </row>
    <row r="28" spans="1:16" x14ac:dyDescent="0.25">
      <c r="A28" s="15"/>
      <c r="B28" s="16" t="s">
        <v>27</v>
      </c>
      <c r="C28" s="3"/>
      <c r="D28" s="27">
        <v>234683574</v>
      </c>
      <c r="E28" s="28">
        <v>15320630</v>
      </c>
      <c r="F28" s="28">
        <f t="shared" si="4"/>
        <v>250004204</v>
      </c>
      <c r="G28" s="28">
        <v>10734388</v>
      </c>
      <c r="H28" s="77">
        <v>161773867</v>
      </c>
      <c r="I28" s="77">
        <f>10012296+18751071</f>
        <v>28763367</v>
      </c>
      <c r="J28" s="28">
        <f t="shared" si="5"/>
        <v>190537234</v>
      </c>
      <c r="K28" s="28">
        <v>0</v>
      </c>
      <c r="L28" s="28">
        <f t="shared" si="1"/>
        <v>451275826</v>
      </c>
      <c r="M28" s="3"/>
      <c r="N28" s="30"/>
      <c r="O28" s="30"/>
      <c r="P28" s="30"/>
    </row>
    <row r="29" spans="1:16" x14ac:dyDescent="0.25">
      <c r="A29" s="15"/>
      <c r="B29" s="16" t="s">
        <v>28</v>
      </c>
      <c r="C29" s="3"/>
      <c r="D29" s="27">
        <v>10192973</v>
      </c>
      <c r="E29" s="28">
        <v>470000</v>
      </c>
      <c r="F29" s="28">
        <f t="shared" si="4"/>
        <v>10662973</v>
      </c>
      <c r="G29" s="28">
        <v>0</v>
      </c>
      <c r="H29" s="77">
        <v>0</v>
      </c>
      <c r="I29" s="77">
        <v>0</v>
      </c>
      <c r="J29" s="28">
        <f t="shared" si="5"/>
        <v>0</v>
      </c>
      <c r="K29" s="28">
        <v>0</v>
      </c>
      <c r="L29" s="28">
        <f t="shared" si="1"/>
        <v>10662973</v>
      </c>
      <c r="M29" s="3"/>
      <c r="N29" s="30"/>
      <c r="O29" s="30"/>
      <c r="P29" s="30"/>
    </row>
    <row r="30" spans="1:16" x14ac:dyDescent="0.25">
      <c r="A30" s="15"/>
      <c r="B30" s="16" t="s">
        <v>29</v>
      </c>
      <c r="C30" s="3"/>
      <c r="D30" s="27">
        <v>8660477</v>
      </c>
      <c r="E30" s="28">
        <v>308308</v>
      </c>
      <c r="F30" s="28">
        <f t="shared" si="4"/>
        <v>8968785</v>
      </c>
      <c r="G30" s="28">
        <v>0</v>
      </c>
      <c r="H30" s="77">
        <v>4951489</v>
      </c>
      <c r="I30" s="77">
        <v>120000</v>
      </c>
      <c r="J30" s="28">
        <f t="shared" si="5"/>
        <v>5071489</v>
      </c>
      <c r="K30" s="28">
        <v>0</v>
      </c>
      <c r="L30" s="28">
        <f t="shared" si="1"/>
        <v>14040274</v>
      </c>
      <c r="M30" s="3"/>
      <c r="N30" s="30"/>
      <c r="O30" s="30"/>
      <c r="P30" s="30"/>
    </row>
    <row r="31" spans="1:16" x14ac:dyDescent="0.25">
      <c r="A31" s="15"/>
      <c r="B31" s="16" t="s">
        <v>30</v>
      </c>
      <c r="C31" s="3"/>
      <c r="D31" s="27">
        <v>117958535</v>
      </c>
      <c r="E31" s="28">
        <v>22594995</v>
      </c>
      <c r="F31" s="28">
        <f t="shared" si="4"/>
        <v>140553530</v>
      </c>
      <c r="G31" s="28">
        <v>39169464</v>
      </c>
      <c r="H31" s="77">
        <v>17757087</v>
      </c>
      <c r="I31" s="77">
        <f>1210359+1332062</f>
        <v>2542421</v>
      </c>
      <c r="J31" s="28">
        <f t="shared" si="5"/>
        <v>20299508</v>
      </c>
      <c r="K31" s="28">
        <v>0</v>
      </c>
      <c r="L31" s="28">
        <f t="shared" si="1"/>
        <v>200022502</v>
      </c>
      <c r="M31" s="3"/>
      <c r="N31" s="30"/>
      <c r="O31" s="30"/>
      <c r="P31" s="30"/>
    </row>
    <row r="32" spans="1:16" x14ac:dyDescent="0.25">
      <c r="A32" s="15"/>
      <c r="B32" s="16" t="s">
        <v>31</v>
      </c>
      <c r="C32" s="3"/>
      <c r="D32" s="27">
        <v>76222728</v>
      </c>
      <c r="E32" s="28">
        <v>10145077</v>
      </c>
      <c r="F32" s="28">
        <f t="shared" si="4"/>
        <v>86367805</v>
      </c>
      <c r="G32" s="28">
        <v>233825128</v>
      </c>
      <c r="H32" s="77">
        <v>5740704</v>
      </c>
      <c r="I32" s="77">
        <v>48293400</v>
      </c>
      <c r="J32" s="28">
        <f t="shared" si="5"/>
        <v>54034104</v>
      </c>
      <c r="K32" s="28">
        <v>49466921</v>
      </c>
      <c r="L32" s="28">
        <f t="shared" si="1"/>
        <v>423693958</v>
      </c>
      <c r="M32" s="3"/>
      <c r="N32" s="33"/>
      <c r="O32" s="29"/>
      <c r="P32" s="30"/>
    </row>
    <row r="33" spans="1:16" x14ac:dyDescent="0.25">
      <c r="A33" s="15"/>
      <c r="B33" s="16" t="s">
        <v>32</v>
      </c>
      <c r="C33" s="3"/>
      <c r="D33" s="27">
        <v>18074889</v>
      </c>
      <c r="E33" s="28">
        <v>979650</v>
      </c>
      <c r="F33" s="28">
        <f t="shared" si="4"/>
        <v>19054539</v>
      </c>
      <c r="G33" s="28">
        <v>0</v>
      </c>
      <c r="H33" s="77">
        <v>13083874</v>
      </c>
      <c r="I33" s="77">
        <f>19500+173600</f>
        <v>193100</v>
      </c>
      <c r="J33" s="28">
        <f t="shared" si="5"/>
        <v>13276974</v>
      </c>
      <c r="K33" s="28">
        <v>0</v>
      </c>
      <c r="L33" s="28">
        <f t="shared" si="1"/>
        <v>32331513</v>
      </c>
      <c r="M33" s="3"/>
      <c r="N33" s="30"/>
      <c r="O33" s="30"/>
      <c r="P33" s="30"/>
    </row>
    <row r="34" spans="1:16" x14ac:dyDescent="0.25">
      <c r="A34" s="15"/>
      <c r="B34" s="16" t="s">
        <v>33</v>
      </c>
      <c r="C34" s="3"/>
      <c r="D34" s="27">
        <v>10070297</v>
      </c>
      <c r="E34" s="28">
        <v>492457</v>
      </c>
      <c r="F34" s="28">
        <f t="shared" si="4"/>
        <v>10562754</v>
      </c>
      <c r="G34" s="28">
        <v>0</v>
      </c>
      <c r="H34" s="77">
        <v>9930012</v>
      </c>
      <c r="I34" s="77">
        <f>2500+136500</f>
        <v>139000</v>
      </c>
      <c r="J34" s="28">
        <f t="shared" si="5"/>
        <v>10069012</v>
      </c>
      <c r="K34" s="28">
        <v>0</v>
      </c>
      <c r="L34" s="28">
        <f t="shared" si="1"/>
        <v>20631766</v>
      </c>
      <c r="M34" s="3"/>
      <c r="N34" s="30"/>
      <c r="O34" s="30"/>
      <c r="P34" s="30"/>
    </row>
    <row r="35" spans="1:16" x14ac:dyDescent="0.25">
      <c r="A35" s="15"/>
      <c r="B35" s="16" t="s">
        <v>34</v>
      </c>
      <c r="C35" s="3"/>
      <c r="D35" s="27">
        <v>16208781</v>
      </c>
      <c r="E35" s="28">
        <v>116272</v>
      </c>
      <c r="F35" s="28">
        <f t="shared" si="4"/>
        <v>16325053</v>
      </c>
      <c r="G35" s="28">
        <v>0</v>
      </c>
      <c r="H35" s="77">
        <v>0</v>
      </c>
      <c r="I35" s="77">
        <v>825561</v>
      </c>
      <c r="J35" s="28">
        <f t="shared" si="5"/>
        <v>825561</v>
      </c>
      <c r="K35" s="28">
        <v>0</v>
      </c>
      <c r="L35" s="28">
        <f t="shared" si="1"/>
        <v>17150614</v>
      </c>
      <c r="M35" s="3"/>
      <c r="N35" s="30"/>
      <c r="O35" s="30"/>
      <c r="P35" s="30"/>
    </row>
    <row r="36" spans="1:16" x14ac:dyDescent="0.25">
      <c r="A36" s="17" t="s">
        <v>35</v>
      </c>
      <c r="B36" s="18"/>
      <c r="C36" s="6"/>
      <c r="D36" s="39">
        <f t="shared" ref="D36:K36" si="6">SUM(D24:D35)</f>
        <v>619269308</v>
      </c>
      <c r="E36" s="39">
        <f t="shared" si="6"/>
        <v>57070172</v>
      </c>
      <c r="F36" s="39">
        <f t="shared" si="6"/>
        <v>676339480</v>
      </c>
      <c r="G36" s="39">
        <f t="shared" si="6"/>
        <v>391908604</v>
      </c>
      <c r="H36" s="74">
        <f>SUM(H24:H35)</f>
        <v>220998697</v>
      </c>
      <c r="I36" s="74">
        <f>SUM(I24:I35)</f>
        <v>90400802</v>
      </c>
      <c r="J36" s="39">
        <f t="shared" si="6"/>
        <v>311399499</v>
      </c>
      <c r="K36" s="39">
        <f t="shared" si="6"/>
        <v>73958154</v>
      </c>
      <c r="L36" s="39">
        <f t="shared" si="1"/>
        <v>1453605737</v>
      </c>
      <c r="M36" s="6"/>
      <c r="N36" s="30"/>
      <c r="O36" s="30"/>
      <c r="P36" s="30"/>
    </row>
    <row r="37" spans="1:16" x14ac:dyDescent="0.25">
      <c r="A37" s="14" t="s">
        <v>36</v>
      </c>
      <c r="B37" s="14" t="s">
        <v>37</v>
      </c>
      <c r="C37" s="3"/>
      <c r="D37" s="27">
        <v>4142508</v>
      </c>
      <c r="E37" s="28">
        <v>1818645</v>
      </c>
      <c r="F37" s="28">
        <f t="shared" ref="F37:F42" si="7">D37+E37</f>
        <v>5961153</v>
      </c>
      <c r="G37" s="28">
        <v>0</v>
      </c>
      <c r="H37" s="77">
        <v>0</v>
      </c>
      <c r="I37" s="77">
        <v>0</v>
      </c>
      <c r="J37" s="28">
        <f t="shared" ref="J37:J42" si="8">H37+I37</f>
        <v>0</v>
      </c>
      <c r="K37" s="28">
        <v>3036211</v>
      </c>
      <c r="L37" s="28">
        <f t="shared" si="1"/>
        <v>8997364</v>
      </c>
      <c r="M37" s="3"/>
      <c r="N37" s="30"/>
      <c r="O37" s="30"/>
      <c r="P37" s="30"/>
    </row>
    <row r="38" spans="1:16" x14ac:dyDescent="0.25">
      <c r="A38" s="15"/>
      <c r="B38" s="16" t="s">
        <v>38</v>
      </c>
      <c r="C38" s="3"/>
      <c r="D38" s="27">
        <v>52978113</v>
      </c>
      <c r="E38" s="28">
        <v>2290693</v>
      </c>
      <c r="F38" s="28">
        <f t="shared" si="7"/>
        <v>55268806</v>
      </c>
      <c r="G38" s="28">
        <v>2181188</v>
      </c>
      <c r="H38" s="77">
        <v>30045375</v>
      </c>
      <c r="I38" s="77">
        <f>1000000+450000+3789709</f>
        <v>5239709</v>
      </c>
      <c r="J38" s="28">
        <f t="shared" si="8"/>
        <v>35285084</v>
      </c>
      <c r="K38" s="28">
        <v>0</v>
      </c>
      <c r="L38" s="28">
        <f t="shared" si="1"/>
        <v>92735078</v>
      </c>
      <c r="M38" s="3"/>
      <c r="N38" s="30"/>
      <c r="O38" s="30"/>
      <c r="P38" s="30"/>
    </row>
    <row r="39" spans="1:16" x14ac:dyDescent="0.25">
      <c r="A39" s="15"/>
      <c r="B39" s="16" t="s">
        <v>39</v>
      </c>
      <c r="C39" s="3"/>
      <c r="D39" s="27">
        <v>7453017</v>
      </c>
      <c r="E39" s="28">
        <v>250080</v>
      </c>
      <c r="F39" s="28">
        <f t="shared" si="7"/>
        <v>7703097</v>
      </c>
      <c r="G39" s="28">
        <v>0</v>
      </c>
      <c r="H39" s="77">
        <v>3446170</v>
      </c>
      <c r="I39" s="77">
        <f>25850+35750</f>
        <v>61600</v>
      </c>
      <c r="J39" s="28">
        <f t="shared" si="8"/>
        <v>3507770</v>
      </c>
      <c r="K39" s="28">
        <v>0</v>
      </c>
      <c r="L39" s="28">
        <f t="shared" si="1"/>
        <v>11210867</v>
      </c>
      <c r="M39" s="3"/>
      <c r="N39" s="30"/>
      <c r="O39" s="30"/>
      <c r="P39" s="30"/>
    </row>
    <row r="40" spans="1:16" x14ac:dyDescent="0.25">
      <c r="A40" s="15"/>
      <c r="B40" s="16" t="s">
        <v>40</v>
      </c>
      <c r="C40" s="3"/>
      <c r="D40" s="27">
        <v>15614957</v>
      </c>
      <c r="E40" s="28">
        <v>704766</v>
      </c>
      <c r="F40" s="28">
        <f t="shared" si="7"/>
        <v>16319723</v>
      </c>
      <c r="G40" s="28">
        <v>0</v>
      </c>
      <c r="H40" s="77">
        <v>5283651</v>
      </c>
      <c r="I40" s="77">
        <f>68500+856703</f>
        <v>925203</v>
      </c>
      <c r="J40" s="28">
        <f t="shared" si="8"/>
        <v>6208854</v>
      </c>
      <c r="K40" s="28">
        <v>0</v>
      </c>
      <c r="L40" s="28">
        <f t="shared" ref="L40:L58" si="9">F40+G40+J40+K40</f>
        <v>22528577</v>
      </c>
      <c r="M40" s="3"/>
      <c r="N40" s="30"/>
      <c r="O40" s="30"/>
      <c r="P40" s="30"/>
    </row>
    <row r="41" spans="1:16" x14ac:dyDescent="0.25">
      <c r="A41" s="15"/>
      <c r="B41" s="16" t="s">
        <v>41</v>
      </c>
      <c r="C41" s="3"/>
      <c r="D41" s="27">
        <v>8389193</v>
      </c>
      <c r="E41" s="28">
        <v>584343</v>
      </c>
      <c r="F41" s="28">
        <f t="shared" si="7"/>
        <v>8973536</v>
      </c>
      <c r="G41" s="28">
        <v>0</v>
      </c>
      <c r="H41" s="77">
        <v>4145184</v>
      </c>
      <c r="I41" s="77">
        <v>399966</v>
      </c>
      <c r="J41" s="28">
        <f t="shared" si="8"/>
        <v>4545150</v>
      </c>
      <c r="K41" s="28">
        <v>0</v>
      </c>
      <c r="L41" s="28">
        <f t="shared" si="9"/>
        <v>13518686</v>
      </c>
      <c r="M41" s="3"/>
      <c r="N41" s="30"/>
      <c r="O41" s="30"/>
      <c r="P41" s="30"/>
    </row>
    <row r="42" spans="1:16" x14ac:dyDescent="0.25">
      <c r="A42" s="15"/>
      <c r="B42" s="16" t="s">
        <v>42</v>
      </c>
      <c r="C42" s="3"/>
      <c r="D42" s="27">
        <v>3674332</v>
      </c>
      <c r="E42" s="28">
        <v>0</v>
      </c>
      <c r="F42" s="28">
        <f t="shared" si="7"/>
        <v>3674332</v>
      </c>
      <c r="G42" s="28">
        <v>0</v>
      </c>
      <c r="H42" s="77">
        <v>0</v>
      </c>
      <c r="I42" s="77">
        <v>0</v>
      </c>
      <c r="J42" s="28">
        <f t="shared" si="8"/>
        <v>0</v>
      </c>
      <c r="K42" s="28">
        <v>0</v>
      </c>
      <c r="L42" s="28">
        <f t="shared" si="9"/>
        <v>3674332</v>
      </c>
      <c r="M42" s="3"/>
      <c r="N42" s="29"/>
      <c r="O42" s="30"/>
      <c r="P42" s="30"/>
    </row>
    <row r="43" spans="1:16" x14ac:dyDescent="0.25">
      <c r="A43" s="17" t="s">
        <v>43</v>
      </c>
      <c r="B43" s="18"/>
      <c r="C43" s="6"/>
      <c r="D43" s="42">
        <f t="shared" ref="D43:K43" si="10">SUM(D37:D42)</f>
        <v>92252120</v>
      </c>
      <c r="E43" s="42">
        <f t="shared" si="10"/>
        <v>5648527</v>
      </c>
      <c r="F43" s="42">
        <f t="shared" si="10"/>
        <v>97900647</v>
      </c>
      <c r="G43" s="42">
        <f t="shared" si="10"/>
        <v>2181188</v>
      </c>
      <c r="H43" s="78">
        <f>SUM(H37:H42)</f>
        <v>42920380</v>
      </c>
      <c r="I43" s="78">
        <f>SUM(I37:I42)</f>
        <v>6626478</v>
      </c>
      <c r="J43" s="42">
        <f t="shared" si="10"/>
        <v>49546858</v>
      </c>
      <c r="K43" s="42">
        <f t="shared" si="10"/>
        <v>3036211</v>
      </c>
      <c r="L43" s="39">
        <f t="shared" si="9"/>
        <v>152664904</v>
      </c>
      <c r="M43" s="6"/>
      <c r="N43" s="30"/>
      <c r="O43" s="30"/>
      <c r="P43" s="30"/>
    </row>
    <row r="44" spans="1:16" x14ac:dyDescent="0.25">
      <c r="A44" s="14" t="s">
        <v>44</v>
      </c>
      <c r="B44" s="14" t="s">
        <v>45</v>
      </c>
      <c r="C44" s="3"/>
      <c r="D44" s="27">
        <v>30542054</v>
      </c>
      <c r="E44" s="28">
        <v>1288847</v>
      </c>
      <c r="F44" s="28">
        <f t="shared" ref="F44:F53" si="11">D44+E44</f>
        <v>31830901</v>
      </c>
      <c r="G44" s="28">
        <v>0</v>
      </c>
      <c r="H44" s="77">
        <v>24766808</v>
      </c>
      <c r="I44" s="77">
        <v>1145759</v>
      </c>
      <c r="J44" s="28">
        <f t="shared" ref="J44:J53" si="12">H44+I44</f>
        <v>25912567</v>
      </c>
      <c r="K44" s="28">
        <v>0</v>
      </c>
      <c r="L44" s="28">
        <f t="shared" si="9"/>
        <v>57743468</v>
      </c>
      <c r="M44" s="3"/>
      <c r="N44" s="30"/>
      <c r="O44" s="30"/>
      <c r="P44" s="30"/>
    </row>
    <row r="45" spans="1:16" x14ac:dyDescent="0.25">
      <c r="A45" s="15"/>
      <c r="B45" s="16" t="s">
        <v>46</v>
      </c>
      <c r="C45" s="3"/>
      <c r="D45" s="27">
        <v>60422121</v>
      </c>
      <c r="E45" s="28">
        <v>2439416</v>
      </c>
      <c r="F45" s="28">
        <f t="shared" si="11"/>
        <v>62861537</v>
      </c>
      <c r="G45" s="28">
        <v>0</v>
      </c>
      <c r="H45" s="77">
        <v>30689000</v>
      </c>
      <c r="I45" s="77">
        <f>464000+10157617</f>
        <v>10621617</v>
      </c>
      <c r="J45" s="28">
        <f t="shared" si="12"/>
        <v>41310617</v>
      </c>
      <c r="K45" s="28">
        <v>0</v>
      </c>
      <c r="L45" s="28">
        <f t="shared" si="9"/>
        <v>104172154</v>
      </c>
      <c r="M45" s="3"/>
      <c r="N45" s="30"/>
      <c r="O45" s="30"/>
      <c r="P45" s="30"/>
    </row>
    <row r="46" spans="1:16" x14ac:dyDescent="0.25">
      <c r="A46" s="15"/>
      <c r="B46" s="16" t="s">
        <v>47</v>
      </c>
      <c r="C46" s="3"/>
      <c r="D46" s="27">
        <v>43151016</v>
      </c>
      <c r="E46" s="28">
        <v>2276180</v>
      </c>
      <c r="F46" s="28">
        <f t="shared" si="11"/>
        <v>45427196</v>
      </c>
      <c r="G46" s="28">
        <v>0</v>
      </c>
      <c r="H46" s="77">
        <v>25998396</v>
      </c>
      <c r="I46" s="77">
        <f>15000+1219092</f>
        <v>1234092</v>
      </c>
      <c r="J46" s="28">
        <f t="shared" si="12"/>
        <v>27232488</v>
      </c>
      <c r="K46" s="28">
        <v>0</v>
      </c>
      <c r="L46" s="28">
        <f t="shared" si="9"/>
        <v>72659684</v>
      </c>
      <c r="M46" s="3"/>
      <c r="N46" s="30"/>
      <c r="O46" s="30"/>
      <c r="P46" s="30"/>
    </row>
    <row r="47" spans="1:16" x14ac:dyDescent="0.25">
      <c r="A47" s="15"/>
      <c r="B47" s="16" t="s">
        <v>48</v>
      </c>
      <c r="C47" s="3"/>
      <c r="D47" s="27">
        <v>34566737</v>
      </c>
      <c r="E47" s="28">
        <v>1381237</v>
      </c>
      <c r="F47" s="28">
        <f t="shared" si="11"/>
        <v>35947974</v>
      </c>
      <c r="G47" s="28">
        <v>0</v>
      </c>
      <c r="H47" s="77">
        <v>20109701</v>
      </c>
      <c r="I47" s="77">
        <f>728602+255000+2788220</f>
        <v>3771822</v>
      </c>
      <c r="J47" s="28">
        <f t="shared" si="12"/>
        <v>23881523</v>
      </c>
      <c r="K47" s="28">
        <v>0</v>
      </c>
      <c r="L47" s="28">
        <f t="shared" si="9"/>
        <v>59829497</v>
      </c>
      <c r="M47" s="3"/>
      <c r="N47" s="30"/>
      <c r="O47" s="30"/>
      <c r="P47" s="30"/>
    </row>
    <row r="48" spans="1:16" x14ac:dyDescent="0.25">
      <c r="A48" s="15"/>
      <c r="B48" s="16" t="s">
        <v>49</v>
      </c>
      <c r="C48" s="3"/>
      <c r="D48" s="27">
        <v>48046912</v>
      </c>
      <c r="E48" s="28">
        <v>1611354</v>
      </c>
      <c r="F48" s="28">
        <f t="shared" si="11"/>
        <v>49658266</v>
      </c>
      <c r="G48" s="28">
        <v>74923</v>
      </c>
      <c r="H48" s="77">
        <v>26956883</v>
      </c>
      <c r="I48" s="77">
        <f>732208+2331923</f>
        <v>3064131</v>
      </c>
      <c r="J48" s="28">
        <f t="shared" si="12"/>
        <v>30021014</v>
      </c>
      <c r="K48" s="28">
        <v>0</v>
      </c>
      <c r="L48" s="28">
        <f t="shared" si="9"/>
        <v>79754203</v>
      </c>
      <c r="M48" s="3"/>
      <c r="N48" s="29"/>
      <c r="O48" s="30"/>
      <c r="P48" s="30"/>
    </row>
    <row r="49" spans="1:16" x14ac:dyDescent="0.25">
      <c r="A49" s="15"/>
      <c r="B49" s="16" t="s">
        <v>50</v>
      </c>
      <c r="C49" s="3"/>
      <c r="D49" s="27">
        <v>76787036</v>
      </c>
      <c r="E49" s="28">
        <v>2553395</v>
      </c>
      <c r="F49" s="28">
        <f t="shared" si="11"/>
        <v>79340431</v>
      </c>
      <c r="G49" s="28">
        <v>0</v>
      </c>
      <c r="H49" s="77">
        <v>40759429</v>
      </c>
      <c r="I49" s="77">
        <f>1067835+6465416</f>
        <v>7533251</v>
      </c>
      <c r="J49" s="28">
        <f t="shared" si="12"/>
        <v>48292680</v>
      </c>
      <c r="K49" s="28">
        <v>0</v>
      </c>
      <c r="L49" s="28">
        <f t="shared" si="9"/>
        <v>127633111</v>
      </c>
      <c r="M49" s="3"/>
      <c r="N49" s="30"/>
      <c r="O49" s="30"/>
      <c r="P49" s="30"/>
    </row>
    <row r="50" spans="1:16" x14ac:dyDescent="0.25">
      <c r="A50" s="15"/>
      <c r="B50" s="16" t="s">
        <v>51</v>
      </c>
      <c r="C50" s="3"/>
      <c r="D50" s="27">
        <v>9170565</v>
      </c>
      <c r="E50" s="28">
        <v>0</v>
      </c>
      <c r="F50" s="28">
        <f t="shared" si="11"/>
        <v>9170565</v>
      </c>
      <c r="G50" s="28">
        <v>36000</v>
      </c>
      <c r="H50" s="77">
        <v>0</v>
      </c>
      <c r="I50" s="77">
        <v>1150000</v>
      </c>
      <c r="J50" s="28">
        <f t="shared" si="12"/>
        <v>1150000</v>
      </c>
      <c r="K50" s="28">
        <v>0</v>
      </c>
      <c r="L50" s="28">
        <f t="shared" si="9"/>
        <v>10356565</v>
      </c>
      <c r="M50" s="3"/>
      <c r="N50" s="30"/>
      <c r="O50" s="30"/>
      <c r="P50" s="30"/>
    </row>
    <row r="51" spans="1:16" x14ac:dyDescent="0.25">
      <c r="A51" s="15"/>
      <c r="B51" s="16" t="s">
        <v>52</v>
      </c>
      <c r="C51" s="3"/>
      <c r="D51" s="27">
        <v>91583609</v>
      </c>
      <c r="E51" s="28">
        <v>3364144</v>
      </c>
      <c r="F51" s="28">
        <f t="shared" si="11"/>
        <v>94947753</v>
      </c>
      <c r="G51" s="28">
        <v>6200000</v>
      </c>
      <c r="H51" s="77">
        <v>45879717</v>
      </c>
      <c r="I51" s="77">
        <f>29000+5073830</f>
        <v>5102830</v>
      </c>
      <c r="J51" s="28">
        <f t="shared" si="12"/>
        <v>50982547</v>
      </c>
      <c r="K51" s="28">
        <v>0</v>
      </c>
      <c r="L51" s="28">
        <f t="shared" si="9"/>
        <v>152130300</v>
      </c>
      <c r="M51" s="3"/>
      <c r="N51" s="30"/>
      <c r="O51" s="30"/>
      <c r="P51" s="30"/>
    </row>
    <row r="52" spans="1:16" x14ac:dyDescent="0.25">
      <c r="A52" s="15"/>
      <c r="B52" s="16" t="s">
        <v>53</v>
      </c>
      <c r="C52" s="3"/>
      <c r="D52" s="27">
        <v>54704538</v>
      </c>
      <c r="E52" s="28">
        <v>2427892</v>
      </c>
      <c r="F52" s="28">
        <f t="shared" si="11"/>
        <v>57132430</v>
      </c>
      <c r="G52" s="28">
        <v>0</v>
      </c>
      <c r="H52" s="77">
        <v>28611710</v>
      </c>
      <c r="I52" s="77">
        <f>239100+1065000+1121305</f>
        <v>2425405</v>
      </c>
      <c r="J52" s="28">
        <f t="shared" si="12"/>
        <v>31037115</v>
      </c>
      <c r="K52" s="28">
        <v>0</v>
      </c>
      <c r="L52" s="28">
        <f t="shared" si="9"/>
        <v>88169545</v>
      </c>
      <c r="M52" s="3"/>
      <c r="N52" s="30"/>
      <c r="O52" s="30"/>
      <c r="P52" s="30"/>
    </row>
    <row r="53" spans="1:16" x14ac:dyDescent="0.25">
      <c r="A53" s="15"/>
      <c r="B53" s="16" t="s">
        <v>54</v>
      </c>
      <c r="C53" s="3"/>
      <c r="D53" s="27">
        <v>70884436</v>
      </c>
      <c r="E53" s="28">
        <v>3156581</v>
      </c>
      <c r="F53" s="28">
        <f t="shared" si="11"/>
        <v>74041017</v>
      </c>
      <c r="G53" s="28">
        <v>0</v>
      </c>
      <c r="H53" s="77">
        <v>46560354</v>
      </c>
      <c r="I53" s="77">
        <f>426200+3691465</f>
        <v>4117665</v>
      </c>
      <c r="J53" s="28">
        <f t="shared" si="12"/>
        <v>50678019</v>
      </c>
      <c r="K53" s="28">
        <v>0</v>
      </c>
      <c r="L53" s="28">
        <f t="shared" si="9"/>
        <v>124719036</v>
      </c>
      <c r="M53" s="3"/>
      <c r="N53" s="30"/>
      <c r="O53" s="30"/>
      <c r="P53" s="30"/>
    </row>
    <row r="54" spans="1:16" x14ac:dyDescent="0.25">
      <c r="A54" s="12" t="s">
        <v>55</v>
      </c>
      <c r="B54" s="13"/>
      <c r="C54" s="6"/>
      <c r="D54" s="39">
        <f t="shared" ref="D54:K54" si="13">SUM(D44:D53)</f>
        <v>519859024</v>
      </c>
      <c r="E54" s="39">
        <f t="shared" si="13"/>
        <v>20499046</v>
      </c>
      <c r="F54" s="39">
        <f t="shared" si="13"/>
        <v>540358070</v>
      </c>
      <c r="G54" s="39">
        <f t="shared" si="13"/>
        <v>6310923</v>
      </c>
      <c r="H54" s="74">
        <f>SUM(H44:H53)</f>
        <v>290331998</v>
      </c>
      <c r="I54" s="74">
        <f>SUM(I44:I53)</f>
        <v>40166572</v>
      </c>
      <c r="J54" s="39">
        <f t="shared" si="13"/>
        <v>330498570</v>
      </c>
      <c r="K54" s="39">
        <f t="shared" si="13"/>
        <v>0</v>
      </c>
      <c r="L54" s="39">
        <f t="shared" si="9"/>
        <v>877167563</v>
      </c>
      <c r="M54" s="6"/>
      <c r="N54" s="30"/>
      <c r="O54" s="30"/>
      <c r="P54" s="30"/>
    </row>
    <row r="55" spans="1:16" x14ac:dyDescent="0.25">
      <c r="A55" s="19" t="s">
        <v>56</v>
      </c>
      <c r="B55" s="20"/>
      <c r="C55" s="6"/>
      <c r="D55" s="39">
        <f t="shared" ref="D55:K55" si="14">D54+D43+D36+D23+D8+D7+D6</f>
        <v>1476685807</v>
      </c>
      <c r="E55" s="39">
        <f t="shared" si="14"/>
        <v>138289278</v>
      </c>
      <c r="F55" s="39">
        <f>F54+F43+F36+F23+F8+F7+F6</f>
        <v>1614975085</v>
      </c>
      <c r="G55" s="39">
        <f t="shared" si="14"/>
        <v>424677208</v>
      </c>
      <c r="H55" s="74">
        <f>H54+H43+H36+H23+H8+H7+H6</f>
        <v>626648760</v>
      </c>
      <c r="I55" s="74">
        <f>I54+I43+I36+I23+I8+I7+I6</f>
        <v>145330426</v>
      </c>
      <c r="J55" s="39">
        <f t="shared" si="14"/>
        <v>771979186</v>
      </c>
      <c r="K55" s="39">
        <f t="shared" si="14"/>
        <v>93092905</v>
      </c>
      <c r="L55" s="39">
        <f t="shared" si="9"/>
        <v>2904724384</v>
      </c>
      <c r="M55" s="6"/>
      <c r="N55" s="29"/>
      <c r="O55" s="29"/>
      <c r="P55" s="30"/>
    </row>
    <row r="56" spans="1:16" s="32" customFormat="1" x14ac:dyDescent="0.25">
      <c r="A56" s="35" t="s">
        <v>63</v>
      </c>
      <c r="B56" s="35"/>
      <c r="C56" s="37"/>
      <c r="D56" s="41">
        <f>D55-D7-D24-D25-15658046</f>
        <v>1433332760</v>
      </c>
      <c r="E56" s="41">
        <f>E55-E7-E24-E25-38347</f>
        <v>138250931</v>
      </c>
      <c r="F56" s="41">
        <f>D56+E56</f>
        <v>1571583691</v>
      </c>
      <c r="G56" s="41">
        <f>G55-G7-G24-G25-206074931</f>
        <v>110422653</v>
      </c>
      <c r="H56" s="80">
        <f>H55-H7-H24-H25-0</f>
        <v>626648760</v>
      </c>
      <c r="I56" s="80">
        <f>I55-I7-I24-I25-47143384</f>
        <v>95220096</v>
      </c>
      <c r="J56" s="41">
        <f>H56+I56</f>
        <v>721868856</v>
      </c>
      <c r="K56" s="41">
        <f>K55-K7-K24-K25-49466921</f>
        <v>32153026</v>
      </c>
      <c r="L56" s="39">
        <f t="shared" si="9"/>
        <v>2436028226</v>
      </c>
      <c r="M56" s="37"/>
      <c r="N56" s="34"/>
      <c r="O56" s="34"/>
      <c r="P56" s="34"/>
    </row>
    <row r="57" spans="1:16" x14ac:dyDescent="0.25">
      <c r="A57" s="7"/>
      <c r="B57" s="7"/>
      <c r="C57" s="7"/>
      <c r="M57" s="7"/>
    </row>
    <row r="58" spans="1:16" x14ac:dyDescent="0.25">
      <c r="A58" s="98" t="s">
        <v>93</v>
      </c>
      <c r="D58" s="25">
        <f>D31+D32-15658046</f>
        <v>178523217</v>
      </c>
      <c r="E58" s="25">
        <f>E31+E32-38347</f>
        <v>32701725</v>
      </c>
      <c r="F58" s="28">
        <f>D58+E58</f>
        <v>211224942</v>
      </c>
      <c r="G58" s="25">
        <f>G31+G32-206074931</f>
        <v>66919661</v>
      </c>
      <c r="H58" s="25">
        <f>H31+H32-0</f>
        <v>23497791</v>
      </c>
      <c r="I58" s="25">
        <f>I31+I32-47143384</f>
        <v>3692437</v>
      </c>
      <c r="J58" s="28">
        <f>H58+I58</f>
        <v>27190228</v>
      </c>
      <c r="K58" s="25">
        <f>K31+K32-49466921</f>
        <v>0</v>
      </c>
      <c r="L58" s="28">
        <f t="shared" si="9"/>
        <v>305334831</v>
      </c>
    </row>
    <row r="61" spans="1:16" x14ac:dyDescent="0.25">
      <c r="D61" s="43">
        <v>132102664</v>
      </c>
      <c r="E61" s="44">
        <f>60000+22308991</f>
        <v>22368991</v>
      </c>
      <c r="F61" s="25">
        <f>D61+E61</f>
        <v>154471655</v>
      </c>
    </row>
    <row r="62" spans="1:16" x14ac:dyDescent="0.25">
      <c r="C62" s="25">
        <f>C61+C56</f>
        <v>0</v>
      </c>
      <c r="D62" s="25">
        <f>D61+D56</f>
        <v>1565435424</v>
      </c>
      <c r="E62" s="25">
        <f>E61+E56</f>
        <v>160619922</v>
      </c>
      <c r="F62" s="25">
        <f>F61+F56</f>
        <v>1726055346</v>
      </c>
    </row>
    <row r="65" spans="2:12" x14ac:dyDescent="0.25">
      <c r="F65" s="25">
        <f>F54-F50+F41+F40+F38+F33+F30+F28+F27+F23-F15-F14</f>
        <v>1096839354</v>
      </c>
      <c r="H65" s="25">
        <f t="shared" ref="H65" si="15">H54-H50+H41+H40+H38+H33+H30+H28+H27+H23-H15-H14</f>
        <v>589774787</v>
      </c>
    </row>
    <row r="67" spans="2:12" x14ac:dyDescent="0.25">
      <c r="B67" t="s">
        <v>108</v>
      </c>
      <c r="D67" s="25">
        <f>D54-D50+D40+D38+D33+D28+D27</f>
        <v>844706520</v>
      </c>
      <c r="E67" s="25">
        <f t="shared" ref="E67:L67" si="16">E54-E50+E40+E38+E33+E28+E27+E34</f>
        <v>40618489</v>
      </c>
      <c r="F67" s="25">
        <f t="shared" si="16"/>
        <v>895395306</v>
      </c>
      <c r="G67" s="25">
        <f t="shared" si="16"/>
        <v>19190499</v>
      </c>
      <c r="H67" s="25">
        <f t="shared" si="16"/>
        <v>518210441</v>
      </c>
      <c r="I67" s="25">
        <f t="shared" si="16"/>
        <v>74565991</v>
      </c>
      <c r="J67" s="25">
        <f t="shared" si="16"/>
        <v>592776432</v>
      </c>
      <c r="K67" s="25">
        <f t="shared" si="16"/>
        <v>0</v>
      </c>
      <c r="L67" s="25">
        <f t="shared" si="16"/>
        <v>1507362237</v>
      </c>
    </row>
    <row r="68" spans="2:12" x14ac:dyDescent="0.25">
      <c r="B68" t="s">
        <v>109</v>
      </c>
      <c r="D68" s="25">
        <f>D41+D30+D23-D15-D14</f>
        <v>204402977</v>
      </c>
      <c r="E68" s="25">
        <f t="shared" ref="E68:L68" si="17">E41+E30+E23-E15-E14</f>
        <v>7603825</v>
      </c>
      <c r="F68" s="25">
        <f t="shared" si="17"/>
        <v>212006802</v>
      </c>
      <c r="G68" s="25">
        <f t="shared" si="17"/>
        <v>0</v>
      </c>
      <c r="H68" s="25">
        <f t="shared" si="17"/>
        <v>81494358</v>
      </c>
      <c r="I68" s="25">
        <f t="shared" si="17"/>
        <v>4990160</v>
      </c>
      <c r="J68" s="25">
        <f t="shared" si="17"/>
        <v>86484518</v>
      </c>
      <c r="K68" s="25">
        <f t="shared" si="17"/>
        <v>0</v>
      </c>
      <c r="L68" s="25">
        <f t="shared" si="17"/>
        <v>298491320</v>
      </c>
    </row>
    <row r="69" spans="2:12" x14ac:dyDescent="0.25">
      <c r="D69" s="25">
        <f>D68+D67</f>
        <v>1049109497</v>
      </c>
      <c r="E69" s="25">
        <f t="shared" ref="E69:L69" si="18">E68+E67</f>
        <v>48222314</v>
      </c>
      <c r="F69" s="25">
        <f>F68+F67</f>
        <v>1107402108</v>
      </c>
      <c r="G69" s="25">
        <f t="shared" si="18"/>
        <v>19190499</v>
      </c>
      <c r="H69" s="25">
        <f t="shared" si="18"/>
        <v>599704799</v>
      </c>
      <c r="I69" s="25">
        <f t="shared" si="18"/>
        <v>79556151</v>
      </c>
      <c r="J69" s="25">
        <f t="shared" si="18"/>
        <v>679260950</v>
      </c>
      <c r="K69" s="25">
        <f t="shared" si="18"/>
        <v>0</v>
      </c>
      <c r="L69" s="25">
        <f t="shared" si="18"/>
        <v>1805853557</v>
      </c>
    </row>
    <row r="72" spans="2:12" x14ac:dyDescent="0.25">
      <c r="B72" t="s">
        <v>110</v>
      </c>
      <c r="D72" s="25">
        <f>D73+D74-D37-D35-D26</f>
        <v>1260814074</v>
      </c>
      <c r="E72" s="25">
        <f t="shared" ref="E72:L72" si="19">E73+E74-E37-E35-E26</f>
        <v>81704923</v>
      </c>
      <c r="F72" s="25">
        <f t="shared" si="19"/>
        <v>1352589294</v>
      </c>
      <c r="G72" s="25">
        <f t="shared" si="19"/>
        <v>292185091</v>
      </c>
      <c r="H72" s="25">
        <f t="shared" si="19"/>
        <v>636578772</v>
      </c>
      <c r="I72" s="25">
        <f t="shared" si="19"/>
        <v>130592572</v>
      </c>
      <c r="J72" s="25">
        <f t="shared" si="19"/>
        <v>767171344</v>
      </c>
      <c r="K72" s="25">
        <f t="shared" si="19"/>
        <v>49466921</v>
      </c>
      <c r="L72" s="25">
        <f t="shared" si="19"/>
        <v>2461412650</v>
      </c>
    </row>
    <row r="73" spans="2:12" x14ac:dyDescent="0.25">
      <c r="B73" t="s">
        <v>104</v>
      </c>
      <c r="D73" s="25">
        <f>D69</f>
        <v>1049109497</v>
      </c>
      <c r="E73" s="25">
        <f t="shared" ref="E73:L73" si="20">E69</f>
        <v>48222314</v>
      </c>
      <c r="F73" s="25">
        <f t="shared" si="20"/>
        <v>1107402108</v>
      </c>
      <c r="G73" s="25">
        <f t="shared" si="20"/>
        <v>19190499</v>
      </c>
      <c r="H73" s="25">
        <f t="shared" si="20"/>
        <v>599704799</v>
      </c>
      <c r="I73" s="25">
        <f t="shared" si="20"/>
        <v>79556151</v>
      </c>
      <c r="J73" s="25">
        <f t="shared" si="20"/>
        <v>679260950</v>
      </c>
      <c r="K73" s="25">
        <f t="shared" si="20"/>
        <v>0</v>
      </c>
      <c r="L73" s="25">
        <f t="shared" si="20"/>
        <v>1805853557</v>
      </c>
    </row>
    <row r="74" spans="2:12" x14ac:dyDescent="0.25">
      <c r="B74" t="s">
        <v>105</v>
      </c>
      <c r="D74" s="25">
        <f>D39+D37+D35+D34+D32+D31+D26</f>
        <v>318891391</v>
      </c>
      <c r="E74" s="25">
        <f t="shared" ref="E74:L74" si="21">E39+E37+E35+E34+E32+E31+E26</f>
        <v>41729062</v>
      </c>
      <c r="F74" s="25">
        <f t="shared" si="21"/>
        <v>360620453</v>
      </c>
      <c r="G74" s="25">
        <f t="shared" si="21"/>
        <v>272994592</v>
      </c>
      <c r="H74" s="25">
        <f t="shared" si="21"/>
        <v>36873973</v>
      </c>
      <c r="I74" s="25">
        <f t="shared" si="21"/>
        <v>58129949</v>
      </c>
      <c r="J74" s="25">
        <f t="shared" si="21"/>
        <v>95003922</v>
      </c>
      <c r="K74" s="25">
        <f t="shared" si="21"/>
        <v>65521407</v>
      </c>
      <c r="L74" s="25">
        <f t="shared" si="21"/>
        <v>794140374</v>
      </c>
    </row>
    <row r="75" spans="2:12" x14ac:dyDescent="0.25">
      <c r="B75" t="s">
        <v>106</v>
      </c>
      <c r="D75" s="25">
        <f>D7</f>
        <v>0</v>
      </c>
      <c r="E75" s="25">
        <f t="shared" ref="E75:L75" si="22">E7</f>
        <v>0</v>
      </c>
      <c r="F75" s="25">
        <f t="shared" si="22"/>
        <v>0</v>
      </c>
      <c r="G75" s="25">
        <f t="shared" si="22"/>
        <v>0</v>
      </c>
      <c r="H75" s="25">
        <f t="shared" si="22"/>
        <v>0</v>
      </c>
      <c r="I75" s="25">
        <f t="shared" si="22"/>
        <v>0</v>
      </c>
      <c r="J75" s="25">
        <f t="shared" si="22"/>
        <v>0</v>
      </c>
      <c r="K75" s="25">
        <f t="shared" si="22"/>
        <v>0</v>
      </c>
      <c r="L75" s="25">
        <f t="shared" si="22"/>
        <v>0</v>
      </c>
    </row>
    <row r="76" spans="2:12" x14ac:dyDescent="0.25">
      <c r="B76" t="s">
        <v>107</v>
      </c>
      <c r="D76" s="25">
        <f>D50+D42+D29+D15+D14+D8+D6</f>
        <v>80989918</v>
      </c>
      <c r="E76" s="25">
        <f t="shared" ref="E76:L76" si="23">E50+E42+E29+E15+E14+E8+E6</f>
        <v>48830359</v>
      </c>
      <c r="F76" s="25">
        <f>F50+F42+F29+F15+F14+F8+F6</f>
        <v>129820277</v>
      </c>
      <c r="G76" s="25">
        <f t="shared" si="23"/>
        <v>24312493</v>
      </c>
      <c r="H76" s="25">
        <f t="shared" si="23"/>
        <v>0</v>
      </c>
      <c r="I76" s="25">
        <f t="shared" si="23"/>
        <v>4816380</v>
      </c>
      <c r="J76" s="25">
        <f t="shared" si="23"/>
        <v>4816380</v>
      </c>
      <c r="K76" s="25">
        <f t="shared" si="23"/>
        <v>16098540</v>
      </c>
      <c r="L76" s="25">
        <f t="shared" si="23"/>
        <v>175047690</v>
      </c>
    </row>
    <row r="77" spans="2:12" x14ac:dyDescent="0.25">
      <c r="D77" s="25">
        <f>SUM(D73:D76)</f>
        <v>1448990806</v>
      </c>
      <c r="E77" s="25">
        <f t="shared" ref="E77:L77" si="24">SUM(E73:E76)</f>
        <v>138781735</v>
      </c>
      <c r="F77" s="25">
        <f t="shared" si="24"/>
        <v>1597842838</v>
      </c>
      <c r="G77" s="25">
        <f t="shared" si="24"/>
        <v>316497584</v>
      </c>
      <c r="H77" s="25">
        <f t="shared" si="24"/>
        <v>636578772</v>
      </c>
      <c r="I77" s="25">
        <f t="shared" si="24"/>
        <v>142502480</v>
      </c>
      <c r="J77" s="25">
        <f t="shared" si="24"/>
        <v>779081252</v>
      </c>
      <c r="K77" s="25">
        <f t="shared" si="24"/>
        <v>81619947</v>
      </c>
      <c r="L77" s="25">
        <f t="shared" si="24"/>
        <v>2775041621</v>
      </c>
    </row>
    <row r="79" spans="2:12" x14ac:dyDescent="0.25">
      <c r="D79" s="25">
        <f>D77+D25+D24</f>
        <v>1476685807</v>
      </c>
    </row>
  </sheetData>
  <phoneticPr fontId="0" type="noConversion"/>
  <pageMargins left="0.25" right="0.25" top="0.75" bottom="0.75" header="0.3" footer="0.3"/>
  <pageSetup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77"/>
  <sheetViews>
    <sheetView workbookViewId="0">
      <pane ySplit="5" topLeftCell="A39" activePane="bottomLeft" state="frozen"/>
      <selection pane="bottomLeft" activeCell="G55" sqref="G55"/>
    </sheetView>
  </sheetViews>
  <sheetFormatPr defaultRowHeight="15" x14ac:dyDescent="0.25"/>
  <cols>
    <col min="2" max="2" width="22.85546875" customWidth="1"/>
    <col min="3" max="3" width="1.42578125" customWidth="1"/>
    <col min="4" max="5" width="15.28515625" customWidth="1"/>
    <col min="6" max="6" width="16.28515625" style="25" customWidth="1"/>
    <col min="7" max="7" width="15.28515625" customWidth="1"/>
    <col min="8" max="8" width="16.28515625" bestFit="1" customWidth="1"/>
    <col min="9" max="9" width="15.28515625" customWidth="1"/>
    <col min="10" max="10" width="16.28515625" style="25" customWidth="1"/>
    <col min="11" max="11" width="15.28515625" customWidth="1"/>
    <col min="12" max="12" width="16.28515625" style="25" customWidth="1"/>
    <col min="13" max="13" width="1.42578125" customWidth="1"/>
  </cols>
  <sheetData>
    <row r="1" spans="1:13" s="99" customFormat="1" ht="18.75" x14ac:dyDescent="0.3">
      <c r="A1" s="99" t="s">
        <v>94</v>
      </c>
      <c r="F1" s="100"/>
      <c r="J1" s="100"/>
      <c r="L1" s="100"/>
    </row>
    <row r="2" spans="1:13" s="99" customFormat="1" ht="18.75" x14ac:dyDescent="0.3">
      <c r="A2" s="101" t="s">
        <v>95</v>
      </c>
      <c r="B2" s="101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9" customFormat="1" ht="18.75" x14ac:dyDescent="0.3">
      <c r="A3" s="102"/>
      <c r="B3" s="101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x14ac:dyDescent="0.25">
      <c r="A4" s="1"/>
      <c r="B4" s="2"/>
      <c r="C4" s="9"/>
      <c r="D4" s="25"/>
      <c r="E4" s="25"/>
      <c r="G4" s="25"/>
      <c r="H4" s="25"/>
      <c r="I4" s="25"/>
      <c r="K4" s="25"/>
      <c r="M4" s="9"/>
    </row>
    <row r="5" spans="1:13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59</v>
      </c>
      <c r="H5" s="73" t="s">
        <v>88</v>
      </c>
      <c r="I5" s="73" t="s">
        <v>68</v>
      </c>
      <c r="J5" s="26" t="s">
        <v>60</v>
      </c>
      <c r="K5" s="26" t="s">
        <v>61</v>
      </c>
      <c r="L5" s="26" t="s">
        <v>62</v>
      </c>
      <c r="M5" s="4"/>
    </row>
    <row r="6" spans="1:13" s="32" customFormat="1" x14ac:dyDescent="0.25">
      <c r="A6" s="47" t="s">
        <v>2</v>
      </c>
      <c r="B6" s="47" t="s">
        <v>3</v>
      </c>
      <c r="C6" s="48"/>
      <c r="D6" s="83">
        <v>12772006</v>
      </c>
      <c r="E6" s="83">
        <v>24630000</v>
      </c>
      <c r="F6" s="83">
        <f>D6+E6</f>
        <v>37402006</v>
      </c>
      <c r="G6" s="83">
        <v>11500000</v>
      </c>
      <c r="H6" s="74">
        <v>0</v>
      </c>
      <c r="I6" s="74">
        <v>2730299</v>
      </c>
      <c r="J6" s="83">
        <f t="shared" ref="J6:J22" si="0">H6+I6</f>
        <v>2730299</v>
      </c>
      <c r="K6" s="83">
        <v>12172314</v>
      </c>
      <c r="L6" s="83">
        <f t="shared" ref="L6:L21" si="1">F6+G6+J6+K6</f>
        <v>63804619</v>
      </c>
      <c r="M6" s="48"/>
    </row>
    <row r="7" spans="1:13" s="32" customFormat="1" x14ac:dyDescent="0.25">
      <c r="A7" s="49" t="s">
        <v>4</v>
      </c>
      <c r="B7" s="49" t="s">
        <v>4</v>
      </c>
      <c r="C7" s="50"/>
      <c r="D7" s="43">
        <v>266431249</v>
      </c>
      <c r="E7" s="44">
        <v>57958234</v>
      </c>
      <c r="F7" s="83">
        <f>D7+E7</f>
        <v>324389483</v>
      </c>
      <c r="G7" s="44">
        <v>670998</v>
      </c>
      <c r="H7" s="75">
        <v>0</v>
      </c>
      <c r="I7" s="75">
        <v>92750</v>
      </c>
      <c r="J7" s="83">
        <f t="shared" si="0"/>
        <v>92750</v>
      </c>
      <c r="K7" s="44">
        <v>47024032</v>
      </c>
      <c r="L7" s="83">
        <f t="shared" si="1"/>
        <v>372177263</v>
      </c>
      <c r="M7" s="50"/>
    </row>
    <row r="8" spans="1:13" s="32" customFormat="1" x14ac:dyDescent="0.25">
      <c r="A8" s="51" t="s">
        <v>5</v>
      </c>
      <c r="B8" s="51" t="s">
        <v>5</v>
      </c>
      <c r="C8" s="52"/>
      <c r="D8" s="45">
        <v>2277892</v>
      </c>
      <c r="E8" s="46">
        <v>39744</v>
      </c>
      <c r="F8" s="83">
        <f>D8+E8</f>
        <v>2317636</v>
      </c>
      <c r="G8" s="46">
        <v>375000</v>
      </c>
      <c r="H8" s="76">
        <v>0</v>
      </c>
      <c r="I8" s="76">
        <v>5100000</v>
      </c>
      <c r="J8" s="83">
        <f t="shared" si="0"/>
        <v>5100000</v>
      </c>
      <c r="K8" s="46">
        <v>4034667</v>
      </c>
      <c r="L8" s="83">
        <f t="shared" si="1"/>
        <v>11827303</v>
      </c>
      <c r="M8" s="52"/>
    </row>
    <row r="9" spans="1:13" x14ac:dyDescent="0.25">
      <c r="A9" s="16" t="s">
        <v>6</v>
      </c>
      <c r="B9" s="16" t="s">
        <v>7</v>
      </c>
      <c r="C9" s="3"/>
      <c r="D9" s="27">
        <v>14432889</v>
      </c>
      <c r="E9" s="28">
        <v>767209</v>
      </c>
      <c r="F9" s="28">
        <f>D9+E9</f>
        <v>15200098</v>
      </c>
      <c r="G9" s="28">
        <v>0</v>
      </c>
      <c r="H9" s="77">
        <v>22305108</v>
      </c>
      <c r="I9" s="77">
        <v>594892</v>
      </c>
      <c r="J9" s="28">
        <f t="shared" si="0"/>
        <v>22900000</v>
      </c>
      <c r="K9" s="28">
        <v>0</v>
      </c>
      <c r="L9" s="28">
        <f t="shared" si="1"/>
        <v>38100098</v>
      </c>
      <c r="M9" s="3"/>
    </row>
    <row r="10" spans="1:13" x14ac:dyDescent="0.25">
      <c r="A10" s="15"/>
      <c r="B10" s="16" t="s">
        <v>8</v>
      </c>
      <c r="C10" s="3"/>
      <c r="D10" s="27">
        <v>10847513</v>
      </c>
      <c r="E10" s="28">
        <v>389174</v>
      </c>
      <c r="F10" s="28">
        <f>D10+E10</f>
        <v>11236687</v>
      </c>
      <c r="G10" s="28">
        <v>0</v>
      </c>
      <c r="H10" s="77">
        <v>24030255</v>
      </c>
      <c r="I10" s="77">
        <v>0</v>
      </c>
      <c r="J10" s="28">
        <f t="shared" si="0"/>
        <v>24030255</v>
      </c>
      <c r="K10" s="28">
        <v>0</v>
      </c>
      <c r="L10" s="28">
        <f t="shared" si="1"/>
        <v>35266942</v>
      </c>
      <c r="M10" s="3"/>
    </row>
    <row r="11" spans="1:13" x14ac:dyDescent="0.25">
      <c r="A11" s="15"/>
      <c r="B11" s="16" t="s">
        <v>9</v>
      </c>
      <c r="C11" s="3"/>
      <c r="D11" s="27">
        <v>6056373</v>
      </c>
      <c r="E11" s="28">
        <v>347497</v>
      </c>
      <c r="F11" s="28">
        <f t="shared" ref="F11:F22" si="2">D11+E11</f>
        <v>6403870</v>
      </c>
      <c r="G11" s="28">
        <v>0</v>
      </c>
      <c r="H11" s="77">
        <v>4396323</v>
      </c>
      <c r="I11" s="77">
        <v>0</v>
      </c>
      <c r="J11" s="28">
        <f t="shared" si="0"/>
        <v>4396323</v>
      </c>
      <c r="K11" s="28">
        <v>0</v>
      </c>
      <c r="L11" s="28">
        <f t="shared" si="1"/>
        <v>10800193</v>
      </c>
      <c r="M11" s="3"/>
    </row>
    <row r="12" spans="1:13" x14ac:dyDescent="0.25">
      <c r="A12" s="15"/>
      <c r="B12" s="16" t="s">
        <v>10</v>
      </c>
      <c r="C12" s="3"/>
      <c r="D12" s="27">
        <v>25533593</v>
      </c>
      <c r="E12" s="28">
        <v>1606965</v>
      </c>
      <c r="F12" s="28">
        <f t="shared" si="2"/>
        <v>27140558</v>
      </c>
      <c r="G12" s="28">
        <v>0</v>
      </c>
      <c r="H12" s="77">
        <v>52344998</v>
      </c>
      <c r="I12" s="77">
        <v>1024200</v>
      </c>
      <c r="J12" s="28">
        <f t="shared" si="0"/>
        <v>53369198</v>
      </c>
      <c r="K12" s="28">
        <v>0</v>
      </c>
      <c r="L12" s="28">
        <f t="shared" si="1"/>
        <v>80509756</v>
      </c>
      <c r="M12" s="3"/>
    </row>
    <row r="13" spans="1:13" x14ac:dyDescent="0.25">
      <c r="A13" s="15"/>
      <c r="B13" s="16" t="s">
        <v>11</v>
      </c>
      <c r="C13" s="3"/>
      <c r="D13" s="27">
        <v>3406738</v>
      </c>
      <c r="E13" s="28">
        <v>134477</v>
      </c>
      <c r="F13" s="28">
        <f t="shared" si="2"/>
        <v>3541215</v>
      </c>
      <c r="G13" s="28">
        <v>0</v>
      </c>
      <c r="H13" s="77">
        <v>6013195</v>
      </c>
      <c r="I13" s="77">
        <v>20000</v>
      </c>
      <c r="J13" s="28">
        <f t="shared" si="0"/>
        <v>6033195</v>
      </c>
      <c r="K13" s="28">
        <v>0</v>
      </c>
      <c r="L13" s="28">
        <f t="shared" si="1"/>
        <v>9574410</v>
      </c>
      <c r="M13" s="3"/>
    </row>
    <row r="14" spans="1:13" x14ac:dyDescent="0.25">
      <c r="A14" s="15"/>
      <c r="B14" s="16" t="s">
        <v>12</v>
      </c>
      <c r="C14" s="3"/>
      <c r="D14" s="27">
        <v>7099163</v>
      </c>
      <c r="E14" s="28">
        <v>10000000</v>
      </c>
      <c r="F14" s="28">
        <f t="shared" si="2"/>
        <v>17099163</v>
      </c>
      <c r="G14" s="28">
        <v>0</v>
      </c>
      <c r="H14" s="77">
        <v>0</v>
      </c>
      <c r="I14" s="77">
        <v>0</v>
      </c>
      <c r="J14" s="28">
        <f t="shared" si="0"/>
        <v>0</v>
      </c>
      <c r="K14" s="28">
        <v>0</v>
      </c>
      <c r="L14" s="28">
        <f t="shared" si="1"/>
        <v>17099163</v>
      </c>
      <c r="M14" s="3"/>
    </row>
    <row r="15" spans="1:13" x14ac:dyDescent="0.25">
      <c r="A15" s="15"/>
      <c r="B15" s="16" t="s">
        <v>13</v>
      </c>
      <c r="C15" s="3"/>
      <c r="D15" s="27">
        <v>1286145</v>
      </c>
      <c r="E15" s="28">
        <v>0</v>
      </c>
      <c r="F15" s="28">
        <f t="shared" si="2"/>
        <v>1286145</v>
      </c>
      <c r="G15" s="28">
        <v>0</v>
      </c>
      <c r="H15" s="77">
        <v>0</v>
      </c>
      <c r="I15" s="77">
        <v>0</v>
      </c>
      <c r="J15" s="28">
        <f t="shared" si="0"/>
        <v>0</v>
      </c>
      <c r="K15" s="28">
        <v>0</v>
      </c>
      <c r="L15" s="28">
        <f t="shared" si="1"/>
        <v>1286145</v>
      </c>
      <c r="M15" s="3"/>
    </row>
    <row r="16" spans="1:13" x14ac:dyDescent="0.25">
      <c r="A16" s="15"/>
      <c r="B16" s="16" t="s">
        <v>14</v>
      </c>
      <c r="C16" s="3"/>
      <c r="D16" s="27">
        <v>7344573</v>
      </c>
      <c r="E16" s="28">
        <v>413692</v>
      </c>
      <c r="F16" s="28">
        <f t="shared" si="2"/>
        <v>7758265</v>
      </c>
      <c r="G16" s="28">
        <v>0</v>
      </c>
      <c r="H16" s="77">
        <v>9620466</v>
      </c>
      <c r="I16" s="77">
        <v>285</v>
      </c>
      <c r="J16" s="28">
        <f t="shared" si="0"/>
        <v>9620751</v>
      </c>
      <c r="K16" s="28">
        <v>0</v>
      </c>
      <c r="L16" s="28">
        <f t="shared" si="1"/>
        <v>17379016</v>
      </c>
      <c r="M16" s="3"/>
    </row>
    <row r="17" spans="1:13" x14ac:dyDescent="0.25">
      <c r="A17" s="15"/>
      <c r="B17" s="16" t="s">
        <v>15</v>
      </c>
      <c r="C17" s="3"/>
      <c r="D17" s="27">
        <v>8322697</v>
      </c>
      <c r="E17" s="28">
        <v>469212</v>
      </c>
      <c r="F17" s="28">
        <f t="shared" si="2"/>
        <v>8791909</v>
      </c>
      <c r="G17" s="28">
        <v>0</v>
      </c>
      <c r="H17" s="77">
        <v>5848000</v>
      </c>
      <c r="I17" s="77">
        <v>0</v>
      </c>
      <c r="J17" s="28">
        <f t="shared" si="0"/>
        <v>5848000</v>
      </c>
      <c r="K17" s="28">
        <v>0</v>
      </c>
      <c r="L17" s="28">
        <f t="shared" si="1"/>
        <v>14639909</v>
      </c>
      <c r="M17" s="3"/>
    </row>
    <row r="18" spans="1:13" x14ac:dyDescent="0.25">
      <c r="A18" s="15"/>
      <c r="B18" s="16" t="s">
        <v>16</v>
      </c>
      <c r="C18" s="3"/>
      <c r="D18" s="27">
        <v>3618662</v>
      </c>
      <c r="E18" s="28">
        <v>150153</v>
      </c>
      <c r="F18" s="28">
        <f t="shared" si="2"/>
        <v>3768815</v>
      </c>
      <c r="G18" s="28">
        <v>0</v>
      </c>
      <c r="H18" s="77">
        <v>5807668</v>
      </c>
      <c r="I18" s="77">
        <f>28900+34000</f>
        <v>62900</v>
      </c>
      <c r="J18" s="28">
        <f t="shared" si="0"/>
        <v>5870568</v>
      </c>
      <c r="K18" s="28">
        <v>0</v>
      </c>
      <c r="L18" s="28">
        <f t="shared" si="1"/>
        <v>9639383</v>
      </c>
      <c r="M18" s="3"/>
    </row>
    <row r="19" spans="1:13" x14ac:dyDescent="0.25">
      <c r="A19" s="15"/>
      <c r="B19" s="16" t="s">
        <v>17</v>
      </c>
      <c r="C19" s="3"/>
      <c r="D19" s="27">
        <v>5398002</v>
      </c>
      <c r="E19" s="28">
        <v>230236</v>
      </c>
      <c r="F19" s="28">
        <f t="shared" si="2"/>
        <v>5628238</v>
      </c>
      <c r="G19" s="28">
        <v>0</v>
      </c>
      <c r="H19" s="77">
        <v>7597799</v>
      </c>
      <c r="I19" s="77">
        <v>2201</v>
      </c>
      <c r="J19" s="28">
        <f t="shared" si="0"/>
        <v>7600000</v>
      </c>
      <c r="K19" s="28">
        <v>0</v>
      </c>
      <c r="L19" s="28">
        <f t="shared" si="1"/>
        <v>13228238</v>
      </c>
      <c r="M19" s="3"/>
    </row>
    <row r="20" spans="1:13" x14ac:dyDescent="0.25">
      <c r="A20" s="15"/>
      <c r="B20" s="16" t="s">
        <v>18</v>
      </c>
      <c r="C20" s="3"/>
      <c r="D20" s="27">
        <v>3331782</v>
      </c>
      <c r="E20" s="28">
        <v>141681</v>
      </c>
      <c r="F20" s="28">
        <f t="shared" si="2"/>
        <v>3473463</v>
      </c>
      <c r="G20" s="28">
        <v>0</v>
      </c>
      <c r="H20" s="77">
        <v>5425000</v>
      </c>
      <c r="I20" s="77">
        <v>75000</v>
      </c>
      <c r="J20" s="28">
        <f t="shared" si="0"/>
        <v>5500000</v>
      </c>
      <c r="K20" s="28">
        <v>0</v>
      </c>
      <c r="L20" s="28">
        <f t="shared" si="1"/>
        <v>8973463</v>
      </c>
      <c r="M20" s="3"/>
    </row>
    <row r="21" spans="1:13" x14ac:dyDescent="0.25">
      <c r="A21" s="15"/>
      <c r="B21" s="16" t="s">
        <v>19</v>
      </c>
      <c r="C21" s="3"/>
      <c r="D21" s="27">
        <v>12329806</v>
      </c>
      <c r="E21" s="28">
        <v>670250</v>
      </c>
      <c r="F21" s="28">
        <f t="shared" si="2"/>
        <v>13000056</v>
      </c>
      <c r="G21" s="28">
        <v>0</v>
      </c>
      <c r="H21" s="77">
        <v>15774846</v>
      </c>
      <c r="I21" s="77">
        <v>0</v>
      </c>
      <c r="J21" s="28">
        <f t="shared" si="0"/>
        <v>15774846</v>
      </c>
      <c r="K21" s="28">
        <v>0</v>
      </c>
      <c r="L21" s="28">
        <f t="shared" si="1"/>
        <v>28774902</v>
      </c>
      <c r="M21" s="3"/>
    </row>
    <row r="22" spans="1:13" x14ac:dyDescent="0.25">
      <c r="A22" s="15"/>
      <c r="B22" s="16" t="s">
        <v>20</v>
      </c>
      <c r="C22" s="3"/>
      <c r="D22" s="27">
        <v>7746573</v>
      </c>
      <c r="E22" s="28">
        <v>747985</v>
      </c>
      <c r="F22" s="28">
        <f t="shared" si="2"/>
        <v>8494558</v>
      </c>
      <c r="G22" s="28">
        <v>0</v>
      </c>
      <c r="H22" s="77">
        <v>9126000</v>
      </c>
      <c r="I22" s="77">
        <f>12000+62000</f>
        <v>74000</v>
      </c>
      <c r="J22" s="28">
        <f t="shared" si="0"/>
        <v>9200000</v>
      </c>
      <c r="K22" s="28">
        <v>0</v>
      </c>
      <c r="L22" s="28">
        <f>F22+G22+J22+K22</f>
        <v>17694558</v>
      </c>
      <c r="M22" s="3"/>
    </row>
    <row r="23" spans="1:13" x14ac:dyDescent="0.25">
      <c r="A23" s="17" t="s">
        <v>21</v>
      </c>
      <c r="B23" s="18"/>
      <c r="C23" s="6"/>
      <c r="D23" s="83">
        <f t="shared" ref="D23:K23" si="3">SUM(D9:D22)</f>
        <v>116754509</v>
      </c>
      <c r="E23" s="83">
        <f t="shared" si="3"/>
        <v>16068531</v>
      </c>
      <c r="F23" s="83">
        <f t="shared" si="3"/>
        <v>132823040</v>
      </c>
      <c r="G23" s="83">
        <f t="shared" si="3"/>
        <v>0</v>
      </c>
      <c r="H23" s="74">
        <f>SUM(H9:H22)</f>
        <v>168289658</v>
      </c>
      <c r="I23" s="74">
        <f>SUM(I9:I22)</f>
        <v>1853478</v>
      </c>
      <c r="J23" s="83">
        <f t="shared" si="3"/>
        <v>170143136</v>
      </c>
      <c r="K23" s="83">
        <f t="shared" si="3"/>
        <v>0</v>
      </c>
      <c r="L23" s="83">
        <f>F23+G23+J23+K23</f>
        <v>302966176</v>
      </c>
      <c r="M23" s="6"/>
    </row>
    <row r="24" spans="1:13" x14ac:dyDescent="0.25">
      <c r="A24" s="14" t="s">
        <v>22</v>
      </c>
      <c r="B24" s="14" t="s">
        <v>23</v>
      </c>
      <c r="C24" s="3"/>
      <c r="D24" s="27">
        <v>0</v>
      </c>
      <c r="E24" s="28">
        <v>0</v>
      </c>
      <c r="F24" s="28">
        <f t="shared" ref="F24:F35" si="4">D24+E24</f>
        <v>0</v>
      </c>
      <c r="G24" s="28">
        <v>0</v>
      </c>
      <c r="H24" s="77">
        <v>0</v>
      </c>
      <c r="I24" s="77">
        <v>0</v>
      </c>
      <c r="J24" s="28">
        <f t="shared" ref="J24:J35" si="5">H24+I24</f>
        <v>0</v>
      </c>
      <c r="K24" s="28">
        <v>0</v>
      </c>
      <c r="L24" s="28">
        <f t="shared" ref="L24:L35" si="6">F24+G24+J24+K24</f>
        <v>0</v>
      </c>
      <c r="M24" s="3"/>
    </row>
    <row r="25" spans="1:13" x14ac:dyDescent="0.25">
      <c r="A25" s="15"/>
      <c r="B25" s="16" t="s">
        <v>24</v>
      </c>
      <c r="C25" s="3"/>
      <c r="D25" s="27">
        <v>0</v>
      </c>
      <c r="E25" s="28">
        <v>0</v>
      </c>
      <c r="F25" s="28">
        <f t="shared" si="4"/>
        <v>0</v>
      </c>
      <c r="G25" s="28">
        <v>0</v>
      </c>
      <c r="H25" s="77">
        <v>0</v>
      </c>
      <c r="I25" s="77">
        <v>0</v>
      </c>
      <c r="J25" s="28">
        <f t="shared" si="5"/>
        <v>0</v>
      </c>
      <c r="K25" s="28">
        <v>0</v>
      </c>
      <c r="L25" s="28">
        <f t="shared" si="6"/>
        <v>0</v>
      </c>
      <c r="M25" s="3"/>
    </row>
    <row r="26" spans="1:13" x14ac:dyDescent="0.25">
      <c r="A26" s="15"/>
      <c r="B26" s="16" t="s">
        <v>25</v>
      </c>
      <c r="C26" s="3"/>
      <c r="D26" s="27">
        <v>67696729</v>
      </c>
      <c r="E26" s="28">
        <v>4352059</v>
      </c>
      <c r="F26" s="28">
        <f t="shared" si="4"/>
        <v>72048788</v>
      </c>
      <c r="G26" s="28">
        <v>0</v>
      </c>
      <c r="H26" s="77">
        <v>0</v>
      </c>
      <c r="I26" s="77">
        <v>6807967</v>
      </c>
      <c r="J26" s="28">
        <f t="shared" si="5"/>
        <v>6807967</v>
      </c>
      <c r="K26" s="28">
        <v>13018275</v>
      </c>
      <c r="L26" s="28">
        <f t="shared" si="6"/>
        <v>91875030</v>
      </c>
      <c r="M26" s="3"/>
    </row>
    <row r="27" spans="1:13" x14ac:dyDescent="0.25">
      <c r="A27" s="15"/>
      <c r="B27" s="16" t="s">
        <v>26</v>
      </c>
      <c r="C27" s="3"/>
      <c r="D27" s="27">
        <v>4847690</v>
      </c>
      <c r="E27" s="28">
        <v>275077</v>
      </c>
      <c r="F27" s="28">
        <f t="shared" si="4"/>
        <v>5122767</v>
      </c>
      <c r="G27" s="28">
        <v>0</v>
      </c>
      <c r="H27" s="77">
        <v>16331000</v>
      </c>
      <c r="I27" s="77">
        <v>60127</v>
      </c>
      <c r="J27" s="28">
        <f t="shared" si="5"/>
        <v>16391127</v>
      </c>
      <c r="K27" s="28">
        <v>0</v>
      </c>
      <c r="L27" s="28">
        <f t="shared" si="6"/>
        <v>21513894</v>
      </c>
      <c r="M27" s="3"/>
    </row>
    <row r="28" spans="1:13" x14ac:dyDescent="0.25">
      <c r="A28" s="15"/>
      <c r="B28" s="16" t="s">
        <v>27</v>
      </c>
      <c r="C28" s="3"/>
      <c r="D28" s="27">
        <v>115513766</v>
      </c>
      <c r="E28" s="28">
        <v>13214363</v>
      </c>
      <c r="F28" s="28">
        <f t="shared" si="4"/>
        <v>128728129</v>
      </c>
      <c r="G28" s="28">
        <v>7522893</v>
      </c>
      <c r="H28" s="77">
        <v>398064556</v>
      </c>
      <c r="I28" s="77">
        <f>1014075+14738085</f>
        <v>15752160</v>
      </c>
      <c r="J28" s="28">
        <f t="shared" si="5"/>
        <v>413816716</v>
      </c>
      <c r="K28" s="28">
        <v>0</v>
      </c>
      <c r="L28" s="28">
        <f t="shared" si="6"/>
        <v>550067738</v>
      </c>
      <c r="M28" s="3"/>
    </row>
    <row r="29" spans="1:13" x14ac:dyDescent="0.25">
      <c r="A29" s="15"/>
      <c r="B29" s="16" t="s">
        <v>28</v>
      </c>
      <c r="C29" s="3"/>
      <c r="D29" s="27">
        <v>0</v>
      </c>
      <c r="E29" s="28">
        <v>0</v>
      </c>
      <c r="F29" s="28">
        <f t="shared" si="4"/>
        <v>0</v>
      </c>
      <c r="G29" s="28">
        <v>0</v>
      </c>
      <c r="H29" s="77">
        <v>0</v>
      </c>
      <c r="I29" s="77">
        <v>0</v>
      </c>
      <c r="J29" s="28">
        <f t="shared" si="5"/>
        <v>0</v>
      </c>
      <c r="K29" s="28">
        <v>0</v>
      </c>
      <c r="L29" s="28">
        <f t="shared" si="6"/>
        <v>0</v>
      </c>
      <c r="M29" s="3"/>
    </row>
    <row r="30" spans="1:13" x14ac:dyDescent="0.25">
      <c r="A30" s="15"/>
      <c r="B30" s="16" t="s">
        <v>29</v>
      </c>
      <c r="C30" s="3"/>
      <c r="D30" s="27">
        <v>4620901</v>
      </c>
      <c r="E30" s="28">
        <v>256030</v>
      </c>
      <c r="F30" s="28">
        <f t="shared" si="4"/>
        <v>4876931</v>
      </c>
      <c r="G30" s="28">
        <v>0</v>
      </c>
      <c r="H30" s="77">
        <v>9259383</v>
      </c>
      <c r="I30" s="77">
        <v>69000</v>
      </c>
      <c r="J30" s="28">
        <f t="shared" si="5"/>
        <v>9328383</v>
      </c>
      <c r="K30" s="28">
        <v>0</v>
      </c>
      <c r="L30" s="28">
        <f t="shared" si="6"/>
        <v>14205314</v>
      </c>
      <c r="M30" s="3"/>
    </row>
    <row r="31" spans="1:13" x14ac:dyDescent="0.25">
      <c r="A31" s="15"/>
      <c r="B31" s="16" t="s">
        <v>30</v>
      </c>
      <c r="C31" s="3"/>
      <c r="D31" s="27">
        <v>75847984</v>
      </c>
      <c r="E31" s="28">
        <v>4234423</v>
      </c>
      <c r="F31" s="28">
        <f t="shared" si="4"/>
        <v>80082407</v>
      </c>
      <c r="G31" s="28">
        <v>0</v>
      </c>
      <c r="H31" s="77">
        <v>57199237</v>
      </c>
      <c r="I31" s="77">
        <f>1262266+534521</f>
        <v>1796787</v>
      </c>
      <c r="J31" s="28">
        <f t="shared" si="5"/>
        <v>58996024</v>
      </c>
      <c r="K31" s="28">
        <v>0</v>
      </c>
      <c r="L31" s="28">
        <f t="shared" si="6"/>
        <v>139078431</v>
      </c>
      <c r="M31" s="3"/>
    </row>
    <row r="32" spans="1:13" x14ac:dyDescent="0.25">
      <c r="A32" s="15"/>
      <c r="B32" s="16" t="s">
        <v>31</v>
      </c>
      <c r="C32" s="3"/>
      <c r="D32" s="27">
        <v>58202700</v>
      </c>
      <c r="E32" s="28">
        <v>7400747</v>
      </c>
      <c r="F32" s="28">
        <f t="shared" si="4"/>
        <v>65603447</v>
      </c>
      <c r="G32" s="28">
        <v>0</v>
      </c>
      <c r="H32" s="77">
        <v>16904073</v>
      </c>
      <c r="I32" s="77">
        <v>4505006</v>
      </c>
      <c r="J32" s="28">
        <f t="shared" si="5"/>
        <v>21409079</v>
      </c>
      <c r="K32" s="28">
        <v>0</v>
      </c>
      <c r="L32" s="28">
        <f t="shared" si="6"/>
        <v>87012526</v>
      </c>
      <c r="M32" s="3"/>
    </row>
    <row r="33" spans="1:13" x14ac:dyDescent="0.25">
      <c r="A33" s="15"/>
      <c r="B33" s="16" t="s">
        <v>32</v>
      </c>
      <c r="C33" s="3"/>
      <c r="D33" s="27">
        <v>7615400</v>
      </c>
      <c r="E33" s="28">
        <v>647443</v>
      </c>
      <c r="F33" s="28">
        <f t="shared" si="4"/>
        <v>8262843</v>
      </c>
      <c r="G33" s="28">
        <v>0</v>
      </c>
      <c r="H33" s="77">
        <v>25303200</v>
      </c>
      <c r="I33" s="77">
        <f>365000+126197</f>
        <v>491197</v>
      </c>
      <c r="J33" s="28">
        <f t="shared" si="5"/>
        <v>25794397</v>
      </c>
      <c r="K33" s="28">
        <v>0</v>
      </c>
      <c r="L33" s="28">
        <f t="shared" si="6"/>
        <v>34057240</v>
      </c>
      <c r="M33" s="3"/>
    </row>
    <row r="34" spans="1:13" x14ac:dyDescent="0.25">
      <c r="A34" s="15"/>
      <c r="B34" s="16" t="s">
        <v>33</v>
      </c>
      <c r="C34" s="3"/>
      <c r="D34" s="27">
        <v>0</v>
      </c>
      <c r="E34" s="28">
        <v>0</v>
      </c>
      <c r="F34" s="28">
        <f t="shared" si="4"/>
        <v>0</v>
      </c>
      <c r="G34" s="28">
        <v>0</v>
      </c>
      <c r="H34" s="77">
        <v>0</v>
      </c>
      <c r="I34" s="77">
        <v>0</v>
      </c>
      <c r="J34" s="28">
        <f t="shared" si="5"/>
        <v>0</v>
      </c>
      <c r="K34" s="28">
        <v>0</v>
      </c>
      <c r="L34" s="28">
        <f t="shared" si="6"/>
        <v>0</v>
      </c>
      <c r="M34" s="3"/>
    </row>
    <row r="35" spans="1:13" x14ac:dyDescent="0.25">
      <c r="A35" s="15"/>
      <c r="B35" s="16" t="s">
        <v>34</v>
      </c>
      <c r="C35" s="3"/>
      <c r="D35" s="27">
        <v>16182659</v>
      </c>
      <c r="E35" s="28">
        <v>96556</v>
      </c>
      <c r="F35" s="28">
        <f t="shared" si="4"/>
        <v>16279215</v>
      </c>
      <c r="G35" s="28">
        <v>0</v>
      </c>
      <c r="H35" s="77">
        <v>0</v>
      </c>
      <c r="I35" s="77">
        <v>845561</v>
      </c>
      <c r="J35" s="28">
        <f t="shared" si="5"/>
        <v>845561</v>
      </c>
      <c r="K35" s="28">
        <v>0</v>
      </c>
      <c r="L35" s="28">
        <f t="shared" si="6"/>
        <v>17124776</v>
      </c>
      <c r="M35" s="3"/>
    </row>
    <row r="36" spans="1:13" ht="14.25" customHeight="1" x14ac:dyDescent="0.25">
      <c r="A36" s="17" t="s">
        <v>35</v>
      </c>
      <c r="B36" s="18"/>
      <c r="C36" s="6"/>
      <c r="D36" s="83">
        <f t="shared" ref="D36:K36" si="7">SUM(D24:D35)</f>
        <v>350527829</v>
      </c>
      <c r="E36" s="83">
        <f t="shared" si="7"/>
        <v>30476698</v>
      </c>
      <c r="F36" s="83">
        <f t="shared" si="7"/>
        <v>381004527</v>
      </c>
      <c r="G36" s="83">
        <f t="shared" si="7"/>
        <v>7522893</v>
      </c>
      <c r="H36" s="74">
        <f>SUM(H24:H35)</f>
        <v>523061449</v>
      </c>
      <c r="I36" s="74">
        <f>SUM(I24:I35)</f>
        <v>30327805</v>
      </c>
      <c r="J36" s="83">
        <f t="shared" si="7"/>
        <v>553389254</v>
      </c>
      <c r="K36" s="83">
        <f t="shared" si="7"/>
        <v>13018275</v>
      </c>
      <c r="L36" s="83">
        <f>F36+G36+J36+K36</f>
        <v>954934949</v>
      </c>
      <c r="M36" s="6"/>
    </row>
    <row r="37" spans="1:13" x14ac:dyDescent="0.25">
      <c r="A37" s="14" t="s">
        <v>36</v>
      </c>
      <c r="B37" s="14" t="s">
        <v>37</v>
      </c>
      <c r="C37" s="3"/>
      <c r="D37" s="27">
        <v>3448222</v>
      </c>
      <c r="E37" s="28">
        <v>1807003</v>
      </c>
      <c r="F37" s="28">
        <f t="shared" ref="F37:F42" si="8">D37+E37</f>
        <v>5255225</v>
      </c>
      <c r="G37" s="28">
        <v>0</v>
      </c>
      <c r="H37" s="77">
        <v>0</v>
      </c>
      <c r="I37" s="77">
        <v>0</v>
      </c>
      <c r="J37" s="28">
        <v>0</v>
      </c>
      <c r="K37" s="28">
        <v>3654209</v>
      </c>
      <c r="L37" s="28">
        <f t="shared" ref="L37:L42" si="9">F37+G37+J37+K37</f>
        <v>8909434</v>
      </c>
      <c r="M37" s="3"/>
    </row>
    <row r="38" spans="1:13" x14ac:dyDescent="0.25">
      <c r="A38" s="15"/>
      <c r="B38" s="16" t="s">
        <v>38</v>
      </c>
      <c r="C38" s="3"/>
      <c r="D38" s="27">
        <v>19378311</v>
      </c>
      <c r="E38" s="28">
        <v>1902262</v>
      </c>
      <c r="F38" s="28">
        <f t="shared" si="8"/>
        <v>21280573</v>
      </c>
      <c r="G38" s="28">
        <v>3411787</v>
      </c>
      <c r="H38" s="77">
        <v>48796284</v>
      </c>
      <c r="I38" s="77">
        <v>3893347</v>
      </c>
      <c r="J38" s="28">
        <f>H38+I38</f>
        <v>52689631</v>
      </c>
      <c r="K38" s="28">
        <v>0</v>
      </c>
      <c r="L38" s="28">
        <f t="shared" si="9"/>
        <v>77381991</v>
      </c>
      <c r="M38" s="3"/>
    </row>
    <row r="39" spans="1:13" x14ac:dyDescent="0.25">
      <c r="A39" s="15"/>
      <c r="B39" s="16" t="s">
        <v>39</v>
      </c>
      <c r="C39" s="3"/>
      <c r="D39" s="27">
        <v>4016328</v>
      </c>
      <c r="E39" s="28">
        <v>207672</v>
      </c>
      <c r="F39" s="28">
        <f t="shared" si="8"/>
        <v>4224000</v>
      </c>
      <c r="G39" s="28">
        <v>0</v>
      </c>
      <c r="H39" s="77">
        <v>9430461</v>
      </c>
      <c r="I39" s="77">
        <v>110614</v>
      </c>
      <c r="J39" s="28">
        <f>H39+I39</f>
        <v>9541075</v>
      </c>
      <c r="K39" s="28">
        <v>0</v>
      </c>
      <c r="L39" s="28">
        <f t="shared" si="9"/>
        <v>13765075</v>
      </c>
      <c r="M39" s="3"/>
    </row>
    <row r="40" spans="1:13" x14ac:dyDescent="0.25">
      <c r="A40" s="15"/>
      <c r="B40" s="16" t="s">
        <v>40</v>
      </c>
      <c r="C40" s="3"/>
      <c r="D40" s="27">
        <v>6169908</v>
      </c>
      <c r="E40" s="28">
        <v>593739</v>
      </c>
      <c r="F40" s="28">
        <f t="shared" si="8"/>
        <v>6763647</v>
      </c>
      <c r="G40" s="28">
        <v>0</v>
      </c>
      <c r="H40" s="77">
        <v>13658083</v>
      </c>
      <c r="I40" s="77">
        <v>0</v>
      </c>
      <c r="J40" s="28">
        <f>H40+I40</f>
        <v>13658083</v>
      </c>
      <c r="K40" s="28">
        <v>0</v>
      </c>
      <c r="L40" s="28">
        <f t="shared" si="9"/>
        <v>20421730</v>
      </c>
      <c r="M40" s="3"/>
    </row>
    <row r="41" spans="1:13" x14ac:dyDescent="0.25">
      <c r="A41" s="15"/>
      <c r="B41" s="16" t="s">
        <v>41</v>
      </c>
      <c r="C41" s="3"/>
      <c r="D41" s="27">
        <v>5518427</v>
      </c>
      <c r="E41" s="28">
        <v>194607</v>
      </c>
      <c r="F41" s="28">
        <f t="shared" si="8"/>
        <v>5713034</v>
      </c>
      <c r="G41" s="28">
        <v>0</v>
      </c>
      <c r="H41" s="77">
        <v>9402076</v>
      </c>
      <c r="I41" s="77">
        <v>156762</v>
      </c>
      <c r="J41" s="28">
        <f>H41+I41</f>
        <v>9558838</v>
      </c>
      <c r="K41" s="28">
        <v>0</v>
      </c>
      <c r="L41" s="28">
        <f t="shared" si="9"/>
        <v>15271872</v>
      </c>
      <c r="M41" s="3"/>
    </row>
    <row r="42" spans="1:13" x14ac:dyDescent="0.25">
      <c r="A42" s="15"/>
      <c r="B42" s="16" t="s">
        <v>42</v>
      </c>
      <c r="C42" s="3"/>
      <c r="D42" s="27">
        <v>2959185</v>
      </c>
      <c r="E42" s="28">
        <v>0</v>
      </c>
      <c r="F42" s="28">
        <f t="shared" si="8"/>
        <v>2959185</v>
      </c>
      <c r="G42" s="28">
        <v>0</v>
      </c>
      <c r="H42" s="77">
        <v>0</v>
      </c>
      <c r="I42" s="77">
        <v>0</v>
      </c>
      <c r="J42" s="28">
        <f>H42+I42</f>
        <v>0</v>
      </c>
      <c r="K42" s="28">
        <v>0</v>
      </c>
      <c r="L42" s="28">
        <f t="shared" si="9"/>
        <v>2959185</v>
      </c>
      <c r="M42" s="3"/>
    </row>
    <row r="43" spans="1:13" x14ac:dyDescent="0.25">
      <c r="A43" s="17" t="s">
        <v>43</v>
      </c>
      <c r="B43" s="18"/>
      <c r="C43" s="6"/>
      <c r="D43" s="42">
        <f t="shared" ref="D43:K43" si="10">SUM(D37:D42)</f>
        <v>41490381</v>
      </c>
      <c r="E43" s="42">
        <f t="shared" si="10"/>
        <v>4705283</v>
      </c>
      <c r="F43" s="42">
        <f t="shared" si="10"/>
        <v>46195664</v>
      </c>
      <c r="G43" s="42">
        <f t="shared" si="10"/>
        <v>3411787</v>
      </c>
      <c r="H43" s="78">
        <f>SUM(H37:H42)</f>
        <v>81286904</v>
      </c>
      <c r="I43" s="78">
        <f>SUM(I37:I42)</f>
        <v>4160723</v>
      </c>
      <c r="J43" s="42">
        <f>SUM(J37:J42)</f>
        <v>85447627</v>
      </c>
      <c r="K43" s="42">
        <f t="shared" si="10"/>
        <v>3654209</v>
      </c>
      <c r="L43" s="83">
        <f>F43+G43+J43+K43</f>
        <v>138709287</v>
      </c>
      <c r="M43" s="6"/>
    </row>
    <row r="44" spans="1:13" x14ac:dyDescent="0.25">
      <c r="A44" s="14" t="s">
        <v>44</v>
      </c>
      <c r="B44" s="14" t="s">
        <v>45</v>
      </c>
      <c r="C44" s="3"/>
      <c r="D44" s="27">
        <v>12397631</v>
      </c>
      <c r="E44" s="28">
        <v>1070300</v>
      </c>
      <c r="F44" s="28">
        <f t="shared" ref="F44:F53" si="11">D44+E44</f>
        <v>13467931</v>
      </c>
      <c r="G44" s="28">
        <v>0</v>
      </c>
      <c r="H44" s="77">
        <v>32502043</v>
      </c>
      <c r="I44" s="77">
        <v>468000</v>
      </c>
      <c r="J44" s="28">
        <f t="shared" ref="J44:J53" si="12">H44+I44</f>
        <v>32970043</v>
      </c>
      <c r="K44" s="28">
        <v>0</v>
      </c>
      <c r="L44" s="28">
        <f t="shared" ref="L44:L53" si="13">F44+G44+J44+K44</f>
        <v>46437974</v>
      </c>
      <c r="M44" s="3"/>
    </row>
    <row r="45" spans="1:13" x14ac:dyDescent="0.25">
      <c r="A45" s="15"/>
      <c r="B45" s="16" t="s">
        <v>46</v>
      </c>
      <c r="C45" s="3"/>
      <c r="D45" s="27">
        <v>27128500</v>
      </c>
      <c r="E45" s="28">
        <v>2025766</v>
      </c>
      <c r="F45" s="28">
        <f t="shared" si="11"/>
        <v>29154266</v>
      </c>
      <c r="G45" s="28">
        <v>0</v>
      </c>
      <c r="H45" s="77">
        <v>99705000</v>
      </c>
      <c r="I45" s="77">
        <f>208180+3442468</f>
        <v>3650648</v>
      </c>
      <c r="J45" s="28">
        <f t="shared" si="12"/>
        <v>103355648</v>
      </c>
      <c r="K45" s="28">
        <v>0</v>
      </c>
      <c r="L45" s="28">
        <f t="shared" si="13"/>
        <v>132509914</v>
      </c>
      <c r="M45" s="3"/>
    </row>
    <row r="46" spans="1:13" x14ac:dyDescent="0.25">
      <c r="A46" s="15"/>
      <c r="B46" s="16" t="s">
        <v>47</v>
      </c>
      <c r="C46" s="3"/>
      <c r="D46" s="27">
        <v>16700736</v>
      </c>
      <c r="E46" s="28">
        <v>2771912</v>
      </c>
      <c r="F46" s="28">
        <f t="shared" si="11"/>
        <v>19472648</v>
      </c>
      <c r="G46" s="28">
        <v>0</v>
      </c>
      <c r="H46" s="77">
        <v>48341396</v>
      </c>
      <c r="I46" s="77">
        <v>547724</v>
      </c>
      <c r="J46" s="28">
        <f t="shared" si="12"/>
        <v>48889120</v>
      </c>
      <c r="K46" s="28">
        <v>0</v>
      </c>
      <c r="L46" s="28">
        <f t="shared" si="13"/>
        <v>68361768</v>
      </c>
      <c r="M46" s="3"/>
    </row>
    <row r="47" spans="1:13" x14ac:dyDescent="0.25">
      <c r="A47" s="15"/>
      <c r="B47" s="16" t="s">
        <v>48</v>
      </c>
      <c r="C47" s="3"/>
      <c r="D47" s="27">
        <v>13983559</v>
      </c>
      <c r="E47" s="28">
        <v>1147024</v>
      </c>
      <c r="F47" s="28">
        <f t="shared" si="11"/>
        <v>15130583</v>
      </c>
      <c r="G47" s="28">
        <v>0</v>
      </c>
      <c r="H47" s="77">
        <v>39079499</v>
      </c>
      <c r="I47" s="77">
        <f>35033+125000+2578199</f>
        <v>2738232</v>
      </c>
      <c r="J47" s="28">
        <f t="shared" si="12"/>
        <v>41817731</v>
      </c>
      <c r="K47" s="28">
        <v>0</v>
      </c>
      <c r="L47" s="28">
        <f t="shared" si="13"/>
        <v>56948314</v>
      </c>
      <c r="M47" s="3"/>
    </row>
    <row r="48" spans="1:13" x14ac:dyDescent="0.25">
      <c r="A48" s="15"/>
      <c r="B48" s="16" t="s">
        <v>49</v>
      </c>
      <c r="C48" s="3"/>
      <c r="D48" s="27">
        <v>19797594</v>
      </c>
      <c r="E48" s="28">
        <v>1338119</v>
      </c>
      <c r="F48" s="28">
        <f t="shared" si="11"/>
        <v>21135713</v>
      </c>
      <c r="G48" s="28">
        <v>74923</v>
      </c>
      <c r="H48" s="77">
        <v>56705128</v>
      </c>
      <c r="I48" s="77">
        <f>22741+823258</f>
        <v>845999</v>
      </c>
      <c r="J48" s="28">
        <f t="shared" si="12"/>
        <v>57551127</v>
      </c>
      <c r="K48" s="28">
        <v>0</v>
      </c>
      <c r="L48" s="28">
        <f t="shared" si="13"/>
        <v>78761763</v>
      </c>
      <c r="M48" s="3"/>
    </row>
    <row r="49" spans="1:14" x14ac:dyDescent="0.25">
      <c r="A49" s="15"/>
      <c r="B49" s="16" t="s">
        <v>50</v>
      </c>
      <c r="C49" s="3"/>
      <c r="D49" s="27">
        <v>27437909</v>
      </c>
      <c r="E49" s="28">
        <v>2120419</v>
      </c>
      <c r="F49" s="28">
        <f t="shared" si="11"/>
        <v>29558328</v>
      </c>
      <c r="G49" s="28">
        <v>0</v>
      </c>
      <c r="H49" s="77">
        <v>86536717</v>
      </c>
      <c r="I49" s="77">
        <f>607212+3228170</f>
        <v>3835382</v>
      </c>
      <c r="J49" s="28">
        <f t="shared" si="12"/>
        <v>90372099</v>
      </c>
      <c r="K49" s="28">
        <v>0</v>
      </c>
      <c r="L49" s="28">
        <f t="shared" si="13"/>
        <v>119930427</v>
      </c>
      <c r="M49" s="3"/>
    </row>
    <row r="50" spans="1:14" x14ac:dyDescent="0.25">
      <c r="A50" s="15"/>
      <c r="B50" s="16" t="s">
        <v>51</v>
      </c>
      <c r="C50" s="3"/>
      <c r="D50" s="27">
        <v>1025487</v>
      </c>
      <c r="E50" s="28">
        <v>0</v>
      </c>
      <c r="F50" s="28">
        <f t="shared" si="11"/>
        <v>1025487</v>
      </c>
      <c r="G50" s="28">
        <v>0</v>
      </c>
      <c r="H50" s="77">
        <v>0</v>
      </c>
      <c r="I50" s="77">
        <v>2414000</v>
      </c>
      <c r="J50" s="28">
        <f t="shared" si="12"/>
        <v>2414000</v>
      </c>
      <c r="K50" s="28">
        <v>0</v>
      </c>
      <c r="L50" s="28">
        <f t="shared" si="13"/>
        <v>3439487</v>
      </c>
      <c r="M50" s="3"/>
    </row>
    <row r="51" spans="1:14" x14ac:dyDescent="0.25">
      <c r="A51" s="15"/>
      <c r="B51" s="16" t="s">
        <v>52</v>
      </c>
      <c r="C51" s="3"/>
      <c r="D51" s="27">
        <v>45215717</v>
      </c>
      <c r="E51" s="28">
        <v>2731406</v>
      </c>
      <c r="F51" s="28">
        <f t="shared" si="11"/>
        <v>47947123</v>
      </c>
      <c r="G51" s="28">
        <v>0</v>
      </c>
      <c r="H51" s="77">
        <v>122677825</v>
      </c>
      <c r="I51" s="77">
        <v>4261700</v>
      </c>
      <c r="J51" s="28">
        <f t="shared" si="12"/>
        <v>126939525</v>
      </c>
      <c r="K51" s="28">
        <v>0</v>
      </c>
      <c r="L51" s="28">
        <f t="shared" si="13"/>
        <v>174886648</v>
      </c>
      <c r="M51" s="3"/>
    </row>
    <row r="52" spans="1:14" x14ac:dyDescent="0.25">
      <c r="A52" s="15"/>
      <c r="B52" s="16" t="s">
        <v>53</v>
      </c>
      <c r="C52" s="3"/>
      <c r="D52" s="27">
        <v>23937086</v>
      </c>
      <c r="E52" s="28">
        <v>1933153</v>
      </c>
      <c r="F52" s="28">
        <f t="shared" si="11"/>
        <v>25870239</v>
      </c>
      <c r="G52" s="28">
        <v>0</v>
      </c>
      <c r="H52" s="77">
        <v>64485360</v>
      </c>
      <c r="I52" s="77">
        <f>78800+975000+688550</f>
        <v>1742350</v>
      </c>
      <c r="J52" s="28">
        <f t="shared" si="12"/>
        <v>66227710</v>
      </c>
      <c r="K52" s="28">
        <v>0</v>
      </c>
      <c r="L52" s="28">
        <f t="shared" si="13"/>
        <v>92097949</v>
      </c>
      <c r="M52" s="3"/>
    </row>
    <row r="53" spans="1:14" x14ac:dyDescent="0.25">
      <c r="A53" s="15"/>
      <c r="B53" s="16" t="s">
        <v>54</v>
      </c>
      <c r="C53" s="3"/>
      <c r="D53" s="27">
        <v>26562492</v>
      </c>
      <c r="E53" s="28">
        <v>2621321</v>
      </c>
      <c r="F53" s="28">
        <f t="shared" si="11"/>
        <v>29183813</v>
      </c>
      <c r="G53" s="28">
        <v>0</v>
      </c>
      <c r="H53" s="77">
        <v>61007543</v>
      </c>
      <c r="I53" s="77">
        <f>206550+8532049</f>
        <v>8738599</v>
      </c>
      <c r="J53" s="28">
        <f t="shared" si="12"/>
        <v>69746142</v>
      </c>
      <c r="K53" s="28">
        <v>0</v>
      </c>
      <c r="L53" s="28">
        <f t="shared" si="13"/>
        <v>98929955</v>
      </c>
      <c r="M53" s="3"/>
    </row>
    <row r="54" spans="1:14" x14ac:dyDescent="0.25">
      <c r="A54" s="12" t="s">
        <v>55</v>
      </c>
      <c r="B54" s="13"/>
      <c r="C54" s="6"/>
      <c r="D54" s="83">
        <f t="shared" ref="D54:K54" si="14">SUM(D44:D53)</f>
        <v>214186711</v>
      </c>
      <c r="E54" s="83">
        <f t="shared" si="14"/>
        <v>17759420</v>
      </c>
      <c r="F54" s="83">
        <f t="shared" si="14"/>
        <v>231946131</v>
      </c>
      <c r="G54" s="83">
        <f t="shared" si="14"/>
        <v>74923</v>
      </c>
      <c r="H54" s="74">
        <f>SUM(H44:H53)</f>
        <v>611040511</v>
      </c>
      <c r="I54" s="74">
        <f>SUM(I44:I53)</f>
        <v>29242634</v>
      </c>
      <c r="J54" s="83">
        <f t="shared" si="14"/>
        <v>640283145</v>
      </c>
      <c r="K54" s="83">
        <f t="shared" si="14"/>
        <v>0</v>
      </c>
      <c r="L54" s="83">
        <f>F54+G54+J54+K54</f>
        <v>872304199</v>
      </c>
      <c r="M54" s="6"/>
    </row>
    <row r="55" spans="1:14" x14ac:dyDescent="0.25">
      <c r="A55" s="12" t="s">
        <v>56</v>
      </c>
      <c r="B55" s="13"/>
      <c r="C55" s="6"/>
      <c r="D55" s="53">
        <f t="shared" ref="D55:K55" si="15">D54+D43+D36+D23+D8+D7+D6</f>
        <v>1004440577</v>
      </c>
      <c r="E55" s="53">
        <f t="shared" si="15"/>
        <v>151637910</v>
      </c>
      <c r="F55" s="83">
        <f t="shared" si="15"/>
        <v>1156078487</v>
      </c>
      <c r="G55" s="53">
        <f t="shared" si="15"/>
        <v>23555601</v>
      </c>
      <c r="H55" s="79">
        <f>H54+H43+H36+H23+H8+H7+H6</f>
        <v>1383678522</v>
      </c>
      <c r="I55" s="79">
        <f>I54+I43+I36+I23+I8+I7+I6</f>
        <v>73507689</v>
      </c>
      <c r="J55" s="83">
        <f t="shared" si="15"/>
        <v>1457186211</v>
      </c>
      <c r="K55" s="53">
        <f t="shared" si="15"/>
        <v>79903497</v>
      </c>
      <c r="L55" s="83">
        <f>F55+G55+J55+K55</f>
        <v>2716723796</v>
      </c>
      <c r="M55" s="6"/>
    </row>
    <row r="56" spans="1:14" s="32" customFormat="1" x14ac:dyDescent="0.25">
      <c r="A56" s="38" t="s">
        <v>63</v>
      </c>
      <c r="B56" s="38"/>
      <c r="C56" s="40"/>
      <c r="D56" s="83">
        <f>D55-D7-D24-D25-0</f>
        <v>738009328</v>
      </c>
      <c r="E56" s="83">
        <f>E55-E7-E24-E25-0</f>
        <v>93679676</v>
      </c>
      <c r="F56" s="41">
        <f>D56+E56</f>
        <v>831689004</v>
      </c>
      <c r="G56" s="83">
        <f>G55-G7-G24-G25-0</f>
        <v>22884603</v>
      </c>
      <c r="H56" s="74">
        <f>H55-H7-H24-H25-0</f>
        <v>1383678522</v>
      </c>
      <c r="I56" s="74">
        <f>I55-I7-I24-I25-0</f>
        <v>73414939</v>
      </c>
      <c r="J56" s="41">
        <f>H56+I56</f>
        <v>1457093461</v>
      </c>
      <c r="K56" s="83">
        <f>K55-K7-K24-K25-0</f>
        <v>32879465</v>
      </c>
      <c r="L56" s="83">
        <f>F56+G56+J56+K56</f>
        <v>2344546533</v>
      </c>
      <c r="M56" s="40"/>
      <c r="N56" s="31"/>
    </row>
    <row r="57" spans="1:14" x14ac:dyDescent="0.25">
      <c r="A57" s="7"/>
      <c r="B57" s="7"/>
      <c r="C57" s="7"/>
      <c r="M57" s="7"/>
    </row>
    <row r="58" spans="1:14" x14ac:dyDescent="0.25">
      <c r="A58" s="7"/>
      <c r="B58" s="7"/>
      <c r="C58" s="7"/>
      <c r="M58" s="7"/>
    </row>
    <row r="59" spans="1:14" x14ac:dyDescent="0.25">
      <c r="A59" s="98" t="s">
        <v>93</v>
      </c>
      <c r="D59" s="25">
        <f>D31+D32</f>
        <v>134050684</v>
      </c>
      <c r="E59" s="25">
        <f t="shared" ref="E59:L59" si="16">E31+E32</f>
        <v>11635170</v>
      </c>
      <c r="F59" s="25">
        <f t="shared" si="16"/>
        <v>145685854</v>
      </c>
      <c r="G59" s="25">
        <f t="shared" si="16"/>
        <v>0</v>
      </c>
      <c r="H59" s="25">
        <f t="shared" si="16"/>
        <v>74103310</v>
      </c>
      <c r="I59" s="25">
        <f t="shared" si="16"/>
        <v>6301793</v>
      </c>
      <c r="J59" s="25">
        <f t="shared" si="16"/>
        <v>80405103</v>
      </c>
      <c r="K59" s="25">
        <f t="shared" si="16"/>
        <v>0</v>
      </c>
      <c r="L59" s="25">
        <f t="shared" si="16"/>
        <v>226090957</v>
      </c>
    </row>
    <row r="65" spans="2:12" x14ac:dyDescent="0.25">
      <c r="F65" s="25">
        <f>F54-F50+F41+F40+F38+F33+F30+F28+F27+F23-F15-F14</f>
        <v>526106300</v>
      </c>
      <c r="G65" s="25"/>
      <c r="H65" s="25">
        <f t="shared" ref="H65" si="17">H54-H50+H41+H40+H38+H33+H30+H28+H27+H23-H15-H14</f>
        <v>1300144751</v>
      </c>
      <c r="I65" s="25"/>
    </row>
    <row r="67" spans="2:12" x14ac:dyDescent="0.25">
      <c r="D67" s="25">
        <f>D54-D50+D40+D38+D33+D28+D27+D34</f>
        <v>366686299</v>
      </c>
      <c r="E67" s="25">
        <f t="shared" ref="E67:L67" si="18">E54-E50+E40+E38+E33+E28+E27+E34</f>
        <v>34392304</v>
      </c>
      <c r="F67" s="25">
        <f t="shared" si="18"/>
        <v>401078603</v>
      </c>
      <c r="G67" s="25">
        <f t="shared" si="18"/>
        <v>11009603</v>
      </c>
      <c r="H67" s="25">
        <f t="shared" si="18"/>
        <v>1113193634</v>
      </c>
      <c r="I67" s="25">
        <f t="shared" si="18"/>
        <v>47025465</v>
      </c>
      <c r="J67" s="25">
        <f t="shared" si="18"/>
        <v>1160219099</v>
      </c>
      <c r="K67" s="25">
        <f t="shared" si="18"/>
        <v>0</v>
      </c>
      <c r="L67" s="25">
        <f t="shared" si="18"/>
        <v>1572307305</v>
      </c>
    </row>
    <row r="68" spans="2:12" x14ac:dyDescent="0.25">
      <c r="D68" s="25">
        <f>D41+D30+D23-D15-D14</f>
        <v>118508529</v>
      </c>
      <c r="E68" s="25">
        <f t="shared" ref="E68:L68" si="19">E41+E30+E23-E15-E14</f>
        <v>6519168</v>
      </c>
      <c r="F68" s="25">
        <f t="shared" si="19"/>
        <v>125027697</v>
      </c>
      <c r="G68" s="25">
        <f t="shared" si="19"/>
        <v>0</v>
      </c>
      <c r="H68" s="25">
        <f t="shared" si="19"/>
        <v>186951117</v>
      </c>
      <c r="I68" s="25">
        <f t="shared" si="19"/>
        <v>2079240</v>
      </c>
      <c r="J68" s="25">
        <f t="shared" si="19"/>
        <v>189030357</v>
      </c>
      <c r="K68" s="25">
        <f t="shared" si="19"/>
        <v>0</v>
      </c>
      <c r="L68" s="25">
        <f t="shared" si="19"/>
        <v>314058054</v>
      </c>
    </row>
    <row r="69" spans="2:12" x14ac:dyDescent="0.25">
      <c r="D69" s="25">
        <f>D68+D67</f>
        <v>485194828</v>
      </c>
      <c r="E69" s="25">
        <f t="shared" ref="E69:L69" si="20">E68+E67</f>
        <v>40911472</v>
      </c>
      <c r="F69" s="25">
        <f t="shared" si="20"/>
        <v>526106300</v>
      </c>
      <c r="G69" s="25">
        <f t="shared" si="20"/>
        <v>11009603</v>
      </c>
      <c r="H69" s="25">
        <f t="shared" si="20"/>
        <v>1300144751</v>
      </c>
      <c r="I69" s="25">
        <f t="shared" si="20"/>
        <v>49104705</v>
      </c>
      <c r="J69" s="25">
        <f t="shared" si="20"/>
        <v>1349249456</v>
      </c>
      <c r="K69" s="25">
        <f t="shared" si="20"/>
        <v>0</v>
      </c>
      <c r="L69" s="25">
        <f t="shared" si="20"/>
        <v>1886365359</v>
      </c>
    </row>
    <row r="72" spans="2:12" x14ac:dyDescent="0.25">
      <c r="B72" t="s">
        <v>110</v>
      </c>
      <c r="D72" s="25">
        <f>D73+D74-D37-D35-D26</f>
        <v>623261840</v>
      </c>
      <c r="E72" s="25">
        <f t="shared" ref="E72:L72" si="21">E73+E74-E37-E35-E26</f>
        <v>52754314</v>
      </c>
      <c r="F72" s="25">
        <f t="shared" si="21"/>
        <v>676016154</v>
      </c>
      <c r="G72" s="25">
        <f t="shared" si="21"/>
        <v>11009603</v>
      </c>
      <c r="H72" s="25">
        <f t="shared" si="21"/>
        <v>1383678522</v>
      </c>
      <c r="I72" s="25">
        <f t="shared" si="21"/>
        <v>55517112</v>
      </c>
      <c r="J72" s="25">
        <f t="shared" si="21"/>
        <v>1439195634</v>
      </c>
      <c r="K72" s="25">
        <f t="shared" si="21"/>
        <v>0</v>
      </c>
      <c r="L72" s="25">
        <f t="shared" si="21"/>
        <v>2126221391</v>
      </c>
    </row>
    <row r="73" spans="2:12" x14ac:dyDescent="0.25">
      <c r="B73" t="s">
        <v>104</v>
      </c>
      <c r="D73" s="25">
        <f>D69</f>
        <v>485194828</v>
      </c>
      <c r="E73" s="25">
        <f t="shared" ref="E73:L73" si="22">E69</f>
        <v>40911472</v>
      </c>
      <c r="F73" s="25">
        <f t="shared" si="22"/>
        <v>526106300</v>
      </c>
      <c r="G73" s="25">
        <f t="shared" si="22"/>
        <v>11009603</v>
      </c>
      <c r="H73" s="25">
        <f t="shared" si="22"/>
        <v>1300144751</v>
      </c>
      <c r="I73" s="25">
        <f t="shared" si="22"/>
        <v>49104705</v>
      </c>
      <c r="J73" s="25">
        <f t="shared" si="22"/>
        <v>1349249456</v>
      </c>
      <c r="K73" s="25">
        <f t="shared" si="22"/>
        <v>0</v>
      </c>
      <c r="L73" s="25">
        <f t="shared" si="22"/>
        <v>1886365359</v>
      </c>
    </row>
    <row r="74" spans="2:12" x14ac:dyDescent="0.25">
      <c r="B74" t="s">
        <v>105</v>
      </c>
      <c r="D74" s="25">
        <f>D39+D37+D35+D34+D32+D31+D26</f>
        <v>225394622</v>
      </c>
      <c r="E74" s="25">
        <f t="shared" ref="E74:L74" si="23">E39+E37+E35+E34+E32+E31+E26</f>
        <v>18098460</v>
      </c>
      <c r="F74" s="25">
        <f t="shared" si="23"/>
        <v>243493082</v>
      </c>
      <c r="G74" s="25">
        <f t="shared" si="23"/>
        <v>0</v>
      </c>
      <c r="H74" s="25">
        <f t="shared" si="23"/>
        <v>83533771</v>
      </c>
      <c r="I74" s="25">
        <f t="shared" si="23"/>
        <v>14065935</v>
      </c>
      <c r="J74" s="25">
        <f t="shared" si="23"/>
        <v>97599706</v>
      </c>
      <c r="K74" s="25">
        <f t="shared" si="23"/>
        <v>16672484</v>
      </c>
      <c r="L74" s="25">
        <f t="shared" si="23"/>
        <v>357765272</v>
      </c>
    </row>
    <row r="75" spans="2:12" x14ac:dyDescent="0.25">
      <c r="B75" t="s">
        <v>106</v>
      </c>
      <c r="D75" s="25">
        <f>D7</f>
        <v>266431249</v>
      </c>
      <c r="E75" s="25">
        <f t="shared" ref="E75:L75" si="24">E7</f>
        <v>57958234</v>
      </c>
      <c r="F75" s="25">
        <f t="shared" si="24"/>
        <v>324389483</v>
      </c>
      <c r="G75" s="25">
        <f t="shared" si="24"/>
        <v>670998</v>
      </c>
      <c r="H75" s="25">
        <f t="shared" si="24"/>
        <v>0</v>
      </c>
      <c r="I75" s="25">
        <f t="shared" si="24"/>
        <v>92750</v>
      </c>
      <c r="J75" s="25">
        <f t="shared" si="24"/>
        <v>92750</v>
      </c>
      <c r="K75" s="25">
        <f t="shared" si="24"/>
        <v>47024032</v>
      </c>
      <c r="L75" s="25">
        <f t="shared" si="24"/>
        <v>372177263</v>
      </c>
    </row>
    <row r="76" spans="2:12" x14ac:dyDescent="0.25">
      <c r="B76" t="s">
        <v>107</v>
      </c>
      <c r="D76" s="25">
        <f>D50+D42+D29+D15+D14+D8+D6</f>
        <v>27419878</v>
      </c>
      <c r="E76" s="25">
        <f t="shared" ref="E76:L76" si="25">E50+E42+E29+E15+E14+E8+E6</f>
        <v>34669744</v>
      </c>
      <c r="F76" s="25">
        <f t="shared" si="25"/>
        <v>62089622</v>
      </c>
      <c r="G76" s="25">
        <f t="shared" si="25"/>
        <v>11875000</v>
      </c>
      <c r="H76" s="25">
        <f t="shared" si="25"/>
        <v>0</v>
      </c>
      <c r="I76" s="25">
        <f t="shared" si="25"/>
        <v>10244299</v>
      </c>
      <c r="J76" s="25">
        <f t="shared" si="25"/>
        <v>10244299</v>
      </c>
      <c r="K76" s="25">
        <f t="shared" si="25"/>
        <v>16206981</v>
      </c>
      <c r="L76" s="25">
        <f t="shared" si="25"/>
        <v>100415902</v>
      </c>
    </row>
    <row r="77" spans="2:12" x14ac:dyDescent="0.25">
      <c r="D77" s="25">
        <f>SUM(D73:D76)</f>
        <v>1004440577</v>
      </c>
      <c r="E77" s="25">
        <f t="shared" ref="E77:L77" si="26">SUM(E73:E76)</f>
        <v>151637910</v>
      </c>
      <c r="F77" s="25">
        <f t="shared" si="26"/>
        <v>1156078487</v>
      </c>
      <c r="G77" s="25">
        <f t="shared" si="26"/>
        <v>23555601</v>
      </c>
      <c r="H77" s="25">
        <f t="shared" si="26"/>
        <v>1383678522</v>
      </c>
      <c r="I77" s="25">
        <f t="shared" si="26"/>
        <v>73507689</v>
      </c>
      <c r="J77" s="25">
        <f t="shared" si="26"/>
        <v>1457186211</v>
      </c>
      <c r="K77" s="25">
        <f t="shared" si="26"/>
        <v>79903497</v>
      </c>
      <c r="L77" s="25">
        <f t="shared" si="26"/>
        <v>2716723796</v>
      </c>
    </row>
  </sheetData>
  <pageMargins left="0.7" right="0.7" top="0.75" bottom="0.75" header="0.3" footer="0.3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80"/>
  <sheetViews>
    <sheetView workbookViewId="0">
      <pane ySplit="5" topLeftCell="A33" activePane="bottomLeft" state="frozen"/>
      <selection pane="bottomLeft" activeCell="G55" sqref="G55"/>
    </sheetView>
  </sheetViews>
  <sheetFormatPr defaultRowHeight="15" x14ac:dyDescent="0.25"/>
  <cols>
    <col min="2" max="2" width="22.85546875" customWidth="1"/>
    <col min="3" max="3" width="1.42578125" customWidth="1"/>
    <col min="4" max="5" width="15.28515625" customWidth="1"/>
    <col min="6" max="6" width="16.28515625" style="25" customWidth="1"/>
    <col min="7" max="7" width="15.28515625" customWidth="1"/>
    <col min="8" max="8" width="16.28515625" customWidth="1"/>
    <col min="9" max="9" width="15.28515625" customWidth="1"/>
    <col min="10" max="10" width="16.28515625" style="109" customWidth="1"/>
    <col min="11" max="11" width="15.28515625" customWidth="1"/>
    <col min="12" max="12" width="16.28515625" style="25" customWidth="1"/>
    <col min="13" max="13" width="1.42578125" customWidth="1"/>
    <col min="15" max="15" width="13.7109375" bestFit="1" customWidth="1"/>
  </cols>
  <sheetData>
    <row r="1" spans="1:13" s="99" customFormat="1" ht="18.75" x14ac:dyDescent="0.3">
      <c r="A1" s="99" t="s">
        <v>94</v>
      </c>
      <c r="F1" s="100"/>
      <c r="J1" s="108"/>
      <c r="L1" s="100"/>
    </row>
    <row r="2" spans="1:13" s="99" customFormat="1" ht="18.75" x14ac:dyDescent="0.3">
      <c r="A2" s="101" t="s">
        <v>100</v>
      </c>
      <c r="B2" s="101"/>
      <c r="C2" s="101"/>
      <c r="D2" s="100"/>
      <c r="E2" s="100"/>
      <c r="F2" s="100"/>
      <c r="G2" s="100"/>
      <c r="H2" s="100"/>
      <c r="I2" s="100"/>
      <c r="J2" s="108"/>
      <c r="K2" s="100"/>
      <c r="L2" s="100"/>
      <c r="M2" s="101"/>
    </row>
    <row r="3" spans="1:13" s="99" customFormat="1" ht="18.75" x14ac:dyDescent="0.3">
      <c r="A3" s="114"/>
      <c r="B3" s="101"/>
      <c r="C3" s="101"/>
      <c r="D3" s="100"/>
      <c r="E3" s="100"/>
      <c r="F3" s="100"/>
      <c r="G3" s="100"/>
      <c r="H3" s="100"/>
      <c r="I3" s="100"/>
      <c r="J3" s="108"/>
      <c r="K3" s="100"/>
      <c r="L3" s="100"/>
      <c r="M3" s="101"/>
    </row>
    <row r="4" spans="1:13" x14ac:dyDescent="0.25">
      <c r="A4" s="1"/>
      <c r="B4" s="2"/>
      <c r="C4" s="9"/>
      <c r="D4" s="25"/>
      <c r="E4" s="25"/>
      <c r="G4" s="25"/>
      <c r="H4" s="25"/>
      <c r="I4" s="25"/>
      <c r="K4" s="25"/>
      <c r="M4" s="9"/>
    </row>
    <row r="5" spans="1:13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59</v>
      </c>
      <c r="H5" s="73" t="s">
        <v>88</v>
      </c>
      <c r="I5" s="73" t="s">
        <v>68</v>
      </c>
      <c r="J5" s="110" t="s">
        <v>60</v>
      </c>
      <c r="K5" s="26" t="s">
        <v>61</v>
      </c>
      <c r="L5" s="26" t="s">
        <v>62</v>
      </c>
      <c r="M5" s="4"/>
    </row>
    <row r="6" spans="1:13" s="32" customFormat="1" x14ac:dyDescent="0.25">
      <c r="A6" s="47" t="s">
        <v>2</v>
      </c>
      <c r="B6" s="47" t="s">
        <v>3</v>
      </c>
      <c r="C6" s="48"/>
      <c r="D6" s="83">
        <v>13072006</v>
      </c>
      <c r="E6" s="83">
        <v>22472000</v>
      </c>
      <c r="F6" s="83">
        <f>D6+E6</f>
        <v>35544006</v>
      </c>
      <c r="G6" s="83">
        <v>11167888</v>
      </c>
      <c r="H6" s="74">
        <v>0</v>
      </c>
      <c r="I6" s="74">
        <v>2730299</v>
      </c>
      <c r="J6" s="111">
        <f>H6+I6</f>
        <v>2730299</v>
      </c>
      <c r="K6" s="83">
        <v>12172314</v>
      </c>
      <c r="L6" s="83">
        <f t="shared" ref="L6:L21" si="0">F6+G6+J6+K6</f>
        <v>61614507</v>
      </c>
      <c r="M6" s="48"/>
    </row>
    <row r="7" spans="1:13" s="32" customFormat="1" x14ac:dyDescent="0.25">
      <c r="A7" s="49" t="s">
        <v>4</v>
      </c>
      <c r="B7" s="49" t="s">
        <v>4</v>
      </c>
      <c r="C7" s="50"/>
      <c r="D7" s="43">
        <v>271730499</v>
      </c>
      <c r="E7" s="44">
        <v>57980039</v>
      </c>
      <c r="F7" s="83">
        <f>D7+E7</f>
        <v>329710538</v>
      </c>
      <c r="G7" s="44">
        <v>670998</v>
      </c>
      <c r="H7" s="75">
        <v>0</v>
      </c>
      <c r="I7" s="75">
        <v>21450</v>
      </c>
      <c r="J7" s="111">
        <f>H7+I7</f>
        <v>21450</v>
      </c>
      <c r="K7" s="44">
        <v>47225832</v>
      </c>
      <c r="L7" s="83">
        <f t="shared" si="0"/>
        <v>377628818</v>
      </c>
      <c r="M7" s="50"/>
    </row>
    <row r="8" spans="1:13" s="32" customFormat="1" x14ac:dyDescent="0.25">
      <c r="A8" s="51" t="s">
        <v>5</v>
      </c>
      <c r="B8" s="51" t="s">
        <v>5</v>
      </c>
      <c r="C8" s="52"/>
      <c r="D8" s="45">
        <v>2277892</v>
      </c>
      <c r="E8" s="46">
        <v>38636</v>
      </c>
      <c r="F8" s="83">
        <f>D8+E8</f>
        <v>2316528</v>
      </c>
      <c r="G8" s="46">
        <v>375000</v>
      </c>
      <c r="H8" s="76">
        <v>0</v>
      </c>
      <c r="I8" s="76">
        <v>9100000</v>
      </c>
      <c r="J8" s="111">
        <f>H8+I8</f>
        <v>9100000</v>
      </c>
      <c r="K8" s="46">
        <v>4034667</v>
      </c>
      <c r="L8" s="83">
        <f t="shared" si="0"/>
        <v>15826195</v>
      </c>
      <c r="M8" s="52"/>
    </row>
    <row r="9" spans="1:13" x14ac:dyDescent="0.25">
      <c r="A9" s="16" t="s">
        <v>6</v>
      </c>
      <c r="B9" s="16" t="s">
        <v>7</v>
      </c>
      <c r="C9" s="3"/>
      <c r="D9" s="27">
        <v>14226583.135185281</v>
      </c>
      <c r="E9" s="28">
        <v>745816</v>
      </c>
      <c r="F9" s="28">
        <f>D9+E9</f>
        <v>14972399.135185281</v>
      </c>
      <c r="G9" s="28">
        <v>0</v>
      </c>
      <c r="H9" s="77">
        <v>22305000</v>
      </c>
      <c r="I9" s="77">
        <v>595000</v>
      </c>
      <c r="J9" s="107">
        <f>H9+I9</f>
        <v>22900000</v>
      </c>
      <c r="K9" s="28">
        <v>0</v>
      </c>
      <c r="L9" s="28">
        <f t="shared" si="0"/>
        <v>37872399.135185279</v>
      </c>
      <c r="M9" s="3"/>
    </row>
    <row r="10" spans="1:13" x14ac:dyDescent="0.25">
      <c r="A10" s="15"/>
      <c r="B10" s="16" t="s">
        <v>8</v>
      </c>
      <c r="C10" s="3"/>
      <c r="D10" s="27">
        <v>11146011.099952847</v>
      </c>
      <c r="E10" s="28">
        <v>378322</v>
      </c>
      <c r="F10" s="28">
        <f>D10+E10</f>
        <v>11524333.099952847</v>
      </c>
      <c r="G10" s="28">
        <v>0</v>
      </c>
      <c r="H10" s="77">
        <v>23000000</v>
      </c>
      <c r="I10" s="77"/>
      <c r="J10" s="107">
        <f t="shared" ref="J10:J15" si="1">H10+I10</f>
        <v>23000000</v>
      </c>
      <c r="K10" s="28">
        <v>0</v>
      </c>
      <c r="L10" s="28">
        <f t="shared" si="0"/>
        <v>34524333.099952847</v>
      </c>
      <c r="M10" s="3"/>
    </row>
    <row r="11" spans="1:13" x14ac:dyDescent="0.25">
      <c r="A11" s="15"/>
      <c r="B11" s="16" t="s">
        <v>9</v>
      </c>
      <c r="C11" s="3"/>
      <c r="D11" s="106">
        <v>5283485</v>
      </c>
      <c r="E11" s="28">
        <v>337807</v>
      </c>
      <c r="F11" s="28">
        <f t="shared" ref="F11:F22" si="2">D11+E11</f>
        <v>5621292</v>
      </c>
      <c r="G11" s="28">
        <v>0</v>
      </c>
      <c r="H11" s="77">
        <v>4675000</v>
      </c>
      <c r="I11" s="77">
        <v>75000</v>
      </c>
      <c r="J11" s="107">
        <f t="shared" si="1"/>
        <v>4750000</v>
      </c>
      <c r="K11" s="28">
        <v>0</v>
      </c>
      <c r="L11" s="28">
        <f t="shared" si="0"/>
        <v>10371292</v>
      </c>
      <c r="M11" s="3"/>
    </row>
    <row r="12" spans="1:13" x14ac:dyDescent="0.25">
      <c r="A12" s="15"/>
      <c r="B12" s="16" t="s">
        <v>10</v>
      </c>
      <c r="C12" s="3"/>
      <c r="D12" s="27">
        <v>25445775.849085756</v>
      </c>
      <c r="E12" s="28">
        <v>1584504</v>
      </c>
      <c r="F12" s="28">
        <f t="shared" si="2"/>
        <v>27030279.849085756</v>
      </c>
      <c r="G12" s="28">
        <v>0</v>
      </c>
      <c r="H12" s="77">
        <v>49976867</v>
      </c>
      <c r="I12" s="77">
        <v>893133</v>
      </c>
      <c r="J12" s="107">
        <f t="shared" si="1"/>
        <v>50870000</v>
      </c>
      <c r="K12" s="28">
        <v>0</v>
      </c>
      <c r="L12" s="28">
        <f t="shared" si="0"/>
        <v>77900279.849085748</v>
      </c>
      <c r="M12" s="3"/>
    </row>
    <row r="13" spans="1:13" x14ac:dyDescent="0.25">
      <c r="A13" s="15"/>
      <c r="B13" s="16" t="s">
        <v>11</v>
      </c>
      <c r="C13" s="3"/>
      <c r="D13" s="106">
        <v>4316670</v>
      </c>
      <c r="E13" s="28">
        <v>130727</v>
      </c>
      <c r="F13" s="28">
        <f t="shared" si="2"/>
        <v>4447397</v>
      </c>
      <c r="G13" s="28">
        <v>0</v>
      </c>
      <c r="H13" s="77">
        <v>6485000</v>
      </c>
      <c r="I13" s="77">
        <v>15000</v>
      </c>
      <c r="J13" s="107">
        <f t="shared" si="1"/>
        <v>6500000</v>
      </c>
      <c r="K13" s="28">
        <v>0</v>
      </c>
      <c r="L13" s="28">
        <f t="shared" si="0"/>
        <v>10947397</v>
      </c>
      <c r="M13" s="3"/>
    </row>
    <row r="14" spans="1:13" x14ac:dyDescent="0.25">
      <c r="A14" s="15"/>
      <c r="B14" s="16" t="s">
        <v>12</v>
      </c>
      <c r="C14" s="3"/>
      <c r="D14" s="27">
        <v>7099163</v>
      </c>
      <c r="E14" s="28">
        <v>10000000</v>
      </c>
      <c r="F14" s="28">
        <f t="shared" si="2"/>
        <v>17099163</v>
      </c>
      <c r="G14" s="28">
        <v>0</v>
      </c>
      <c r="H14" s="77"/>
      <c r="I14" s="77"/>
      <c r="J14" s="107">
        <f>H14+I14</f>
        <v>0</v>
      </c>
      <c r="K14" s="28">
        <v>0</v>
      </c>
      <c r="L14" s="28">
        <f t="shared" si="0"/>
        <v>17099163</v>
      </c>
      <c r="M14" s="3"/>
    </row>
    <row r="15" spans="1:13" x14ac:dyDescent="0.25">
      <c r="A15" s="15"/>
      <c r="B15" s="16" t="s">
        <v>13</v>
      </c>
      <c r="C15" s="3"/>
      <c r="D15" s="27">
        <v>1286145</v>
      </c>
      <c r="E15" s="28">
        <v>0</v>
      </c>
      <c r="F15" s="28">
        <f t="shared" si="2"/>
        <v>1286145</v>
      </c>
      <c r="G15" s="28">
        <v>0</v>
      </c>
      <c r="H15" s="77"/>
      <c r="I15" s="77"/>
      <c r="J15" s="107">
        <f t="shared" si="1"/>
        <v>0</v>
      </c>
      <c r="K15" s="28">
        <v>0</v>
      </c>
      <c r="L15" s="28">
        <f t="shared" si="0"/>
        <v>1286145</v>
      </c>
      <c r="M15" s="3"/>
    </row>
    <row r="16" spans="1:13" x14ac:dyDescent="0.25">
      <c r="A16" s="15"/>
      <c r="B16" s="16" t="s">
        <v>14</v>
      </c>
      <c r="C16" s="3"/>
      <c r="D16" s="27">
        <v>7266592.3190551838</v>
      </c>
      <c r="E16" s="28">
        <v>402157</v>
      </c>
      <c r="F16" s="28">
        <f t="shared" si="2"/>
        <v>7668749.3190551838</v>
      </c>
      <c r="G16" s="28">
        <v>0</v>
      </c>
      <c r="H16" s="77">
        <v>9964850</v>
      </c>
      <c r="I16" s="77">
        <v>5150</v>
      </c>
      <c r="J16" s="107">
        <f t="shared" ref="J16:J22" si="3">H16+I16</f>
        <v>9970000</v>
      </c>
      <c r="K16" s="28">
        <v>0</v>
      </c>
      <c r="L16" s="28">
        <f t="shared" si="0"/>
        <v>17638749.319055185</v>
      </c>
      <c r="M16" s="3"/>
    </row>
    <row r="17" spans="1:13" x14ac:dyDescent="0.25">
      <c r="A17" s="15"/>
      <c r="B17" s="16" t="s">
        <v>15</v>
      </c>
      <c r="C17" s="3"/>
      <c r="D17" s="106">
        <v>3824986</v>
      </c>
      <c r="E17" s="28">
        <v>456128</v>
      </c>
      <c r="F17" s="28">
        <f t="shared" si="2"/>
        <v>4281114</v>
      </c>
      <c r="G17" s="28">
        <v>0</v>
      </c>
      <c r="H17" s="77">
        <v>2663000</v>
      </c>
      <c r="I17" s="77">
        <v>67000</v>
      </c>
      <c r="J17" s="107">
        <f t="shared" si="3"/>
        <v>2730000</v>
      </c>
      <c r="K17" s="28">
        <v>0</v>
      </c>
      <c r="L17" s="28">
        <f t="shared" si="0"/>
        <v>7011114</v>
      </c>
      <c r="M17" s="3"/>
    </row>
    <row r="18" spans="1:13" x14ac:dyDescent="0.25">
      <c r="A18" s="15"/>
      <c r="B18" s="16" t="s">
        <v>16</v>
      </c>
      <c r="C18" s="3"/>
      <c r="D18" s="27">
        <v>3906985.0379441138</v>
      </c>
      <c r="E18" s="28">
        <v>145966</v>
      </c>
      <c r="F18" s="28">
        <f t="shared" si="2"/>
        <v>4052951.0379441138</v>
      </c>
      <c r="G18" s="28">
        <v>0</v>
      </c>
      <c r="H18" s="77">
        <v>5963561</v>
      </c>
      <c r="I18" s="77">
        <v>136439</v>
      </c>
      <c r="J18" s="107">
        <f t="shared" si="3"/>
        <v>6100000</v>
      </c>
      <c r="K18" s="28">
        <v>0</v>
      </c>
      <c r="L18" s="28">
        <f t="shared" si="0"/>
        <v>10152951.037944114</v>
      </c>
      <c r="M18" s="3"/>
    </row>
    <row r="19" spans="1:13" x14ac:dyDescent="0.25">
      <c r="A19" s="15"/>
      <c r="B19" s="16" t="s">
        <v>17</v>
      </c>
      <c r="C19" s="3"/>
      <c r="D19" s="27">
        <v>5866706.908415894</v>
      </c>
      <c r="E19" s="28">
        <v>223816</v>
      </c>
      <c r="F19" s="28">
        <f t="shared" si="2"/>
        <v>6090522.908415894</v>
      </c>
      <c r="G19" s="28">
        <v>0</v>
      </c>
      <c r="H19" s="77">
        <v>8894125</v>
      </c>
      <c r="I19" s="77">
        <v>5875</v>
      </c>
      <c r="J19" s="107">
        <f t="shared" si="3"/>
        <v>8900000</v>
      </c>
      <c r="K19" s="28">
        <v>0</v>
      </c>
      <c r="L19" s="28">
        <f t="shared" si="0"/>
        <v>14990522.908415895</v>
      </c>
      <c r="M19" s="3"/>
    </row>
    <row r="20" spans="1:13" x14ac:dyDescent="0.25">
      <c r="A20" s="15"/>
      <c r="B20" s="16" t="s">
        <v>18</v>
      </c>
      <c r="C20" s="3"/>
      <c r="D20" s="106">
        <v>5243285</v>
      </c>
      <c r="E20" s="28">
        <v>137730</v>
      </c>
      <c r="F20" s="28">
        <f t="shared" si="2"/>
        <v>5381015</v>
      </c>
      <c r="G20" s="28">
        <v>0</v>
      </c>
      <c r="H20" s="77">
        <v>6800000</v>
      </c>
      <c r="I20" s="77">
        <v>200000</v>
      </c>
      <c r="J20" s="107">
        <f t="shared" si="3"/>
        <v>7000000</v>
      </c>
      <c r="K20" s="28">
        <v>0</v>
      </c>
      <c r="L20" s="28">
        <f t="shared" si="0"/>
        <v>12381015</v>
      </c>
      <c r="M20" s="3"/>
    </row>
    <row r="21" spans="1:13" x14ac:dyDescent="0.25">
      <c r="A21" s="15"/>
      <c r="B21" s="16" t="s">
        <v>19</v>
      </c>
      <c r="C21" s="3"/>
      <c r="D21" s="106">
        <v>14183422</v>
      </c>
      <c r="E21" s="28">
        <v>651561</v>
      </c>
      <c r="F21" s="28">
        <f t="shared" si="2"/>
        <v>14834983</v>
      </c>
      <c r="G21" s="28">
        <v>0</v>
      </c>
      <c r="H21" s="77">
        <v>18250000</v>
      </c>
      <c r="I21" s="77"/>
      <c r="J21" s="107">
        <f t="shared" si="3"/>
        <v>18250000</v>
      </c>
      <c r="K21" s="28">
        <v>0</v>
      </c>
      <c r="L21" s="28">
        <f t="shared" si="0"/>
        <v>33084983</v>
      </c>
      <c r="M21" s="3"/>
    </row>
    <row r="22" spans="1:13" x14ac:dyDescent="0.25">
      <c r="A22" s="15"/>
      <c r="B22" s="16" t="s">
        <v>20</v>
      </c>
      <c r="C22" s="3"/>
      <c r="D22" s="106">
        <v>8697261</v>
      </c>
      <c r="E22" s="28">
        <v>769679</v>
      </c>
      <c r="F22" s="28">
        <f t="shared" si="2"/>
        <v>9466940</v>
      </c>
      <c r="G22" s="28">
        <v>0</v>
      </c>
      <c r="H22" s="77">
        <v>9545000</v>
      </c>
      <c r="I22" s="77">
        <v>55000</v>
      </c>
      <c r="J22" s="107">
        <f t="shared" si="3"/>
        <v>9600000</v>
      </c>
      <c r="K22" s="28">
        <v>0</v>
      </c>
      <c r="L22" s="28">
        <f>F22+G22+J22+K22</f>
        <v>19066940</v>
      </c>
      <c r="M22" s="3"/>
    </row>
    <row r="23" spans="1:13" x14ac:dyDescent="0.25">
      <c r="A23" s="17" t="s">
        <v>21</v>
      </c>
      <c r="B23" s="18"/>
      <c r="C23" s="6"/>
      <c r="D23" s="83">
        <f t="shared" ref="D23:K23" si="4">SUM(D9:D22)</f>
        <v>117793071.34963907</v>
      </c>
      <c r="E23" s="83">
        <f t="shared" si="4"/>
        <v>15964213</v>
      </c>
      <c r="F23" s="83">
        <f t="shared" si="4"/>
        <v>133757284.34963907</v>
      </c>
      <c r="G23" s="83">
        <f t="shared" si="4"/>
        <v>0</v>
      </c>
      <c r="H23" s="74">
        <f>SUM(H9:H22)</f>
        <v>168522403</v>
      </c>
      <c r="I23" s="74">
        <f>SUM(I9:I22)</f>
        <v>2047597</v>
      </c>
      <c r="J23" s="111">
        <f t="shared" si="4"/>
        <v>170570000</v>
      </c>
      <c r="K23" s="83">
        <f t="shared" si="4"/>
        <v>0</v>
      </c>
      <c r="L23" s="83">
        <f>F23+G23+J23+K23</f>
        <v>304327284.34963906</v>
      </c>
      <c r="M23" s="6"/>
    </row>
    <row r="24" spans="1:13" x14ac:dyDescent="0.25">
      <c r="A24" s="14" t="s">
        <v>22</v>
      </c>
      <c r="B24" s="14" t="s">
        <v>23</v>
      </c>
      <c r="C24" s="3"/>
      <c r="D24" s="27">
        <v>0</v>
      </c>
      <c r="E24" s="28">
        <v>0</v>
      </c>
      <c r="F24" s="28">
        <f t="shared" ref="F24:F35" si="5">D24+E24</f>
        <v>0</v>
      </c>
      <c r="G24" s="28">
        <v>0</v>
      </c>
      <c r="H24" s="77">
        <v>0</v>
      </c>
      <c r="I24" s="77">
        <v>0</v>
      </c>
      <c r="J24" s="107">
        <f>H24+I24</f>
        <v>0</v>
      </c>
      <c r="K24" s="28">
        <v>0</v>
      </c>
      <c r="L24" s="28">
        <f t="shared" ref="L24:L35" si="6">F24+G24+J24+K24</f>
        <v>0</v>
      </c>
      <c r="M24" s="3"/>
    </row>
    <row r="25" spans="1:13" x14ac:dyDescent="0.25">
      <c r="A25" s="15"/>
      <c r="B25" s="16" t="s">
        <v>24</v>
      </c>
      <c r="C25" s="3"/>
      <c r="D25" s="27">
        <v>0</v>
      </c>
      <c r="E25" s="28">
        <v>0</v>
      </c>
      <c r="F25" s="28">
        <f t="shared" si="5"/>
        <v>0</v>
      </c>
      <c r="G25" s="28">
        <v>0</v>
      </c>
      <c r="H25" s="77">
        <v>0</v>
      </c>
      <c r="I25" s="77">
        <v>0</v>
      </c>
      <c r="J25" s="107">
        <f t="shared" ref="J25:J34" si="7">H25+I25</f>
        <v>0</v>
      </c>
      <c r="K25" s="28">
        <v>0</v>
      </c>
      <c r="L25" s="28">
        <f t="shared" si="6"/>
        <v>0</v>
      </c>
      <c r="M25" s="3"/>
    </row>
    <row r="26" spans="1:13" x14ac:dyDescent="0.25">
      <c r="A26" s="15"/>
      <c r="B26" s="16" t="s">
        <v>25</v>
      </c>
      <c r="C26" s="3"/>
      <c r="D26" s="27">
        <v>67696729</v>
      </c>
      <c r="E26" s="107">
        <v>4210579</v>
      </c>
      <c r="F26" s="28">
        <f t="shared" si="5"/>
        <v>71907308</v>
      </c>
      <c r="G26" s="28">
        <v>0</v>
      </c>
      <c r="H26" s="77">
        <v>0</v>
      </c>
      <c r="I26" s="77">
        <v>6807967</v>
      </c>
      <c r="J26" s="107">
        <f t="shared" si="7"/>
        <v>6807967</v>
      </c>
      <c r="K26" s="28">
        <v>13018275</v>
      </c>
      <c r="L26" s="28">
        <f t="shared" si="6"/>
        <v>91733550</v>
      </c>
      <c r="M26" s="3"/>
    </row>
    <row r="27" spans="1:13" x14ac:dyDescent="0.25">
      <c r="A27" s="15"/>
      <c r="B27" s="16" t="s">
        <v>26</v>
      </c>
      <c r="C27" s="3"/>
      <c r="D27" s="27">
        <v>4962613.1506829187</v>
      </c>
      <c r="E27" s="28">
        <v>267407</v>
      </c>
      <c r="F27" s="28">
        <f t="shared" si="5"/>
        <v>5230020.1506829187</v>
      </c>
      <c r="G27" s="28">
        <v>0</v>
      </c>
      <c r="H27" s="77">
        <v>16327500</v>
      </c>
      <c r="I27" s="77">
        <v>63627</v>
      </c>
      <c r="J27" s="107">
        <f t="shared" si="7"/>
        <v>16391127</v>
      </c>
      <c r="K27" s="28">
        <v>0</v>
      </c>
      <c r="L27" s="28">
        <f t="shared" si="6"/>
        <v>21621147.150682919</v>
      </c>
      <c r="M27" s="3"/>
    </row>
    <row r="28" spans="1:13" x14ac:dyDescent="0.25">
      <c r="A28" s="15"/>
      <c r="B28" s="16" t="s">
        <v>27</v>
      </c>
      <c r="C28" s="3"/>
      <c r="D28" s="27">
        <v>115801562.62905198</v>
      </c>
      <c r="E28" s="28">
        <v>13083936</v>
      </c>
      <c r="F28" s="28">
        <f t="shared" si="5"/>
        <v>128885498.62905198</v>
      </c>
      <c r="G28" s="28">
        <v>7472774</v>
      </c>
      <c r="H28" s="77">
        <v>396306091</v>
      </c>
      <c r="I28" s="77">
        <v>17510625</v>
      </c>
      <c r="J28" s="107">
        <f t="shared" si="7"/>
        <v>413816716</v>
      </c>
      <c r="K28" s="28">
        <v>0</v>
      </c>
      <c r="L28" s="28">
        <f t="shared" si="6"/>
        <v>550174988.62905192</v>
      </c>
      <c r="M28" s="3"/>
    </row>
    <row r="29" spans="1:13" x14ac:dyDescent="0.25">
      <c r="A29" s="15"/>
      <c r="B29" s="16" t="s">
        <v>28</v>
      </c>
      <c r="C29" s="3"/>
      <c r="D29" s="27">
        <v>0</v>
      </c>
      <c r="E29" s="28">
        <v>0</v>
      </c>
      <c r="F29" s="28">
        <f t="shared" si="5"/>
        <v>0</v>
      </c>
      <c r="G29" s="28">
        <v>0</v>
      </c>
      <c r="H29" s="77">
        <v>0</v>
      </c>
      <c r="I29" s="77">
        <v>0</v>
      </c>
      <c r="J29" s="107">
        <f t="shared" si="7"/>
        <v>0</v>
      </c>
      <c r="K29" s="28">
        <v>0</v>
      </c>
      <c r="L29" s="28">
        <f t="shared" si="6"/>
        <v>0</v>
      </c>
      <c r="M29" s="3"/>
    </row>
    <row r="30" spans="1:13" x14ac:dyDescent="0.25">
      <c r="A30" s="15"/>
      <c r="B30" s="16" t="s">
        <v>29</v>
      </c>
      <c r="C30" s="3"/>
      <c r="D30" s="27">
        <v>4722804.6085898187</v>
      </c>
      <c r="E30" s="28">
        <v>248891</v>
      </c>
      <c r="F30" s="28">
        <f t="shared" si="5"/>
        <v>4971695.6085898187</v>
      </c>
      <c r="G30" s="28">
        <v>0</v>
      </c>
      <c r="H30" s="77">
        <v>9268383</v>
      </c>
      <c r="I30" s="77">
        <v>60000</v>
      </c>
      <c r="J30" s="107">
        <f t="shared" si="7"/>
        <v>9328383</v>
      </c>
      <c r="K30" s="28">
        <v>0</v>
      </c>
      <c r="L30" s="28">
        <f t="shared" si="6"/>
        <v>14300078.608589819</v>
      </c>
      <c r="M30" s="3"/>
    </row>
    <row r="31" spans="1:13" x14ac:dyDescent="0.25">
      <c r="A31" s="15"/>
      <c r="B31" s="16" t="s">
        <v>30</v>
      </c>
      <c r="C31" s="3"/>
      <c r="D31" s="27">
        <v>75847984</v>
      </c>
      <c r="E31" s="28">
        <v>4116350</v>
      </c>
      <c r="F31" s="28">
        <f t="shared" si="5"/>
        <v>79964334</v>
      </c>
      <c r="G31" s="28">
        <v>0</v>
      </c>
      <c r="H31" s="77">
        <v>58929644</v>
      </c>
      <c r="I31" s="77">
        <v>2066380</v>
      </c>
      <c r="J31" s="107">
        <f t="shared" si="7"/>
        <v>60996024</v>
      </c>
      <c r="K31" s="28">
        <v>0</v>
      </c>
      <c r="L31" s="28">
        <f t="shared" si="6"/>
        <v>140960358</v>
      </c>
      <c r="M31" s="3"/>
    </row>
    <row r="32" spans="1:13" x14ac:dyDescent="0.25">
      <c r="A32" s="15"/>
      <c r="B32" s="16" t="s">
        <v>31</v>
      </c>
      <c r="C32" s="3"/>
      <c r="D32" s="27">
        <v>58202700</v>
      </c>
      <c r="E32" s="107">
        <v>7209587</v>
      </c>
      <c r="F32" s="28">
        <f t="shared" si="5"/>
        <v>65412287</v>
      </c>
      <c r="G32" s="28">
        <v>0</v>
      </c>
      <c r="H32" s="77">
        <v>21409079</v>
      </c>
      <c r="I32" s="77">
        <v>0</v>
      </c>
      <c r="J32" s="107">
        <f t="shared" si="7"/>
        <v>21409079</v>
      </c>
      <c r="K32" s="28">
        <v>0</v>
      </c>
      <c r="L32" s="28">
        <f t="shared" si="6"/>
        <v>86821366</v>
      </c>
      <c r="M32" s="3"/>
    </row>
    <row r="33" spans="1:13" x14ac:dyDescent="0.25">
      <c r="A33" s="15"/>
      <c r="B33" s="16" t="s">
        <v>32</v>
      </c>
      <c r="C33" s="3"/>
      <c r="D33" s="27">
        <v>8060119.1146451924</v>
      </c>
      <c r="E33" s="28">
        <v>629390</v>
      </c>
      <c r="F33" s="28">
        <f t="shared" si="5"/>
        <v>8689509.1146451924</v>
      </c>
      <c r="G33" s="28">
        <v>0</v>
      </c>
      <c r="H33" s="77">
        <v>32592647</v>
      </c>
      <c r="I33" s="77">
        <v>401750</v>
      </c>
      <c r="J33" s="107">
        <f t="shared" si="7"/>
        <v>32994397</v>
      </c>
      <c r="K33" s="28">
        <v>0</v>
      </c>
      <c r="L33" s="28">
        <f t="shared" si="6"/>
        <v>41683906.114645191</v>
      </c>
      <c r="M33" s="3"/>
    </row>
    <row r="34" spans="1:13" x14ac:dyDescent="0.25">
      <c r="A34" s="15"/>
      <c r="B34" s="16" t="s">
        <v>33</v>
      </c>
      <c r="C34" s="3"/>
      <c r="D34" s="27">
        <v>0</v>
      </c>
      <c r="E34" s="28">
        <v>0</v>
      </c>
      <c r="F34" s="28">
        <f t="shared" si="5"/>
        <v>0</v>
      </c>
      <c r="G34" s="28">
        <v>0</v>
      </c>
      <c r="H34" s="77">
        <v>0</v>
      </c>
      <c r="I34" s="77">
        <v>0</v>
      </c>
      <c r="J34" s="107">
        <f t="shared" si="7"/>
        <v>0</v>
      </c>
      <c r="K34" s="28">
        <v>0</v>
      </c>
      <c r="L34" s="28">
        <f t="shared" si="6"/>
        <v>0</v>
      </c>
      <c r="M34" s="3"/>
    </row>
    <row r="35" spans="1:13" x14ac:dyDescent="0.25">
      <c r="A35" s="15"/>
      <c r="B35" s="16" t="s">
        <v>34</v>
      </c>
      <c r="C35" s="3"/>
      <c r="D35" s="27">
        <v>16182659</v>
      </c>
      <c r="E35" s="28">
        <v>93864</v>
      </c>
      <c r="F35" s="28">
        <f t="shared" si="5"/>
        <v>16276523</v>
      </c>
      <c r="G35" s="28">
        <v>0</v>
      </c>
      <c r="H35" s="77">
        <v>0</v>
      </c>
      <c r="I35" s="77">
        <v>845561</v>
      </c>
      <c r="J35" s="107">
        <f>H35+I35</f>
        <v>845561</v>
      </c>
      <c r="K35" s="28">
        <v>0</v>
      </c>
      <c r="L35" s="28">
        <f t="shared" si="6"/>
        <v>17122084</v>
      </c>
      <c r="M35" s="3"/>
    </row>
    <row r="36" spans="1:13" ht="14.25" customHeight="1" x14ac:dyDescent="0.25">
      <c r="A36" s="17" t="s">
        <v>35</v>
      </c>
      <c r="B36" s="18"/>
      <c r="C36" s="6"/>
      <c r="D36" s="83">
        <f t="shared" ref="D36:K36" si="8">SUM(D24:D35)</f>
        <v>351477171.50296992</v>
      </c>
      <c r="E36" s="83">
        <f t="shared" si="8"/>
        <v>29860004</v>
      </c>
      <c r="F36" s="83">
        <f t="shared" si="8"/>
        <v>381337175.50296992</v>
      </c>
      <c r="G36" s="83">
        <f t="shared" si="8"/>
        <v>7472774</v>
      </c>
      <c r="H36" s="74">
        <f>SUM(H24:H35)</f>
        <v>534833344</v>
      </c>
      <c r="I36" s="74">
        <f>SUM(I24:I35)</f>
        <v>27755910</v>
      </c>
      <c r="J36" s="111">
        <f t="shared" si="8"/>
        <v>562589254</v>
      </c>
      <c r="K36" s="83">
        <f t="shared" si="8"/>
        <v>13018275</v>
      </c>
      <c r="L36" s="83">
        <f>F36+G36+J36+K36</f>
        <v>964417478.50296998</v>
      </c>
      <c r="M36" s="6"/>
    </row>
    <row r="37" spans="1:13" x14ac:dyDescent="0.25">
      <c r="A37" s="14" t="s">
        <v>36</v>
      </c>
      <c r="B37" s="14" t="s">
        <v>37</v>
      </c>
      <c r="C37" s="3"/>
      <c r="D37" s="27">
        <v>3448222</v>
      </c>
      <c r="E37" s="28">
        <v>1805414</v>
      </c>
      <c r="F37" s="28">
        <f t="shared" ref="F37:F42" si="9">D37+E37</f>
        <v>5253636</v>
      </c>
      <c r="G37" s="28">
        <v>0</v>
      </c>
      <c r="H37" s="77">
        <v>0</v>
      </c>
      <c r="I37" s="77">
        <v>0</v>
      </c>
      <c r="J37" s="107">
        <f>H37+I37</f>
        <v>0</v>
      </c>
      <c r="K37" s="28">
        <v>3654209</v>
      </c>
      <c r="L37" s="28">
        <f t="shared" ref="L37:L42" si="10">F37+G37+J37+K37</f>
        <v>8907845</v>
      </c>
      <c r="M37" s="3"/>
    </row>
    <row r="38" spans="1:13" x14ac:dyDescent="0.25">
      <c r="A38" s="15"/>
      <c r="B38" s="16" t="s">
        <v>38</v>
      </c>
      <c r="C38" s="3"/>
      <c r="D38" s="27">
        <v>18254465</v>
      </c>
      <c r="E38" s="28">
        <v>1849219</v>
      </c>
      <c r="F38" s="28">
        <f t="shared" si="9"/>
        <v>20103684</v>
      </c>
      <c r="G38" s="28">
        <v>2998233</v>
      </c>
      <c r="H38" s="77">
        <v>50720980</v>
      </c>
      <c r="I38" s="77">
        <v>4527373</v>
      </c>
      <c r="J38" s="107">
        <f t="shared" ref="J38:J41" si="11">H38+I38</f>
        <v>55248353</v>
      </c>
      <c r="K38" s="28">
        <v>0</v>
      </c>
      <c r="L38" s="28">
        <f t="shared" si="10"/>
        <v>78350270</v>
      </c>
      <c r="M38" s="3"/>
    </row>
    <row r="39" spans="1:13" x14ac:dyDescent="0.25">
      <c r="A39" s="15"/>
      <c r="B39" s="16" t="s">
        <v>39</v>
      </c>
      <c r="C39" s="3"/>
      <c r="D39" s="27">
        <v>4016328</v>
      </c>
      <c r="E39" s="28">
        <v>201881</v>
      </c>
      <c r="F39" s="28">
        <f t="shared" si="9"/>
        <v>4218209</v>
      </c>
      <c r="G39" s="28">
        <v>0</v>
      </c>
      <c r="H39" s="77">
        <v>9897479</v>
      </c>
      <c r="I39" s="77">
        <v>99796</v>
      </c>
      <c r="J39" s="107">
        <f t="shared" si="11"/>
        <v>9997275</v>
      </c>
      <c r="K39" s="28">
        <v>0</v>
      </c>
      <c r="L39" s="28">
        <f t="shared" si="10"/>
        <v>14215484</v>
      </c>
      <c r="M39" s="3"/>
    </row>
    <row r="40" spans="1:13" x14ac:dyDescent="0.25">
      <c r="A40" s="15"/>
      <c r="B40" s="16" t="s">
        <v>40</v>
      </c>
      <c r="C40" s="3"/>
      <c r="D40" s="106">
        <v>8891959</v>
      </c>
      <c r="E40" s="28">
        <v>578577</v>
      </c>
      <c r="F40" s="28">
        <f t="shared" si="9"/>
        <v>9470536</v>
      </c>
      <c r="G40" s="28">
        <v>0</v>
      </c>
      <c r="H40" s="77">
        <v>14199833</v>
      </c>
      <c r="I40" s="77">
        <v>0</v>
      </c>
      <c r="J40" s="107">
        <f t="shared" si="11"/>
        <v>14199833</v>
      </c>
      <c r="K40" s="28">
        <v>0</v>
      </c>
      <c r="L40" s="28">
        <f t="shared" si="10"/>
        <v>23670369</v>
      </c>
      <c r="M40" s="3"/>
    </row>
    <row r="41" spans="1:13" x14ac:dyDescent="0.25">
      <c r="A41" s="15"/>
      <c r="B41" s="16" t="s">
        <v>41</v>
      </c>
      <c r="C41" s="3"/>
      <c r="D41" s="27">
        <v>5396063</v>
      </c>
      <c r="E41" s="28">
        <v>189181</v>
      </c>
      <c r="F41" s="28">
        <f t="shared" si="9"/>
        <v>5585244</v>
      </c>
      <c r="G41" s="28">
        <v>0</v>
      </c>
      <c r="H41" s="77">
        <v>9202076</v>
      </c>
      <c r="I41" s="77">
        <v>356762</v>
      </c>
      <c r="J41" s="107">
        <f t="shared" si="11"/>
        <v>9558838</v>
      </c>
      <c r="K41" s="28">
        <v>0</v>
      </c>
      <c r="L41" s="28">
        <f t="shared" si="10"/>
        <v>15144082</v>
      </c>
      <c r="M41" s="3"/>
    </row>
    <row r="42" spans="1:13" x14ac:dyDescent="0.25">
      <c r="A42" s="15"/>
      <c r="B42" s="16" t="s">
        <v>42</v>
      </c>
      <c r="C42" s="3"/>
      <c r="D42" s="106">
        <v>3159184</v>
      </c>
      <c r="E42" s="28">
        <v>0</v>
      </c>
      <c r="F42" s="28">
        <f t="shared" si="9"/>
        <v>3159184</v>
      </c>
      <c r="G42" s="28">
        <v>0</v>
      </c>
      <c r="H42" s="77">
        <v>0</v>
      </c>
      <c r="I42" s="77">
        <v>0</v>
      </c>
      <c r="J42" s="107">
        <f>H42+I42</f>
        <v>0</v>
      </c>
      <c r="K42" s="28">
        <v>0</v>
      </c>
      <c r="L42" s="28">
        <f t="shared" si="10"/>
        <v>3159184</v>
      </c>
      <c r="M42" s="3"/>
    </row>
    <row r="43" spans="1:13" x14ac:dyDescent="0.25">
      <c r="A43" s="17" t="s">
        <v>43</v>
      </c>
      <c r="B43" s="18"/>
      <c r="C43" s="6"/>
      <c r="D43" s="42">
        <f t="shared" ref="D43:K43" si="12">SUM(D37:D42)</f>
        <v>43166221</v>
      </c>
      <c r="E43" s="42">
        <f t="shared" si="12"/>
        <v>4624272</v>
      </c>
      <c r="F43" s="42">
        <f t="shared" si="12"/>
        <v>47790493</v>
      </c>
      <c r="G43" s="42">
        <f t="shared" si="12"/>
        <v>2998233</v>
      </c>
      <c r="H43" s="78">
        <f>SUM(H37:H42)</f>
        <v>84020368</v>
      </c>
      <c r="I43" s="78">
        <f>SUM(I37:I42)</f>
        <v>4983931</v>
      </c>
      <c r="J43" s="112">
        <f>SUM(J37:J42)</f>
        <v>89004299</v>
      </c>
      <c r="K43" s="42">
        <f t="shared" si="12"/>
        <v>3654209</v>
      </c>
      <c r="L43" s="83">
        <f>F43+G43+J43+K43</f>
        <v>143447234</v>
      </c>
      <c r="M43" s="6"/>
    </row>
    <row r="44" spans="1:13" x14ac:dyDescent="0.25">
      <c r="A44" s="14" t="s">
        <v>44</v>
      </c>
      <c r="B44" s="14" t="s">
        <v>45</v>
      </c>
      <c r="C44" s="3"/>
      <c r="D44" s="27">
        <v>13654237</v>
      </c>
      <c r="E44" s="28">
        <v>1040456</v>
      </c>
      <c r="F44" s="28">
        <f t="shared" ref="F44:F53" si="13">D44+E44</f>
        <v>14694693</v>
      </c>
      <c r="G44" s="28">
        <v>0</v>
      </c>
      <c r="H44" s="77">
        <v>32422043</v>
      </c>
      <c r="I44" s="77">
        <v>548000</v>
      </c>
      <c r="J44" s="107">
        <f t="shared" ref="J44:J53" si="14">H44+I44</f>
        <v>32970043</v>
      </c>
      <c r="K44" s="28">
        <v>0</v>
      </c>
      <c r="L44" s="28">
        <f t="shared" ref="L44:L53" si="15">F44+G44+J44+K44</f>
        <v>47664736</v>
      </c>
      <c r="M44" s="3"/>
    </row>
    <row r="45" spans="1:13" x14ac:dyDescent="0.25">
      <c r="A45" s="15"/>
      <c r="B45" s="16" t="s">
        <v>46</v>
      </c>
      <c r="C45" s="3"/>
      <c r="D45" s="27">
        <v>27167396</v>
      </c>
      <c r="E45" s="28">
        <v>1969279</v>
      </c>
      <c r="F45" s="28">
        <f t="shared" si="13"/>
        <v>29136675</v>
      </c>
      <c r="G45" s="28">
        <v>0</v>
      </c>
      <c r="H45" s="77">
        <v>95934100</v>
      </c>
      <c r="I45" s="77">
        <v>7421548</v>
      </c>
      <c r="J45" s="107">
        <f t="shared" si="14"/>
        <v>103355648</v>
      </c>
      <c r="K45" s="28">
        <v>0</v>
      </c>
      <c r="L45" s="28">
        <f t="shared" si="15"/>
        <v>132492323</v>
      </c>
      <c r="M45" s="3"/>
    </row>
    <row r="46" spans="1:13" x14ac:dyDescent="0.25">
      <c r="A46" s="15"/>
      <c r="B46" s="16" t="s">
        <v>47</v>
      </c>
      <c r="C46" s="3"/>
      <c r="D46" s="27">
        <v>16627553</v>
      </c>
      <c r="E46" s="28">
        <v>2822667</v>
      </c>
      <c r="F46" s="28">
        <f t="shared" si="13"/>
        <v>19450220</v>
      </c>
      <c r="G46" s="28">
        <v>0</v>
      </c>
      <c r="H46" s="77">
        <v>48039865</v>
      </c>
      <c r="I46" s="77">
        <v>849255</v>
      </c>
      <c r="J46" s="107">
        <f t="shared" si="14"/>
        <v>48889120</v>
      </c>
      <c r="K46" s="28">
        <v>0</v>
      </c>
      <c r="L46" s="28">
        <f t="shared" si="15"/>
        <v>68339340</v>
      </c>
      <c r="M46" s="3"/>
    </row>
    <row r="47" spans="1:13" x14ac:dyDescent="0.25">
      <c r="A47" s="15"/>
      <c r="B47" s="16" t="s">
        <v>48</v>
      </c>
      <c r="C47" s="3"/>
      <c r="D47" s="27">
        <v>13818395</v>
      </c>
      <c r="E47" s="28">
        <v>1115040</v>
      </c>
      <c r="F47" s="28">
        <f t="shared" si="13"/>
        <v>14933435</v>
      </c>
      <c r="G47" s="28">
        <v>0</v>
      </c>
      <c r="H47" s="77">
        <v>39121159</v>
      </c>
      <c r="I47" s="77">
        <v>2696572</v>
      </c>
      <c r="J47" s="107">
        <f t="shared" si="14"/>
        <v>41817731</v>
      </c>
      <c r="K47" s="28">
        <v>0</v>
      </c>
      <c r="L47" s="28">
        <f t="shared" si="15"/>
        <v>56751166</v>
      </c>
      <c r="M47" s="3"/>
    </row>
    <row r="48" spans="1:13" x14ac:dyDescent="0.25">
      <c r="A48" s="15"/>
      <c r="B48" s="16" t="s">
        <v>49</v>
      </c>
      <c r="C48" s="3"/>
      <c r="D48" s="27">
        <v>20194770</v>
      </c>
      <c r="E48" s="28">
        <v>1300807</v>
      </c>
      <c r="F48" s="28">
        <f t="shared" si="13"/>
        <v>21495577</v>
      </c>
      <c r="G48" s="28">
        <v>74923</v>
      </c>
      <c r="H48" s="77">
        <v>56824722</v>
      </c>
      <c r="I48" s="77">
        <v>726405</v>
      </c>
      <c r="J48" s="107">
        <f t="shared" si="14"/>
        <v>57551127</v>
      </c>
      <c r="K48" s="28">
        <v>0</v>
      </c>
      <c r="L48" s="28">
        <f t="shared" si="15"/>
        <v>79121627</v>
      </c>
      <c r="M48" s="3"/>
    </row>
    <row r="49" spans="1:15" x14ac:dyDescent="0.25">
      <c r="A49" s="15"/>
      <c r="B49" s="16" t="s">
        <v>50</v>
      </c>
      <c r="C49" s="3"/>
      <c r="D49" s="27">
        <v>27150053</v>
      </c>
      <c r="E49" s="28">
        <v>2061293</v>
      </c>
      <c r="F49" s="28">
        <f t="shared" si="13"/>
        <v>29211346</v>
      </c>
      <c r="G49" s="28">
        <v>0</v>
      </c>
      <c r="H49" s="77">
        <v>86123970</v>
      </c>
      <c r="I49" s="77">
        <v>4248129</v>
      </c>
      <c r="J49" s="107">
        <f t="shared" si="14"/>
        <v>90372099</v>
      </c>
      <c r="K49" s="28">
        <v>0</v>
      </c>
      <c r="L49" s="28">
        <f t="shared" si="15"/>
        <v>119583445</v>
      </c>
      <c r="M49" s="3"/>
    </row>
    <row r="50" spans="1:15" x14ac:dyDescent="0.25">
      <c r="A50" s="15"/>
      <c r="B50" s="16" t="s">
        <v>51</v>
      </c>
      <c r="C50" s="3"/>
      <c r="D50" s="27">
        <v>1025487</v>
      </c>
      <c r="E50" s="28">
        <v>0</v>
      </c>
      <c r="F50" s="28">
        <f t="shared" si="13"/>
        <v>1025487</v>
      </c>
      <c r="G50" s="28">
        <v>0</v>
      </c>
      <c r="H50" s="77">
        <v>0</v>
      </c>
      <c r="I50" s="77">
        <v>2414000</v>
      </c>
      <c r="J50" s="107">
        <f t="shared" si="14"/>
        <v>2414000</v>
      </c>
      <c r="K50" s="28">
        <v>0</v>
      </c>
      <c r="L50" s="28">
        <f t="shared" si="15"/>
        <v>3439487</v>
      </c>
      <c r="M50" s="3"/>
    </row>
    <row r="51" spans="1:15" x14ac:dyDescent="0.25">
      <c r="A51" s="15"/>
      <c r="B51" s="16" t="s">
        <v>52</v>
      </c>
      <c r="C51" s="3"/>
      <c r="D51" s="27">
        <v>45619806</v>
      </c>
      <c r="E51" s="28">
        <v>2655243</v>
      </c>
      <c r="F51" s="28">
        <f t="shared" si="13"/>
        <v>48275049</v>
      </c>
      <c r="G51" s="28">
        <v>0</v>
      </c>
      <c r="H51" s="77">
        <v>120808745</v>
      </c>
      <c r="I51" s="77">
        <v>6130780</v>
      </c>
      <c r="J51" s="107">
        <f t="shared" si="14"/>
        <v>126939525</v>
      </c>
      <c r="K51" s="28">
        <v>0</v>
      </c>
      <c r="L51" s="28">
        <f t="shared" si="15"/>
        <v>175214574</v>
      </c>
      <c r="M51" s="3"/>
    </row>
    <row r="52" spans="1:15" x14ac:dyDescent="0.25">
      <c r="A52" s="15"/>
      <c r="B52" s="16" t="s">
        <v>53</v>
      </c>
      <c r="C52" s="3"/>
      <c r="D52" s="27">
        <v>24316359</v>
      </c>
      <c r="E52" s="28">
        <v>1879249</v>
      </c>
      <c r="F52" s="28">
        <f t="shared" si="13"/>
        <v>26195608</v>
      </c>
      <c r="G52" s="28">
        <v>0</v>
      </c>
      <c r="H52" s="77">
        <v>64682110</v>
      </c>
      <c r="I52" s="77">
        <v>1545600</v>
      </c>
      <c r="J52" s="107">
        <f t="shared" si="14"/>
        <v>66227710</v>
      </c>
      <c r="K52" s="28">
        <v>0</v>
      </c>
      <c r="L52" s="28">
        <f t="shared" si="15"/>
        <v>92423318</v>
      </c>
      <c r="M52" s="3"/>
    </row>
    <row r="53" spans="1:15" x14ac:dyDescent="0.25">
      <c r="A53" s="15"/>
      <c r="B53" s="16" t="s">
        <v>54</v>
      </c>
      <c r="C53" s="3"/>
      <c r="D53" s="27">
        <v>25648910</v>
      </c>
      <c r="E53" s="28">
        <v>2548228</v>
      </c>
      <c r="F53" s="28">
        <f t="shared" si="13"/>
        <v>28197138</v>
      </c>
      <c r="G53" s="28">
        <v>0</v>
      </c>
      <c r="H53" s="77">
        <v>63427436</v>
      </c>
      <c r="I53" s="77">
        <v>6318706</v>
      </c>
      <c r="J53" s="107">
        <f t="shared" si="14"/>
        <v>69746142</v>
      </c>
      <c r="K53" s="28">
        <v>0</v>
      </c>
      <c r="L53" s="28">
        <f t="shared" si="15"/>
        <v>97943280</v>
      </c>
      <c r="M53" s="3"/>
    </row>
    <row r="54" spans="1:15" x14ac:dyDescent="0.25">
      <c r="A54" s="12" t="s">
        <v>55</v>
      </c>
      <c r="B54" s="13"/>
      <c r="C54" s="6"/>
      <c r="D54" s="83">
        <f t="shared" ref="D54:K54" si="16">SUM(D44:D53)</f>
        <v>215222966</v>
      </c>
      <c r="E54" s="83">
        <f t="shared" si="16"/>
        <v>17392262</v>
      </c>
      <c r="F54" s="83">
        <f t="shared" si="16"/>
        <v>232615228</v>
      </c>
      <c r="G54" s="83">
        <f t="shared" si="16"/>
        <v>74923</v>
      </c>
      <c r="H54" s="74">
        <f>SUM(H44:H53)</f>
        <v>607384150</v>
      </c>
      <c r="I54" s="74">
        <f>SUM(I44:I53)</f>
        <v>32898995</v>
      </c>
      <c r="J54" s="111">
        <f t="shared" si="16"/>
        <v>640283145</v>
      </c>
      <c r="K54" s="83">
        <f t="shared" si="16"/>
        <v>0</v>
      </c>
      <c r="L54" s="83">
        <f>F54+G54+J54+K54</f>
        <v>872973296</v>
      </c>
      <c r="M54" s="6"/>
    </row>
    <row r="55" spans="1:15" x14ac:dyDescent="0.25">
      <c r="A55" s="12" t="s">
        <v>56</v>
      </c>
      <c r="B55" s="13"/>
      <c r="C55" s="6"/>
      <c r="D55" s="53">
        <f t="shared" ref="D55:K55" si="17">D54+D43+D36+D23+D8+D7+D6</f>
        <v>1014739826.852609</v>
      </c>
      <c r="E55" s="53">
        <f t="shared" si="17"/>
        <v>148331426</v>
      </c>
      <c r="F55" s="83">
        <f t="shared" si="17"/>
        <v>1163071252.8526092</v>
      </c>
      <c r="G55" s="53">
        <f t="shared" si="17"/>
        <v>22759816</v>
      </c>
      <c r="H55" s="79">
        <f>H54+H43+H36+H23+H8+H7+H6</f>
        <v>1394760265</v>
      </c>
      <c r="I55" s="79">
        <f>I54+I43+I36+I23+I8+I7+I6</f>
        <v>79538182</v>
      </c>
      <c r="J55" s="111">
        <f t="shared" si="17"/>
        <v>1474298447</v>
      </c>
      <c r="K55" s="53">
        <f t="shared" si="17"/>
        <v>80105297</v>
      </c>
      <c r="L55" s="83">
        <f>F55+G55+J55+K55</f>
        <v>2740234812.8526092</v>
      </c>
      <c r="M55" s="6"/>
      <c r="O55" s="25"/>
    </row>
    <row r="56" spans="1:15" s="32" customFormat="1" x14ac:dyDescent="0.25">
      <c r="A56" s="38" t="s">
        <v>63</v>
      </c>
      <c r="B56" s="38"/>
      <c r="C56" s="40"/>
      <c r="D56" s="83">
        <f>D55-D7-D24-D25-0</f>
        <v>743009327.85260904</v>
      </c>
      <c r="E56" s="83">
        <f>E55-E7-E24-E25-0</f>
        <v>90351387</v>
      </c>
      <c r="F56" s="41">
        <f>D56+E56</f>
        <v>833360714.85260904</v>
      </c>
      <c r="G56" s="83">
        <f>G55-G7-G24-G25-0</f>
        <v>22088818</v>
      </c>
      <c r="H56" s="74">
        <f>H55-H7-H24-H25-0</f>
        <v>1394760265</v>
      </c>
      <c r="I56" s="74">
        <f>I55-I7-I24-I25-0</f>
        <v>79516732</v>
      </c>
      <c r="J56" s="113">
        <f>J55-J7-J24-J25</f>
        <v>1474276997</v>
      </c>
      <c r="K56" s="83">
        <f>K55-K7-K24-K25-0</f>
        <v>32879465</v>
      </c>
      <c r="L56" s="83">
        <f>F56+G56+J56+K56</f>
        <v>2362605994.8526092</v>
      </c>
      <c r="M56" s="40"/>
      <c r="N56" s="31"/>
      <c r="O56" s="25"/>
    </row>
    <row r="57" spans="1:15" x14ac:dyDescent="0.25">
      <c r="A57" s="7"/>
      <c r="B57" s="7"/>
      <c r="C57" s="7"/>
      <c r="M57" s="7"/>
      <c r="O57" s="25"/>
    </row>
    <row r="58" spans="1:15" x14ac:dyDescent="0.25">
      <c r="A58" s="7"/>
      <c r="B58" s="7"/>
      <c r="C58" s="7"/>
      <c r="M58" s="7"/>
    </row>
    <row r="59" spans="1:15" x14ac:dyDescent="0.25">
      <c r="A59" s="98"/>
      <c r="D59" s="25"/>
      <c r="E59" s="25"/>
      <c r="G59" s="25"/>
      <c r="H59" s="25"/>
      <c r="I59" s="25"/>
      <c r="K59" s="25"/>
    </row>
    <row r="62" spans="1:15" x14ac:dyDescent="0.25">
      <c r="D62" s="25"/>
    </row>
    <row r="65" spans="4:11" x14ac:dyDescent="0.25">
      <c r="G65" s="25"/>
      <c r="H65" s="25"/>
      <c r="I65" s="25"/>
      <c r="J65" s="25"/>
    </row>
    <row r="67" spans="4:11" x14ac:dyDescent="0.25">
      <c r="D67" s="25"/>
      <c r="E67" s="25"/>
      <c r="G67" s="25"/>
      <c r="H67" s="25"/>
      <c r="I67" s="25"/>
      <c r="J67" s="25"/>
      <c r="K67" s="25"/>
    </row>
    <row r="68" spans="4:11" x14ac:dyDescent="0.25">
      <c r="D68" s="25"/>
      <c r="E68" s="25"/>
      <c r="G68" s="25"/>
      <c r="H68" s="25"/>
      <c r="I68" s="25"/>
      <c r="J68" s="25"/>
      <c r="K68" s="25"/>
    </row>
    <row r="69" spans="4:11" x14ac:dyDescent="0.25">
      <c r="D69" s="25"/>
      <c r="E69" s="25"/>
      <c r="G69" s="25"/>
      <c r="H69" s="25"/>
      <c r="I69" s="25"/>
      <c r="J69" s="25"/>
      <c r="K69" s="25"/>
    </row>
    <row r="72" spans="4:11" x14ac:dyDescent="0.25">
      <c r="D72" s="25"/>
      <c r="E72" s="25"/>
      <c r="G72" s="25"/>
      <c r="H72" s="25"/>
      <c r="I72" s="25"/>
      <c r="J72" s="25"/>
      <c r="K72" s="25"/>
    </row>
    <row r="73" spans="4:11" x14ac:dyDescent="0.25">
      <c r="D73" s="25"/>
      <c r="E73" s="25"/>
      <c r="G73" s="25"/>
      <c r="H73" s="25"/>
      <c r="I73" s="25"/>
      <c r="J73" s="25"/>
      <c r="K73" s="25"/>
    </row>
    <row r="74" spans="4:11" x14ac:dyDescent="0.25">
      <c r="D74" s="25"/>
      <c r="E74" s="25"/>
      <c r="G74" s="25"/>
      <c r="H74" s="25"/>
      <c r="I74" s="25"/>
      <c r="J74" s="25"/>
      <c r="K74" s="25"/>
    </row>
    <row r="75" spans="4:11" x14ac:dyDescent="0.25">
      <c r="D75" s="25"/>
      <c r="E75" s="25"/>
      <c r="G75" s="25"/>
      <c r="H75" s="25"/>
      <c r="I75" s="25"/>
      <c r="J75" s="25"/>
      <c r="K75" s="25"/>
    </row>
    <row r="76" spans="4:11" x14ac:dyDescent="0.25">
      <c r="D76" s="25"/>
      <c r="E76" s="25"/>
      <c r="G76" s="25"/>
      <c r="H76" s="25"/>
      <c r="I76" s="25"/>
      <c r="J76" s="25"/>
      <c r="K76" s="25"/>
    </row>
    <row r="77" spans="4:11" x14ac:dyDescent="0.25">
      <c r="D77" s="25"/>
      <c r="E77" s="25"/>
      <c r="G77" s="25"/>
      <c r="H77" s="25"/>
      <c r="I77" s="25"/>
      <c r="J77" s="25"/>
      <c r="K77" s="25"/>
    </row>
    <row r="80" spans="4:11" x14ac:dyDescent="0.25">
      <c r="D80" s="25"/>
    </row>
  </sheetData>
  <pageMargins left="0.7" right="0.7" top="0.75" bottom="0.75" header="0.3" footer="0.3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52"/>
  <sheetViews>
    <sheetView workbookViewId="0"/>
  </sheetViews>
  <sheetFormatPr defaultRowHeight="15" x14ac:dyDescent="0.25"/>
  <cols>
    <col min="1" max="1" width="52.5703125" customWidth="1"/>
    <col min="2" max="2" width="1.85546875" customWidth="1"/>
    <col min="3" max="3" width="15.28515625" bestFit="1" customWidth="1"/>
    <col min="4" max="4" width="13.7109375" bestFit="1" customWidth="1"/>
    <col min="5" max="5" width="15.28515625" bestFit="1" customWidth="1"/>
    <col min="6" max="6" width="16.28515625" bestFit="1" customWidth="1"/>
    <col min="7" max="7" width="17" bestFit="1" customWidth="1"/>
    <col min="8" max="8" width="14.5703125" bestFit="1" customWidth="1"/>
    <col min="9" max="11" width="15.42578125" customWidth="1"/>
    <col min="12" max="13" width="15.28515625" bestFit="1" customWidth="1"/>
    <col min="14" max="14" width="1.7109375" customWidth="1"/>
  </cols>
  <sheetData>
    <row r="1" spans="1:14" s="71" customFormat="1" ht="21" x14ac:dyDescent="0.35">
      <c r="A1" s="71" t="s">
        <v>94</v>
      </c>
    </row>
    <row r="2" spans="1:14" s="71" customFormat="1" ht="21" x14ac:dyDescent="0.35">
      <c r="A2" s="71" t="s">
        <v>102</v>
      </c>
    </row>
    <row r="4" spans="1:14" s="32" customFormat="1" ht="47.25" customHeight="1" x14ac:dyDescent="0.25">
      <c r="A4" s="65" t="s">
        <v>101</v>
      </c>
      <c r="B4" s="69"/>
      <c r="C4" s="66" t="s">
        <v>57</v>
      </c>
      <c r="D4" s="66" t="s">
        <v>58</v>
      </c>
      <c r="E4" s="66" t="s">
        <v>67</v>
      </c>
      <c r="F4" s="91" t="s">
        <v>80</v>
      </c>
      <c r="G4" s="91" t="s">
        <v>74</v>
      </c>
      <c r="H4" s="66" t="s">
        <v>59</v>
      </c>
      <c r="I4" s="66" t="s">
        <v>60</v>
      </c>
      <c r="J4" s="73" t="s">
        <v>88</v>
      </c>
      <c r="K4" s="73" t="s">
        <v>68</v>
      </c>
      <c r="L4" s="66" t="s">
        <v>61</v>
      </c>
      <c r="M4" s="66" t="s">
        <v>62</v>
      </c>
      <c r="N4" s="72"/>
    </row>
    <row r="5" spans="1:14" s="32" customFormat="1" x14ac:dyDescent="0.25">
      <c r="A5" s="86" t="s">
        <v>89</v>
      </c>
      <c r="B5" s="87"/>
      <c r="C5" s="88">
        <f>'FY08-09'!D55</f>
        <v>1476685807</v>
      </c>
      <c r="D5" s="88">
        <f>'FY08-09'!E55</f>
        <v>138289278</v>
      </c>
      <c r="E5" s="88">
        <f>C5+D5</f>
        <v>1614975085</v>
      </c>
      <c r="F5" s="89">
        <v>0</v>
      </c>
      <c r="G5" s="89">
        <f>'FY08-09'!G55</f>
        <v>424677208</v>
      </c>
      <c r="H5" s="88">
        <f t="shared" ref="H5:H15" si="0">F5+G5</f>
        <v>424677208</v>
      </c>
      <c r="I5" s="88">
        <f>'FY08-09'!J55</f>
        <v>771979186</v>
      </c>
      <c r="J5" s="89">
        <f>'FY08-09'!H55</f>
        <v>626648760</v>
      </c>
      <c r="K5" s="89">
        <f>'FY08-09'!I55</f>
        <v>145330426</v>
      </c>
      <c r="L5" s="88">
        <f>'FY08-09'!K55</f>
        <v>93092905</v>
      </c>
      <c r="M5" s="88">
        <f>'FY08-09'!L55</f>
        <v>2904724384</v>
      </c>
      <c r="N5" s="72"/>
    </row>
    <row r="6" spans="1:14" x14ac:dyDescent="0.25">
      <c r="A6" s="56" t="s">
        <v>81</v>
      </c>
      <c r="B6" s="55"/>
      <c r="C6" s="84">
        <f>'FY09-10'!D55-'FY08-09'!D55</f>
        <v>-365015930</v>
      </c>
      <c r="D6" s="84">
        <f>'FY09-10'!E55-'FY08-09'!E55</f>
        <v>-1591969</v>
      </c>
      <c r="E6" s="84">
        <f>'FY09-10'!F55-'FY08-09'!F55</f>
        <v>-366607899</v>
      </c>
      <c r="F6" s="85">
        <f>'FY09-10'!G55</f>
        <v>189700000</v>
      </c>
      <c r="G6" s="85">
        <f>'FY09-10'!H55-'FY08-09'!G55</f>
        <v>9215954</v>
      </c>
      <c r="H6" s="84">
        <f t="shared" si="0"/>
        <v>198915954</v>
      </c>
      <c r="I6" s="84">
        <f>'FY09-10'!L55-'FY08-09'!J55</f>
        <v>48349334</v>
      </c>
      <c r="J6" s="85">
        <f>'FY09-10'!J55-'FY08-09'!H55</f>
        <v>51208213</v>
      </c>
      <c r="K6" s="85">
        <f>'FY09-10'!K55-'FY08-09'!I55</f>
        <v>-2858879</v>
      </c>
      <c r="L6" s="84">
        <f>'FY09-10'!M55-'FY08-09'!K55</f>
        <v>3000000</v>
      </c>
      <c r="M6" s="84">
        <f>'FY09-10'!N55-'FY08-09'!L55</f>
        <v>-116342611</v>
      </c>
      <c r="N6" s="54"/>
    </row>
    <row r="7" spans="1:14" x14ac:dyDescent="0.25">
      <c r="A7" s="56" t="s">
        <v>82</v>
      </c>
      <c r="B7" s="55"/>
      <c r="C7" s="84">
        <f>'FY10-11'!D55-'FY09-10'!D55</f>
        <v>-37805783</v>
      </c>
      <c r="D7" s="84">
        <f>'FY10-11'!E55-'FY09-10'!E55</f>
        <v>9280199</v>
      </c>
      <c r="E7" s="84">
        <f>'FY10-11'!F55-'FY09-10'!F55</f>
        <v>-28525584</v>
      </c>
      <c r="F7" s="85">
        <f>'FY10-11'!G55-'FY09-10'!G55</f>
        <v>103492837</v>
      </c>
      <c r="G7" s="85">
        <f>'FY10-11'!H55-'FY09-10'!H55</f>
        <v>-21400639</v>
      </c>
      <c r="H7" s="84">
        <f t="shared" si="0"/>
        <v>82092198</v>
      </c>
      <c r="I7" s="84">
        <f>'FY10-11'!L55-'FY09-10'!L55</f>
        <v>84008693</v>
      </c>
      <c r="J7" s="85">
        <f>'FY10-11'!J55-'FY09-10'!J55</f>
        <v>90167836</v>
      </c>
      <c r="K7" s="85">
        <f>'FY10-11'!K55-'FY09-10'!K55</f>
        <v>-6159143</v>
      </c>
      <c r="L7" s="84">
        <f>'FY10-11'!M55-'FY09-10'!M55</f>
        <v>69671252</v>
      </c>
      <c r="M7" s="84">
        <f>'FY10-11'!N55-'FY09-10'!N55</f>
        <v>207246559</v>
      </c>
      <c r="N7" s="54"/>
    </row>
    <row r="8" spans="1:14" x14ac:dyDescent="0.25">
      <c r="A8" s="56" t="s">
        <v>83</v>
      </c>
      <c r="B8" s="55"/>
      <c r="C8" s="84">
        <f>'FY11-12'!D55-'FY10-11'!D55</f>
        <v>-15590783</v>
      </c>
      <c r="D8" s="84">
        <f>'FY11-12'!E55-'FY10-11'!E55</f>
        <v>86546739</v>
      </c>
      <c r="E8" s="84">
        <f>'FY11-12'!F55-'FY10-11'!F55</f>
        <v>70955956</v>
      </c>
      <c r="F8" s="85">
        <v>0</v>
      </c>
      <c r="G8" s="85">
        <f>'FY11-12'!G55-'FY10-11'!I55</f>
        <v>-271505170</v>
      </c>
      <c r="H8" s="84">
        <f t="shared" si="0"/>
        <v>-271505170</v>
      </c>
      <c r="I8" s="84">
        <f>'FY11-12'!J55-'FY10-11'!L55</f>
        <v>225755942</v>
      </c>
      <c r="J8" s="85">
        <f>'FY11-12'!H55-'FY10-11'!J55</f>
        <v>144517794</v>
      </c>
      <c r="K8" s="85">
        <f>'FY11-12'!I55-'FY10-11'!K55</f>
        <v>81238148</v>
      </c>
      <c r="L8" s="84">
        <f>'FY11-12'!K55-'FY10-11'!M55</f>
        <v>-6981151</v>
      </c>
      <c r="M8" s="84">
        <f>'FY11-12'!L55-'FY10-11'!N55</f>
        <v>18225577</v>
      </c>
      <c r="N8" s="54"/>
    </row>
    <row r="9" spans="1:14" x14ac:dyDescent="0.25">
      <c r="A9" s="56" t="s">
        <v>84</v>
      </c>
      <c r="B9" s="55"/>
      <c r="C9" s="84">
        <f>'FY12-13'!D55-'FY11-12'!D55</f>
        <v>-74962802</v>
      </c>
      <c r="D9" s="84">
        <f>'FY12-13'!E55-'FY11-12'!E55</f>
        <v>-40174498</v>
      </c>
      <c r="E9" s="84">
        <f>'FY12-13'!F55-'FY11-12'!F55</f>
        <v>-115137300</v>
      </c>
      <c r="F9" s="85">
        <v>0</v>
      </c>
      <c r="G9" s="85">
        <f>'FY12-13'!G55-'FY11-12'!G55</f>
        <v>-41947246</v>
      </c>
      <c r="H9" s="84">
        <f t="shared" si="0"/>
        <v>-41947246</v>
      </c>
      <c r="I9" s="84">
        <f>'FY12-13'!J55-'FY11-12'!J55</f>
        <v>50326193</v>
      </c>
      <c r="J9" s="85">
        <f>'FY12-13'!H55-'FY11-12'!H55</f>
        <v>110922329</v>
      </c>
      <c r="K9" s="85">
        <f>'FY12-13'!I55-'FY11-12'!I55</f>
        <v>-60596136</v>
      </c>
      <c r="L9" s="84">
        <f>'FY12-13'!K55-'FY11-12'!K55</f>
        <v>-5873853</v>
      </c>
      <c r="M9" s="84">
        <f>'FY12-13'!L55-'FY11-12'!L55</f>
        <v>-112632206</v>
      </c>
      <c r="N9" s="54"/>
    </row>
    <row r="10" spans="1:14" x14ac:dyDescent="0.25">
      <c r="A10" s="56" t="s">
        <v>85</v>
      </c>
      <c r="B10" s="55"/>
      <c r="C10" s="84">
        <f>'FY13-14'!D55-'FY12-13'!D55</f>
        <v>-458641856</v>
      </c>
      <c r="D10" s="84">
        <f>'FY13-14'!E55-'FY12-13'!E55</f>
        <v>402319595</v>
      </c>
      <c r="E10" s="84">
        <f>'FY13-14'!F55-'FY12-13'!F55</f>
        <v>-56322261</v>
      </c>
      <c r="F10" s="85">
        <v>0</v>
      </c>
      <c r="G10" s="85">
        <f>'FY13-14'!G55-'FY12-13'!G55</f>
        <v>-281497895</v>
      </c>
      <c r="H10" s="84">
        <f t="shared" si="0"/>
        <v>-281497895</v>
      </c>
      <c r="I10" s="84">
        <f>'FY13-14'!J55-'FY12-13'!J55</f>
        <v>98913156</v>
      </c>
      <c r="J10" s="85">
        <f>'FY13-14'!H55-'FY12-13'!H55</f>
        <v>82758954</v>
      </c>
      <c r="K10" s="85">
        <f>'FY13-14'!I55-'FY12-13'!I55</f>
        <v>16154202</v>
      </c>
      <c r="L10" s="84">
        <f>'FY13-14'!K55-'FY12-13'!K55</f>
        <v>-33559746</v>
      </c>
      <c r="M10" s="84">
        <f>'FY13-14'!L55-'FY12-13'!L55</f>
        <v>-272466746</v>
      </c>
      <c r="N10" s="54"/>
    </row>
    <row r="11" spans="1:14" x14ac:dyDescent="0.25">
      <c r="A11" s="56" t="s">
        <v>86</v>
      </c>
      <c r="B11" s="55"/>
      <c r="C11" s="84">
        <f>'FY14-15'!D55-'FY13-14'!D55</f>
        <v>410343199</v>
      </c>
      <c r="D11" s="84">
        <f>'FY14-15'!E55-'FY13-14'!E55</f>
        <v>-398497432</v>
      </c>
      <c r="E11" s="84">
        <f>'FY14-15'!F55-'FY13-14'!F55</f>
        <v>11845767</v>
      </c>
      <c r="F11" s="85">
        <v>0</v>
      </c>
      <c r="G11" s="85">
        <f>'FY14-15'!G55-'FY13-14'!G55</f>
        <v>-76936141</v>
      </c>
      <c r="H11" s="84">
        <f t="shared" si="0"/>
        <v>-76936141</v>
      </c>
      <c r="I11" s="84">
        <f>'FY14-15'!J55-'FY13-14'!J55</f>
        <v>88360716</v>
      </c>
      <c r="J11" s="85">
        <f>'FY14-15'!H55-'FY13-14'!H55</f>
        <v>90586911</v>
      </c>
      <c r="K11" s="85">
        <f>'FY14-15'!I55-'FY13-14'!I55</f>
        <v>-2226195</v>
      </c>
      <c r="L11" s="84">
        <f>'FY14-15'!K55-'FY13-14'!K55</f>
        <v>-17816803</v>
      </c>
      <c r="M11" s="84">
        <f>'FY14-15'!L55-'FY13-14'!L55</f>
        <v>5453539</v>
      </c>
      <c r="N11" s="54"/>
    </row>
    <row r="12" spans="1:14" x14ac:dyDescent="0.25">
      <c r="A12" s="56" t="s">
        <v>87</v>
      </c>
      <c r="B12" s="55"/>
      <c r="C12" s="84">
        <f>'FY15-16'!D55-'FY14-15'!D55</f>
        <v>-282500659</v>
      </c>
      <c r="D12" s="84">
        <f>'FY15-16'!E55-'FY14-15'!E55</f>
        <v>337503253</v>
      </c>
      <c r="E12" s="84">
        <f>'FY15-16'!F55-'FY14-15'!F55</f>
        <v>55002594</v>
      </c>
      <c r="F12" s="85">
        <v>0</v>
      </c>
      <c r="G12" s="85">
        <f>'FY15-16'!G55-'FY14-15'!G55</f>
        <v>3747123</v>
      </c>
      <c r="H12" s="84">
        <f t="shared" si="0"/>
        <v>3747123</v>
      </c>
      <c r="I12" s="84">
        <f>'FY15-16'!J55-'FY14-15'!J55</f>
        <v>-41078516</v>
      </c>
      <c r="J12" s="85">
        <f>'FY15-16'!H55-'FY14-15'!H55</f>
        <v>54678253</v>
      </c>
      <c r="K12" s="85">
        <f>'FY15-16'!I55-'FY14-15'!I55</f>
        <v>-95756769</v>
      </c>
      <c r="L12" s="84">
        <f>'FY15-16'!K55-'FY14-15'!K55</f>
        <v>-18474545</v>
      </c>
      <c r="M12" s="84">
        <f>'FY15-16'!L55-'FY14-15'!L55</f>
        <v>-803344</v>
      </c>
      <c r="N12" s="54"/>
    </row>
    <row r="13" spans="1:14" x14ac:dyDescent="0.25">
      <c r="A13" s="56" t="s">
        <v>91</v>
      </c>
      <c r="B13" s="55"/>
      <c r="C13" s="84">
        <f>'FY16-17'!D55-'FY15-16'!D55</f>
        <v>266769019</v>
      </c>
      <c r="D13" s="84">
        <f>'FY16-17'!E55-'FY15-16'!E55</f>
        <v>-358153522</v>
      </c>
      <c r="E13" s="84">
        <f>'FY16-17'!F55-'FY15-16'!F55</f>
        <v>-91384503</v>
      </c>
      <c r="F13" s="85">
        <v>0</v>
      </c>
      <c r="G13" s="85">
        <f>'FY16-17'!G55-'FY15-16'!G55</f>
        <v>-11129156</v>
      </c>
      <c r="H13" s="84">
        <f t="shared" si="0"/>
        <v>-11129156</v>
      </c>
      <c r="I13" s="84">
        <f>'FY16-17'!J55-'FY15-16'!J55</f>
        <v>63016291</v>
      </c>
      <c r="J13" s="85">
        <f>'FY16-17'!H55-'FY15-16'!H55</f>
        <v>74577261</v>
      </c>
      <c r="K13" s="85">
        <f>'FY16-17'!I55-'FY15-16'!I55</f>
        <v>-11560970</v>
      </c>
      <c r="L13" s="84">
        <f>'FY16-17'!K55-'FY15-16'!K55</f>
        <v>-3154562</v>
      </c>
      <c r="M13" s="84">
        <f>'FY16-17'!L55-'FY15-16'!L55</f>
        <v>-42651930</v>
      </c>
      <c r="N13" s="54"/>
    </row>
    <row r="14" spans="1:14" x14ac:dyDescent="0.25">
      <c r="A14" s="56" t="s">
        <v>96</v>
      </c>
      <c r="B14" s="55"/>
      <c r="C14" s="84">
        <f>'FY17-18'!D55-'FY16-17'!D55</f>
        <v>85160365</v>
      </c>
      <c r="D14" s="84">
        <f>'FY17-18'!E55-'FY16-17'!E55</f>
        <v>-23883733</v>
      </c>
      <c r="E14" s="84">
        <f>'FY17-18'!F55-'FY16-17'!F55</f>
        <v>61276632</v>
      </c>
      <c r="F14" s="85">
        <v>0</v>
      </c>
      <c r="G14" s="85">
        <f>'FY17-18'!G55-'FY16-17'!G55</f>
        <v>-2861274</v>
      </c>
      <c r="H14" s="84">
        <f t="shared" si="0"/>
        <v>-2861274</v>
      </c>
      <c r="I14" s="84">
        <f>'FY17-18'!J55-'FY16-17'!J55</f>
        <v>67555216</v>
      </c>
      <c r="J14" s="85">
        <f>'FY17-18'!H55-'FY16-17'!H55</f>
        <v>57612211</v>
      </c>
      <c r="K14" s="85">
        <f>'FY17-18'!I55-'FY16-17'!I55</f>
        <v>9943005</v>
      </c>
      <c r="L14" s="84">
        <f>'FY17-18'!K55-'FY16-17'!K55</f>
        <v>0</v>
      </c>
      <c r="M14" s="84">
        <f>'FY17-18'!L55-'FY16-17'!L55</f>
        <v>125970574</v>
      </c>
      <c r="N14" s="54"/>
    </row>
    <row r="15" spans="1:14" s="32" customFormat="1" x14ac:dyDescent="0.25">
      <c r="A15" s="57" t="s">
        <v>98</v>
      </c>
      <c r="B15" s="58"/>
      <c r="C15" s="36">
        <f>'FY17-18'!D55</f>
        <v>1004440577</v>
      </c>
      <c r="D15" s="36">
        <f>'FY17-18'!E55</f>
        <v>151637910</v>
      </c>
      <c r="E15" s="36">
        <f>'FY17-18'!F55</f>
        <v>1156078487</v>
      </c>
      <c r="F15" s="81">
        <v>0</v>
      </c>
      <c r="G15" s="81">
        <f>'FY17-18'!G55</f>
        <v>23555601</v>
      </c>
      <c r="H15" s="36">
        <f t="shared" si="0"/>
        <v>23555601</v>
      </c>
      <c r="I15" s="36">
        <f>'FY17-18'!J55</f>
        <v>1457186211</v>
      </c>
      <c r="J15" s="81">
        <f>'FY17-18'!H55</f>
        <v>1383678522</v>
      </c>
      <c r="K15" s="81">
        <f>'FY17-18'!I55</f>
        <v>73507689</v>
      </c>
      <c r="L15" s="36">
        <f>'FY17-18'!K55</f>
        <v>79903497</v>
      </c>
      <c r="M15" s="36">
        <f>'FY17-18'!L55</f>
        <v>2716723796</v>
      </c>
      <c r="N15" s="72"/>
    </row>
    <row r="16" spans="1:14" s="32" customFormat="1" x14ac:dyDescent="0.25">
      <c r="A16" s="57" t="s">
        <v>65</v>
      </c>
      <c r="B16" s="58"/>
      <c r="C16" s="36">
        <f t="shared" ref="C16:M16" si="1">SUM(C6:C14)</f>
        <v>-472245230</v>
      </c>
      <c r="D16" s="36">
        <f t="shared" si="1"/>
        <v>13348632</v>
      </c>
      <c r="E16" s="36">
        <f t="shared" si="1"/>
        <v>-458896598</v>
      </c>
      <c r="F16" s="81">
        <f t="shared" si="1"/>
        <v>293192837</v>
      </c>
      <c r="G16" s="81">
        <f t="shared" si="1"/>
        <v>-694314444</v>
      </c>
      <c r="H16" s="36">
        <f t="shared" si="1"/>
        <v>-401121607</v>
      </c>
      <c r="I16" s="36">
        <f t="shared" si="1"/>
        <v>685207025</v>
      </c>
      <c r="J16" s="81">
        <f t="shared" si="1"/>
        <v>757029762</v>
      </c>
      <c r="K16" s="81">
        <f t="shared" si="1"/>
        <v>-71822737</v>
      </c>
      <c r="L16" s="36">
        <f t="shared" si="1"/>
        <v>-13189408</v>
      </c>
      <c r="M16" s="36">
        <f t="shared" si="1"/>
        <v>-188000588</v>
      </c>
      <c r="N16" s="72"/>
    </row>
    <row r="17" spans="1:14" s="32" customFormat="1" x14ac:dyDescent="0.25">
      <c r="A17" s="61" t="s">
        <v>66</v>
      </c>
      <c r="B17" s="62"/>
      <c r="C17" s="70">
        <f>C16/C5</f>
        <v>-0.31980075095283961</v>
      </c>
      <c r="D17" s="70">
        <f>D16/D5</f>
        <v>9.6526876074947768E-2</v>
      </c>
      <c r="E17" s="70">
        <f>E16/E5</f>
        <v>-0.28415088397478283</v>
      </c>
      <c r="F17" s="70"/>
      <c r="G17" s="70"/>
      <c r="H17" s="70">
        <f t="shared" ref="H17:M17" si="2">H16/H5</f>
        <v>-0.94453292864259386</v>
      </c>
      <c r="I17" s="70">
        <f t="shared" si="2"/>
        <v>0.8875977972286937</v>
      </c>
      <c r="J17" s="82">
        <f t="shared" si="2"/>
        <v>1.2080607356503825</v>
      </c>
      <c r="K17" s="82">
        <f t="shared" si="2"/>
        <v>-0.4942030308230157</v>
      </c>
      <c r="L17" s="70">
        <f t="shared" si="2"/>
        <v>-0.14168005606871975</v>
      </c>
      <c r="M17" s="70">
        <f t="shared" si="2"/>
        <v>-6.4722349919172223E-2</v>
      </c>
    </row>
    <row r="19" spans="1:14" s="32" customFormat="1" x14ac:dyDescent="0.25">
      <c r="A19" s="59"/>
      <c r="B19" s="63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4" s="32" customFormat="1" ht="30" x14ac:dyDescent="0.25">
      <c r="A20" s="67" t="s">
        <v>103</v>
      </c>
      <c r="B20" s="69"/>
      <c r="C20" s="68" t="s">
        <v>57</v>
      </c>
      <c r="D20" s="68" t="s">
        <v>58</v>
      </c>
      <c r="E20" s="66" t="s">
        <v>67</v>
      </c>
      <c r="F20" s="91" t="s">
        <v>80</v>
      </c>
      <c r="G20" s="91" t="s">
        <v>74</v>
      </c>
      <c r="H20" s="68" t="s">
        <v>59</v>
      </c>
      <c r="I20" s="68" t="s">
        <v>60</v>
      </c>
      <c r="J20" s="73" t="s">
        <v>88</v>
      </c>
      <c r="K20" s="73" t="s">
        <v>68</v>
      </c>
      <c r="L20" s="68" t="s">
        <v>61</v>
      </c>
      <c r="M20" s="68" t="s">
        <v>62</v>
      </c>
      <c r="N20" s="72"/>
    </row>
    <row r="21" spans="1:14" s="32" customFormat="1" x14ac:dyDescent="0.25">
      <c r="A21" s="86" t="s">
        <v>64</v>
      </c>
      <c r="B21" s="87"/>
      <c r="C21" s="88">
        <f>'FY08-09'!D56</f>
        <v>1433332760</v>
      </c>
      <c r="D21" s="88">
        <f>'FY08-09'!E56</f>
        <v>138250931</v>
      </c>
      <c r="E21" s="88">
        <f>C21+D21</f>
        <v>1571583691</v>
      </c>
      <c r="F21" s="89">
        <v>0</v>
      </c>
      <c r="G21" s="89">
        <f>'FY08-09'!G56</f>
        <v>110422653</v>
      </c>
      <c r="H21" s="88">
        <f>'FY08-09'!G56</f>
        <v>110422653</v>
      </c>
      <c r="I21" s="88">
        <f>'FY08-09'!J56</f>
        <v>721868856</v>
      </c>
      <c r="J21" s="89">
        <f>'FY08-09'!H56</f>
        <v>626648760</v>
      </c>
      <c r="K21" s="89">
        <f>'FY08-09'!I56</f>
        <v>95220096</v>
      </c>
      <c r="L21" s="88">
        <f>'FY08-09'!K56</f>
        <v>32153026</v>
      </c>
      <c r="M21" s="88">
        <f>'FY08-09'!L56</f>
        <v>2436028226</v>
      </c>
      <c r="N21" s="72"/>
    </row>
    <row r="22" spans="1:14" x14ac:dyDescent="0.25">
      <c r="A22" s="56" t="s">
        <v>81</v>
      </c>
      <c r="B22" s="55"/>
      <c r="C22" s="84">
        <f>'FY09-10'!D56-'FY08-09'!D56</f>
        <v>-360451671</v>
      </c>
      <c r="D22" s="84">
        <f>'FY09-10'!E56-'FY08-09'!E56</f>
        <v>-1586797</v>
      </c>
      <c r="E22" s="84">
        <f>'FY09-10'!F56-'FY08-09'!F56</f>
        <v>-362038468</v>
      </c>
      <c r="F22" s="85">
        <f>'FY09-10'!G56</f>
        <v>189700000</v>
      </c>
      <c r="G22" s="85">
        <f>'FY09-10'!H56-'FY08-09'!G56</f>
        <v>-12569244</v>
      </c>
      <c r="H22" s="84">
        <f t="shared" ref="H22:H31" si="3">F22+G22</f>
        <v>177130756</v>
      </c>
      <c r="I22" s="84">
        <f>'FY09-10'!L56-'FY08-09'!J56</f>
        <v>48349334</v>
      </c>
      <c r="J22" s="85">
        <f>'FY09-10'!J56-'FY08-09'!H56</f>
        <v>51208213</v>
      </c>
      <c r="K22" s="85">
        <f>'FY09-10'!K56-'FY08-09'!I56</f>
        <v>-2858879</v>
      </c>
      <c r="L22" s="90">
        <f>'FY09-10'!M56-'FY08-09'!K56</f>
        <v>3000000</v>
      </c>
      <c r="M22" s="90">
        <f>'FY09-10'!N56-'FY08-09'!L56</f>
        <v>-133558378</v>
      </c>
      <c r="N22" s="54"/>
    </row>
    <row r="23" spans="1:14" x14ac:dyDescent="0.25">
      <c r="A23" s="56" t="s">
        <v>82</v>
      </c>
      <c r="B23" s="55"/>
      <c r="C23" s="84">
        <f>'FY10-11'!D56-'FY09-10'!D56</f>
        <v>-191004342</v>
      </c>
      <c r="D23" s="84">
        <f>'FY10-11'!E56-'FY09-10'!E56</f>
        <v>-5754512</v>
      </c>
      <c r="E23" s="84">
        <f>'FY10-11'!F56-'FY09-10'!F56</f>
        <v>-196758854</v>
      </c>
      <c r="F23" s="85">
        <f>'FY10-11'!G56-'FY09-10'!G56</f>
        <v>103492837</v>
      </c>
      <c r="G23" s="85">
        <f>'FY10-11'!H56-'FY09-10'!H56</f>
        <v>-4485543</v>
      </c>
      <c r="H23" s="84">
        <f t="shared" si="3"/>
        <v>99007294</v>
      </c>
      <c r="I23" s="84">
        <f>'FY10-11'!L56-'FY09-10'!L56</f>
        <v>83748469</v>
      </c>
      <c r="J23" s="85">
        <f>'FY10-11'!J56-'FY09-10'!J56</f>
        <v>90167836</v>
      </c>
      <c r="K23" s="85">
        <f>'FY10-11'!K56-'FY09-10'!K56</f>
        <v>-6419367</v>
      </c>
      <c r="L23" s="90">
        <f>'FY10-11'!M56-'FY09-10'!M56</f>
        <v>10046265</v>
      </c>
      <c r="M23" s="90">
        <f>'FY10-11'!N56-'FY09-10'!N56</f>
        <v>-3956826</v>
      </c>
      <c r="N23" s="54"/>
    </row>
    <row r="24" spans="1:14" x14ac:dyDescent="0.25">
      <c r="A24" s="56" t="s">
        <v>83</v>
      </c>
      <c r="B24" s="55"/>
      <c r="C24" s="84">
        <f>'FY11-12'!D56-'FY10-11'!D56</f>
        <v>60375478</v>
      </c>
      <c r="D24" s="84">
        <f>'FY11-12'!E56-'FY10-11'!E56</f>
        <v>-6655518</v>
      </c>
      <c r="E24" s="84">
        <f>'FY11-12'!F56-'FY10-11'!F56</f>
        <v>53719960</v>
      </c>
      <c r="F24" s="85">
        <v>0</v>
      </c>
      <c r="G24" s="85">
        <f>'FY11-12'!G56-'FY10-11'!I56</f>
        <v>-301900759</v>
      </c>
      <c r="H24" s="84">
        <f t="shared" si="3"/>
        <v>-301900759</v>
      </c>
      <c r="I24" s="84">
        <f>'FY11-12'!J56-'FY10-11'!L56</f>
        <v>225755942</v>
      </c>
      <c r="J24" s="85">
        <f>'FY11-12'!H56-'FY10-11'!J56</f>
        <v>144517794</v>
      </c>
      <c r="K24" s="85">
        <f>'FY11-12'!I56-'FY10-11'!K56</f>
        <v>81238148</v>
      </c>
      <c r="L24" s="90">
        <f>'FY11-12'!K56-'FY10-11'!M56</f>
        <v>-9202724</v>
      </c>
      <c r="M24" s="90">
        <f>'FY11-12'!L56-'FY10-11'!N56</f>
        <v>-31627581</v>
      </c>
      <c r="N24" s="54"/>
    </row>
    <row r="25" spans="1:14" x14ac:dyDescent="0.25">
      <c r="A25" s="56" t="s">
        <v>84</v>
      </c>
      <c r="B25" s="55"/>
      <c r="C25" s="84">
        <f>'FY12-13'!D56-'FY11-12'!D56</f>
        <v>-119012942</v>
      </c>
      <c r="D25" s="84">
        <f>'FY12-13'!E56-'FY11-12'!E56</f>
        <v>-2017325</v>
      </c>
      <c r="E25" s="84">
        <f>'FY12-13'!F56-'FY11-12'!F56</f>
        <v>-121030267</v>
      </c>
      <c r="F25" s="85">
        <v>0</v>
      </c>
      <c r="G25" s="85">
        <f>'FY12-13'!G56-'FY11-12'!G56</f>
        <v>-7640909</v>
      </c>
      <c r="H25" s="84">
        <f t="shared" si="3"/>
        <v>-7640909</v>
      </c>
      <c r="I25" s="84">
        <f>'FY12-13'!J56-'FY11-12'!J56</f>
        <v>24094537</v>
      </c>
      <c r="J25" s="85">
        <f>'FY12-13'!H56-'FY11-12'!H56</f>
        <v>110922329</v>
      </c>
      <c r="K25" s="85">
        <f>'FY12-13'!I56-'FY11-12'!I56</f>
        <v>-86827792</v>
      </c>
      <c r="L25" s="90">
        <f>'FY12-13'!K56-'FY11-12'!K56</f>
        <v>274457</v>
      </c>
      <c r="M25" s="90">
        <f>'FY12-13'!L56-'FY11-12'!L56</f>
        <v>-104302182</v>
      </c>
      <c r="N25" s="54"/>
    </row>
    <row r="26" spans="1:14" x14ac:dyDescent="0.25">
      <c r="A26" s="56" t="s">
        <v>85</v>
      </c>
      <c r="B26" s="55"/>
      <c r="C26" s="84">
        <f>'FY13-14'!D56-'FY12-13'!D56</f>
        <v>-401066969</v>
      </c>
      <c r="D26" s="84">
        <f>'FY13-14'!E56-'FY12-13'!E56</f>
        <v>326516434</v>
      </c>
      <c r="E26" s="84">
        <f>'FY13-14'!F56-'FY12-13'!F56</f>
        <v>-74550535</v>
      </c>
      <c r="F26" s="85">
        <v>0</v>
      </c>
      <c r="G26" s="85">
        <f>'FY13-14'!G56-'FY12-13'!G56</f>
        <v>-63770417</v>
      </c>
      <c r="H26" s="84">
        <f t="shared" si="3"/>
        <v>-63770417</v>
      </c>
      <c r="I26" s="84">
        <f>'FY13-14'!J56-'FY12-13'!J56</f>
        <v>152137428</v>
      </c>
      <c r="J26" s="85">
        <f>'FY13-14'!H56-'FY12-13'!H56</f>
        <v>82758954</v>
      </c>
      <c r="K26" s="85">
        <f>'FY13-14'!I56-'FY12-13'!I56</f>
        <v>69378474</v>
      </c>
      <c r="L26" s="90">
        <f>'FY13-14'!K56-'FY12-13'!K56</f>
        <v>-2200000</v>
      </c>
      <c r="M26" s="90">
        <f>'FY13-14'!L56-'FY12-13'!L56</f>
        <v>11616476</v>
      </c>
      <c r="N26" s="54"/>
    </row>
    <row r="27" spans="1:14" x14ac:dyDescent="0.25">
      <c r="A27" s="56" t="s">
        <v>86</v>
      </c>
      <c r="B27" s="55"/>
      <c r="C27" s="84">
        <f>'FY14-15'!D56-'FY13-14'!D56</f>
        <v>316599063</v>
      </c>
      <c r="D27" s="84">
        <f>'FY14-15'!E56-'FY13-14'!E56</f>
        <v>-332735981</v>
      </c>
      <c r="E27" s="84">
        <f>'FY14-15'!F56-'FY13-14'!F56</f>
        <v>-16136918</v>
      </c>
      <c r="F27" s="85">
        <v>0</v>
      </c>
      <c r="G27" s="85">
        <f>'FY14-15'!G56-'FY13-14'!G56</f>
        <v>19825990</v>
      </c>
      <c r="H27" s="84">
        <f t="shared" si="3"/>
        <v>19825990</v>
      </c>
      <c r="I27" s="84">
        <f>'FY14-15'!J56-'FY13-14'!J56</f>
        <v>111697204</v>
      </c>
      <c r="J27" s="85">
        <f>'FY14-15'!H56-'FY13-14'!H56</f>
        <v>90586911</v>
      </c>
      <c r="K27" s="85">
        <f>'FY14-15'!I56-'FY13-14'!I56</f>
        <v>21110293</v>
      </c>
      <c r="L27" s="90">
        <f>'FY14-15'!K56-'FY13-14'!K56</f>
        <v>0</v>
      </c>
      <c r="M27" s="90">
        <f>'FY14-15'!L56-'FY13-14'!L56</f>
        <v>115386276</v>
      </c>
      <c r="N27" s="54"/>
    </row>
    <row r="28" spans="1:14" x14ac:dyDescent="0.25">
      <c r="A28" s="56" t="s">
        <v>87</v>
      </c>
      <c r="B28" s="55"/>
      <c r="C28" s="84">
        <f>'FY15-16'!D56-'FY14-15'!D56</f>
        <v>-317220286</v>
      </c>
      <c r="D28" s="84">
        <f>'FY15-16'!E56-'FY14-15'!E56</f>
        <v>350258897</v>
      </c>
      <c r="E28" s="84">
        <f>'FY15-16'!F56-'FY14-15'!F56</f>
        <v>33038611</v>
      </c>
      <c r="F28" s="85">
        <v>0</v>
      </c>
      <c r="G28" s="85">
        <f>'FY15-16'!G56-'FY14-15'!G56</f>
        <v>4045488</v>
      </c>
      <c r="H28" s="84">
        <f t="shared" si="3"/>
        <v>4045488</v>
      </c>
      <c r="I28" s="84">
        <f>'FY15-16'!J56-'FY14-15'!J56</f>
        <v>-41078516</v>
      </c>
      <c r="J28" s="85">
        <f>'FY15-16'!H56-'FY14-15'!H56</f>
        <v>54678253</v>
      </c>
      <c r="K28" s="85">
        <f>'FY15-16'!I56-'FY14-15'!I56</f>
        <v>-95756769</v>
      </c>
      <c r="L28" s="90">
        <f>'FY15-16'!K56-'FY14-15'!K56</f>
        <v>-3363873</v>
      </c>
      <c r="M28" s="90">
        <f>'FY15-16'!L56-'FY14-15'!L56</f>
        <v>-7358290</v>
      </c>
      <c r="N28" s="54"/>
    </row>
    <row r="29" spans="1:14" x14ac:dyDescent="0.25">
      <c r="A29" s="56" t="s">
        <v>91</v>
      </c>
      <c r="B29" s="55"/>
      <c r="C29" s="84">
        <f>'FY16-17'!D56-'FY15-16'!D56</f>
        <v>315521034</v>
      </c>
      <c r="D29" s="84">
        <f>'FY16-17'!E56-'FY15-16'!E56</f>
        <v>-351076236</v>
      </c>
      <c r="E29" s="84">
        <f>'FY16-17'!F56-'FY15-16'!F56</f>
        <v>-35555202</v>
      </c>
      <c r="F29" s="85">
        <v>0</v>
      </c>
      <c r="G29" s="85">
        <f>'FY16-17'!G56-'FY15-16'!G56</f>
        <v>-14429156</v>
      </c>
      <c r="H29" s="84">
        <f t="shared" si="3"/>
        <v>-14429156</v>
      </c>
      <c r="I29" s="84">
        <f>'FY16-17'!J56-'FY15-16'!J56</f>
        <v>62964991</v>
      </c>
      <c r="J29" s="85">
        <f>'FY16-17'!H56-'FY15-16'!H56</f>
        <v>74577261</v>
      </c>
      <c r="K29" s="85">
        <f>'FY16-17'!I56-'FY15-16'!I56</f>
        <v>-11612270</v>
      </c>
      <c r="L29" s="84">
        <f>'FY16-17'!K56-'FY15-16'!K56</f>
        <v>2172314</v>
      </c>
      <c r="M29" s="84">
        <f>'FY16-17'!L56-'FY15-16'!L56</f>
        <v>15152947</v>
      </c>
      <c r="N29" s="54"/>
    </row>
    <row r="30" spans="1:14" x14ac:dyDescent="0.25">
      <c r="A30" s="56" t="s">
        <v>96</v>
      </c>
      <c r="B30" s="55"/>
      <c r="C30" s="84">
        <f>'FY17-18'!D56-'FY16-17'!D56</f>
        <v>937203</v>
      </c>
      <c r="D30" s="84">
        <f>'FY17-18'!E56-'FY16-17'!E56</f>
        <v>-21520217</v>
      </c>
      <c r="E30" s="84">
        <f>'FY17-18'!F56-'FY16-17'!F56</f>
        <v>-20583014</v>
      </c>
      <c r="F30" s="85">
        <v>0</v>
      </c>
      <c r="G30" s="85">
        <f>'FY17-18'!G56-'FY16-17'!G56</f>
        <v>193663</v>
      </c>
      <c r="H30" s="105">
        <f t="shared" si="3"/>
        <v>193663</v>
      </c>
      <c r="I30" s="84">
        <f>'FY17-18'!J56-'FY16-17'!J56</f>
        <v>67555216</v>
      </c>
      <c r="J30" s="85">
        <f>'FY17-18'!H56-'FY16-17'!H56</f>
        <v>57612211</v>
      </c>
      <c r="K30" s="85">
        <f>'FY17-18'!I56-'FY16-17'!I56</f>
        <v>9943005</v>
      </c>
      <c r="L30" s="84">
        <f>'FY17-18'!K56-'FY16-17'!K56</f>
        <v>0</v>
      </c>
      <c r="M30" s="84">
        <f>'FY17-18'!L56-'FY16-17'!L56</f>
        <v>47165865</v>
      </c>
      <c r="N30" s="54"/>
    </row>
    <row r="31" spans="1:14" s="32" customFormat="1" x14ac:dyDescent="0.25">
      <c r="A31" s="57" t="s">
        <v>99</v>
      </c>
      <c r="B31" s="58"/>
      <c r="C31" s="36">
        <f>'FY17-18'!D56</f>
        <v>738009328</v>
      </c>
      <c r="D31" s="36">
        <f>'FY17-18'!E56</f>
        <v>93679676</v>
      </c>
      <c r="E31" s="36">
        <f>'FY17-18'!F56</f>
        <v>831689004</v>
      </c>
      <c r="F31" s="81">
        <v>0</v>
      </c>
      <c r="G31" s="81">
        <f>'FY17-18'!G56</f>
        <v>22884603</v>
      </c>
      <c r="H31" s="36">
        <f t="shared" si="3"/>
        <v>22884603</v>
      </c>
      <c r="I31" s="36">
        <f>'FY17-18'!J56</f>
        <v>1457093461</v>
      </c>
      <c r="J31" s="81">
        <f>'FY17-18'!H56</f>
        <v>1383678522</v>
      </c>
      <c r="K31" s="81">
        <f>'FY17-18'!I56</f>
        <v>73414939</v>
      </c>
      <c r="L31" s="36">
        <f>'FY17-18'!K56</f>
        <v>32879465</v>
      </c>
      <c r="M31" s="36">
        <f>'FY17-18'!L56</f>
        <v>2344546533</v>
      </c>
      <c r="N31" s="72"/>
    </row>
    <row r="32" spans="1:14" s="32" customFormat="1" x14ac:dyDescent="0.25">
      <c r="A32" s="57" t="s">
        <v>65</v>
      </c>
      <c r="B32" s="58"/>
      <c r="C32" s="36">
        <f t="shared" ref="C32:M32" si="4">SUM(C22:C30)</f>
        <v>-695323432</v>
      </c>
      <c r="D32" s="36">
        <f t="shared" si="4"/>
        <v>-44571255</v>
      </c>
      <c r="E32" s="36">
        <f t="shared" si="4"/>
        <v>-739894687</v>
      </c>
      <c r="F32" s="81">
        <f t="shared" si="4"/>
        <v>293192837</v>
      </c>
      <c r="G32" s="81">
        <f t="shared" si="4"/>
        <v>-380730887</v>
      </c>
      <c r="H32" s="36">
        <f t="shared" si="4"/>
        <v>-87538050</v>
      </c>
      <c r="I32" s="36">
        <f t="shared" si="4"/>
        <v>735224605</v>
      </c>
      <c r="J32" s="81">
        <f t="shared" si="4"/>
        <v>757029762</v>
      </c>
      <c r="K32" s="81">
        <f t="shared" si="4"/>
        <v>-21805157</v>
      </c>
      <c r="L32" s="36">
        <f t="shared" si="4"/>
        <v>726439</v>
      </c>
      <c r="M32" s="36">
        <f t="shared" si="4"/>
        <v>-91481693</v>
      </c>
      <c r="N32" s="72"/>
    </row>
    <row r="33" spans="1:13" s="32" customFormat="1" x14ac:dyDescent="0.25">
      <c r="A33" s="61" t="s">
        <v>66</v>
      </c>
      <c r="B33" s="62"/>
      <c r="C33" s="70">
        <f>C32/C21</f>
        <v>-0.4851095652066168</v>
      </c>
      <c r="D33" s="70">
        <f>D32/D21</f>
        <v>-0.32239388680861758</v>
      </c>
      <c r="E33" s="70">
        <f>E32/E21</f>
        <v>-0.47079560015617394</v>
      </c>
      <c r="F33" s="70"/>
      <c r="G33" s="70"/>
      <c r="H33" s="70">
        <f t="shared" ref="H33:M33" si="5">H32/H21</f>
        <v>-0.79275445410644141</v>
      </c>
      <c r="I33" s="70">
        <f t="shared" si="5"/>
        <v>1.0185016279466697</v>
      </c>
      <c r="J33" s="82">
        <f t="shared" si="5"/>
        <v>1.2080607356503825</v>
      </c>
      <c r="K33" s="82">
        <f t="shared" si="5"/>
        <v>-0.22899742718175795</v>
      </c>
      <c r="L33" s="70">
        <f t="shared" si="5"/>
        <v>2.2593176766628434E-2</v>
      </c>
      <c r="M33" s="70">
        <f t="shared" si="5"/>
        <v>-3.7553626030932534E-2</v>
      </c>
    </row>
    <row r="52" spans="4:5" x14ac:dyDescent="0.25">
      <c r="D52" s="64"/>
      <c r="E52" s="64"/>
    </row>
  </sheetData>
  <pageMargins left="0.25" right="0.25" top="0.75" bottom="0.75" header="0.3" footer="0.3"/>
  <pageSetup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E3F5-275D-4421-B31D-970FCAE0CE5E}">
  <sheetPr>
    <pageSetUpPr fitToPage="1"/>
  </sheetPr>
  <dimension ref="A1:O80"/>
  <sheetViews>
    <sheetView workbookViewId="0">
      <pane xSplit="3" ySplit="8" topLeftCell="D36" activePane="bottomRight" state="frozen"/>
      <selection pane="topRight" activeCell="D1" sqref="D1"/>
      <selection pane="bottomLeft" activeCell="A9" sqref="A9"/>
      <selection pane="bottomRight" activeCell="L57" sqref="L57"/>
    </sheetView>
  </sheetViews>
  <sheetFormatPr defaultRowHeight="15" x14ac:dyDescent="0.25"/>
  <cols>
    <col min="2" max="2" width="22.85546875" customWidth="1"/>
    <col min="3" max="3" width="1.42578125" customWidth="1"/>
    <col min="4" max="5" width="15.28515625" customWidth="1"/>
    <col min="6" max="6" width="16.28515625" style="25" customWidth="1"/>
    <col min="7" max="7" width="15.28515625" customWidth="1"/>
    <col min="8" max="8" width="16.28515625" customWidth="1"/>
    <col min="9" max="9" width="15.28515625" customWidth="1"/>
    <col min="10" max="10" width="16.28515625" style="109" customWidth="1"/>
    <col min="11" max="11" width="15.28515625" customWidth="1"/>
    <col min="12" max="12" width="16.28515625" style="25" customWidth="1"/>
    <col min="13" max="13" width="1.42578125" customWidth="1"/>
    <col min="15" max="15" width="13.7109375" bestFit="1" customWidth="1"/>
  </cols>
  <sheetData>
    <row r="1" spans="1:13" s="99" customFormat="1" ht="18.75" x14ac:dyDescent="0.3">
      <c r="A1" s="99" t="s">
        <v>94</v>
      </c>
      <c r="F1" s="100"/>
      <c r="J1" s="108"/>
      <c r="L1" s="100"/>
    </row>
    <row r="2" spans="1:13" s="99" customFormat="1" ht="18.75" x14ac:dyDescent="0.3">
      <c r="A2" s="101" t="s">
        <v>111</v>
      </c>
      <c r="B2" s="101"/>
      <c r="C2" s="101"/>
      <c r="D2" s="100"/>
      <c r="E2" s="100"/>
      <c r="F2" s="100"/>
      <c r="G2" s="100"/>
      <c r="H2" s="100"/>
      <c r="I2" s="100"/>
      <c r="J2" s="108"/>
      <c r="K2" s="100"/>
      <c r="L2" s="100"/>
      <c r="M2" s="101"/>
    </row>
    <row r="3" spans="1:13" s="99" customFormat="1" ht="18.75" x14ac:dyDescent="0.3">
      <c r="A3" s="114"/>
      <c r="B3" s="101"/>
      <c r="C3" s="101"/>
      <c r="D3" s="100"/>
      <c r="E3" s="100"/>
      <c r="F3" s="100"/>
      <c r="G3" s="100"/>
      <c r="H3" s="100"/>
      <c r="I3" s="100"/>
      <c r="J3" s="108"/>
      <c r="K3" s="100"/>
      <c r="L3" s="100"/>
      <c r="M3" s="101"/>
    </row>
    <row r="4" spans="1:13" x14ac:dyDescent="0.25">
      <c r="A4" s="1"/>
      <c r="B4" s="2"/>
      <c r="C4" s="9"/>
      <c r="D4" s="25"/>
      <c r="E4" s="25"/>
      <c r="G4" s="25"/>
      <c r="H4" s="25"/>
      <c r="I4" s="25"/>
      <c r="K4" s="25"/>
      <c r="M4" s="9"/>
    </row>
    <row r="5" spans="1:13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59</v>
      </c>
      <c r="H5" s="73" t="s">
        <v>88</v>
      </c>
      <c r="I5" s="73" t="s">
        <v>68</v>
      </c>
      <c r="J5" s="110" t="s">
        <v>60</v>
      </c>
      <c r="K5" s="26" t="s">
        <v>61</v>
      </c>
      <c r="L5" s="26" t="s">
        <v>62</v>
      </c>
      <c r="M5" s="4"/>
    </row>
    <row r="6" spans="1:13" s="32" customFormat="1" x14ac:dyDescent="0.25">
      <c r="A6" s="47" t="s">
        <v>2</v>
      </c>
      <c r="B6" s="47" t="s">
        <v>3</v>
      </c>
      <c r="C6" s="48"/>
      <c r="D6" s="83">
        <v>15572006</v>
      </c>
      <c r="E6" s="83">
        <v>22772000</v>
      </c>
      <c r="F6" s="83">
        <f>D6+E6</f>
        <v>38344006</v>
      </c>
      <c r="G6" s="83">
        <v>5781216</v>
      </c>
      <c r="H6" s="74">
        <v>0</v>
      </c>
      <c r="I6" s="74">
        <v>2730299</v>
      </c>
      <c r="J6" s="111">
        <f>H6+I6</f>
        <v>2730299</v>
      </c>
      <c r="K6" s="83">
        <v>12172314</v>
      </c>
      <c r="L6" s="83">
        <f t="shared" ref="L6:L21" si="0">F6+G6+J6+K6</f>
        <v>59027835</v>
      </c>
      <c r="M6" s="48"/>
    </row>
    <row r="7" spans="1:13" s="32" customFormat="1" x14ac:dyDescent="0.25">
      <c r="A7" s="49" t="s">
        <v>4</v>
      </c>
      <c r="B7" s="49" t="s">
        <v>4</v>
      </c>
      <c r="C7" s="50"/>
      <c r="D7" s="43">
        <v>292966113</v>
      </c>
      <c r="E7" s="44">
        <v>59462426</v>
      </c>
      <c r="F7" s="83">
        <f>D7+E7</f>
        <v>352428539</v>
      </c>
      <c r="G7" s="44">
        <v>670998</v>
      </c>
      <c r="H7" s="75">
        <v>0</v>
      </c>
      <c r="I7" s="75">
        <v>0</v>
      </c>
      <c r="J7" s="111">
        <f>H7+I7</f>
        <v>0</v>
      </c>
      <c r="K7" s="44">
        <v>37338331</v>
      </c>
      <c r="L7" s="83">
        <f t="shared" si="0"/>
        <v>390437868</v>
      </c>
      <c r="M7" s="50"/>
    </row>
    <row r="8" spans="1:13" s="32" customFormat="1" x14ac:dyDescent="0.25">
      <c r="A8" s="51" t="s">
        <v>5</v>
      </c>
      <c r="B8" s="51" t="s">
        <v>5</v>
      </c>
      <c r="C8" s="52"/>
      <c r="D8" s="45">
        <v>2277892</v>
      </c>
      <c r="E8" s="46">
        <v>38636</v>
      </c>
      <c r="F8" s="83">
        <f>D8+E8</f>
        <v>2316528</v>
      </c>
      <c r="G8" s="46">
        <v>375000</v>
      </c>
      <c r="H8" s="76">
        <v>0</v>
      </c>
      <c r="I8" s="76">
        <v>9100000</v>
      </c>
      <c r="J8" s="111">
        <f>H8+I8</f>
        <v>9100000</v>
      </c>
      <c r="K8" s="46">
        <v>4034667</v>
      </c>
      <c r="L8" s="83">
        <f t="shared" si="0"/>
        <v>15826195</v>
      </c>
      <c r="M8" s="52"/>
    </row>
    <row r="9" spans="1:13" x14ac:dyDescent="0.25">
      <c r="A9" s="16" t="s">
        <v>6</v>
      </c>
      <c r="B9" s="16" t="s">
        <v>7</v>
      </c>
      <c r="C9" s="3"/>
      <c r="D9" s="27">
        <v>14555798</v>
      </c>
      <c r="E9" s="28">
        <v>745816</v>
      </c>
      <c r="F9" s="28">
        <f>D9+E9</f>
        <v>15301614</v>
      </c>
      <c r="G9" s="28">
        <v>0</v>
      </c>
      <c r="H9" s="77">
        <v>22281875</v>
      </c>
      <c r="I9" s="77">
        <v>618125</v>
      </c>
      <c r="J9" s="107">
        <f>H9+I9</f>
        <v>22900000</v>
      </c>
      <c r="K9" s="28">
        <v>0</v>
      </c>
      <c r="L9" s="28">
        <f t="shared" si="0"/>
        <v>38201614</v>
      </c>
      <c r="M9" s="3"/>
    </row>
    <row r="10" spans="1:13" x14ac:dyDescent="0.25">
      <c r="A10" s="15"/>
      <c r="B10" s="16" t="s">
        <v>8</v>
      </c>
      <c r="C10" s="3"/>
      <c r="D10" s="27">
        <v>11125544</v>
      </c>
      <c r="E10" s="28">
        <v>378322</v>
      </c>
      <c r="F10" s="28">
        <f>D10+E10</f>
        <v>11503866</v>
      </c>
      <c r="G10" s="28">
        <v>0</v>
      </c>
      <c r="H10" s="77">
        <v>21500000</v>
      </c>
      <c r="I10" s="77">
        <v>0</v>
      </c>
      <c r="J10" s="107">
        <f t="shared" ref="J10:J22" si="1">H10+I10</f>
        <v>21500000</v>
      </c>
      <c r="K10" s="28">
        <v>0</v>
      </c>
      <c r="L10" s="28">
        <f t="shared" si="0"/>
        <v>33003866</v>
      </c>
      <c r="M10" s="3"/>
    </row>
    <row r="11" spans="1:13" x14ac:dyDescent="0.25">
      <c r="A11" s="15"/>
      <c r="B11" s="16" t="s">
        <v>9</v>
      </c>
      <c r="C11" s="3"/>
      <c r="D11" s="106">
        <v>5194365</v>
      </c>
      <c r="E11" s="28">
        <v>316072</v>
      </c>
      <c r="F11" s="28">
        <f t="shared" ref="F11:F22" si="2">D11+E11</f>
        <v>5510437</v>
      </c>
      <c r="G11" s="28">
        <v>0</v>
      </c>
      <c r="H11" s="77">
        <v>5310000</v>
      </c>
      <c r="I11" s="77">
        <v>40000</v>
      </c>
      <c r="J11" s="107">
        <f t="shared" si="1"/>
        <v>5350000</v>
      </c>
      <c r="K11" s="28">
        <v>0</v>
      </c>
      <c r="L11" s="28">
        <f t="shared" si="0"/>
        <v>10860437</v>
      </c>
      <c r="M11" s="3"/>
    </row>
    <row r="12" spans="1:13" x14ac:dyDescent="0.25">
      <c r="A12" s="15"/>
      <c r="B12" s="16" t="s">
        <v>10</v>
      </c>
      <c r="C12" s="3"/>
      <c r="D12" s="27">
        <v>25605735</v>
      </c>
      <c r="E12" s="28">
        <v>1621434</v>
      </c>
      <c r="F12" s="28">
        <f t="shared" si="2"/>
        <v>27227169</v>
      </c>
      <c r="G12" s="28">
        <v>0</v>
      </c>
      <c r="H12" s="77">
        <v>48964679.710000001</v>
      </c>
      <c r="I12" s="77">
        <v>1035320.29</v>
      </c>
      <c r="J12" s="107">
        <f t="shared" si="1"/>
        <v>50000000</v>
      </c>
      <c r="K12" s="28">
        <v>0</v>
      </c>
      <c r="L12" s="28">
        <f t="shared" si="0"/>
        <v>77227169</v>
      </c>
      <c r="M12" s="3"/>
    </row>
    <row r="13" spans="1:13" x14ac:dyDescent="0.25">
      <c r="A13" s="15"/>
      <c r="B13" s="16" t="s">
        <v>11</v>
      </c>
      <c r="C13" s="3"/>
      <c r="D13" s="106">
        <v>4430605</v>
      </c>
      <c r="E13" s="28">
        <v>445358</v>
      </c>
      <c r="F13" s="28">
        <f t="shared" si="2"/>
        <v>4875963</v>
      </c>
      <c r="G13" s="28">
        <v>0</v>
      </c>
      <c r="H13" s="77">
        <v>6732000</v>
      </c>
      <c r="I13" s="77">
        <v>173000</v>
      </c>
      <c r="J13" s="107">
        <f t="shared" si="1"/>
        <v>6905000</v>
      </c>
      <c r="K13" s="28">
        <v>0</v>
      </c>
      <c r="L13" s="28">
        <f t="shared" si="0"/>
        <v>11780963</v>
      </c>
      <c r="M13" s="3"/>
    </row>
    <row r="14" spans="1:13" x14ac:dyDescent="0.25">
      <c r="A14" s="15"/>
      <c r="B14" s="16" t="s">
        <v>12</v>
      </c>
      <c r="C14" s="3"/>
      <c r="D14" s="27">
        <v>7149749</v>
      </c>
      <c r="E14" s="28">
        <v>12000000</v>
      </c>
      <c r="F14" s="28">
        <f t="shared" si="2"/>
        <v>19149749</v>
      </c>
      <c r="G14" s="28">
        <v>0</v>
      </c>
      <c r="H14" s="77">
        <v>0</v>
      </c>
      <c r="I14" s="77">
        <v>0</v>
      </c>
      <c r="J14" s="107">
        <f>H14+I14</f>
        <v>0</v>
      </c>
      <c r="K14" s="28">
        <v>0</v>
      </c>
      <c r="L14" s="28">
        <f t="shared" si="0"/>
        <v>19149749</v>
      </c>
      <c r="M14" s="3"/>
    </row>
    <row r="15" spans="1:13" x14ac:dyDescent="0.25">
      <c r="A15" s="15"/>
      <c r="B15" s="16" t="s">
        <v>13</v>
      </c>
      <c r="C15" s="3"/>
      <c r="D15" s="27">
        <v>1286145</v>
      </c>
      <c r="E15" s="28">
        <v>0</v>
      </c>
      <c r="F15" s="28">
        <f t="shared" si="2"/>
        <v>1286145</v>
      </c>
      <c r="G15" s="28">
        <v>0</v>
      </c>
      <c r="H15" s="77">
        <v>0</v>
      </c>
      <c r="I15" s="77">
        <v>0</v>
      </c>
      <c r="J15" s="107">
        <f t="shared" si="1"/>
        <v>0</v>
      </c>
      <c r="K15" s="28">
        <v>0</v>
      </c>
      <c r="L15" s="28">
        <f t="shared" si="0"/>
        <v>1286145</v>
      </c>
      <c r="M15" s="3"/>
    </row>
    <row r="16" spans="1:13" x14ac:dyDescent="0.25">
      <c r="A16" s="15"/>
      <c r="B16" s="16" t="s">
        <v>14</v>
      </c>
      <c r="C16" s="3"/>
      <c r="D16" s="27">
        <v>7295108</v>
      </c>
      <c r="E16" s="28">
        <v>1222726</v>
      </c>
      <c r="F16" s="28">
        <f t="shared" si="2"/>
        <v>8517834</v>
      </c>
      <c r="G16" s="28">
        <v>0</v>
      </c>
      <c r="H16" s="77">
        <v>10348082</v>
      </c>
      <c r="I16" s="77">
        <v>21918</v>
      </c>
      <c r="J16" s="107">
        <f t="shared" si="1"/>
        <v>10370000</v>
      </c>
      <c r="K16" s="28">
        <v>0</v>
      </c>
      <c r="L16" s="28">
        <f t="shared" si="0"/>
        <v>18887834</v>
      </c>
      <c r="M16" s="3"/>
    </row>
    <row r="17" spans="1:13" x14ac:dyDescent="0.25">
      <c r="A17" s="15"/>
      <c r="B17" s="16" t="s">
        <v>15</v>
      </c>
      <c r="C17" s="3"/>
      <c r="D17" s="106">
        <v>4040293</v>
      </c>
      <c r="E17" s="28">
        <v>217783</v>
      </c>
      <c r="F17" s="28">
        <f t="shared" si="2"/>
        <v>4258076</v>
      </c>
      <c r="G17" s="28">
        <v>0</v>
      </c>
      <c r="H17" s="77">
        <v>2680000</v>
      </c>
      <c r="I17" s="77">
        <v>50000</v>
      </c>
      <c r="J17" s="107">
        <f t="shared" si="1"/>
        <v>2730000</v>
      </c>
      <c r="K17" s="28">
        <v>0</v>
      </c>
      <c r="L17" s="28">
        <f t="shared" si="0"/>
        <v>6988076</v>
      </c>
      <c r="M17" s="3"/>
    </row>
    <row r="18" spans="1:13" x14ac:dyDescent="0.25">
      <c r="A18" s="15"/>
      <c r="B18" s="16" t="s">
        <v>16</v>
      </c>
      <c r="C18" s="3"/>
      <c r="D18" s="27">
        <v>4092004</v>
      </c>
      <c r="E18" s="28">
        <v>145966</v>
      </c>
      <c r="F18" s="28">
        <f t="shared" si="2"/>
        <v>4237970</v>
      </c>
      <c r="G18" s="28">
        <v>0</v>
      </c>
      <c r="H18" s="77">
        <v>6095000</v>
      </c>
      <c r="I18" s="77">
        <v>105000</v>
      </c>
      <c r="J18" s="107">
        <f t="shared" si="1"/>
        <v>6200000</v>
      </c>
      <c r="K18" s="28">
        <v>0</v>
      </c>
      <c r="L18" s="28">
        <f t="shared" si="0"/>
        <v>10437970</v>
      </c>
      <c r="M18" s="3"/>
    </row>
    <row r="19" spans="1:13" x14ac:dyDescent="0.25">
      <c r="A19" s="15"/>
      <c r="B19" s="16" t="s">
        <v>17</v>
      </c>
      <c r="C19" s="3"/>
      <c r="D19" s="27">
        <v>6085483</v>
      </c>
      <c r="E19" s="28">
        <v>223816</v>
      </c>
      <c r="F19" s="28">
        <f t="shared" si="2"/>
        <v>6309299</v>
      </c>
      <c r="G19" s="28">
        <v>0</v>
      </c>
      <c r="H19" s="77">
        <v>9790000</v>
      </c>
      <c r="I19" s="77">
        <v>0</v>
      </c>
      <c r="J19" s="107">
        <f t="shared" si="1"/>
        <v>9790000</v>
      </c>
      <c r="K19" s="28">
        <v>0</v>
      </c>
      <c r="L19" s="28">
        <f t="shared" si="0"/>
        <v>16099299</v>
      </c>
      <c r="M19" s="3"/>
    </row>
    <row r="20" spans="1:13" x14ac:dyDescent="0.25">
      <c r="A20" s="15"/>
      <c r="B20" s="16" t="s">
        <v>18</v>
      </c>
      <c r="C20" s="3"/>
      <c r="D20" s="106">
        <v>5899268</v>
      </c>
      <c r="E20" s="28">
        <v>240843</v>
      </c>
      <c r="F20" s="28">
        <f t="shared" si="2"/>
        <v>6140111</v>
      </c>
      <c r="G20" s="28">
        <v>0</v>
      </c>
      <c r="H20" s="77">
        <v>8455000</v>
      </c>
      <c r="I20" s="77">
        <v>300000</v>
      </c>
      <c r="J20" s="107">
        <f t="shared" si="1"/>
        <v>8755000</v>
      </c>
      <c r="K20" s="28">
        <v>0</v>
      </c>
      <c r="L20" s="28">
        <f t="shared" si="0"/>
        <v>14895111</v>
      </c>
      <c r="M20" s="3"/>
    </row>
    <row r="21" spans="1:13" x14ac:dyDescent="0.25">
      <c r="A21" s="15"/>
      <c r="B21" s="16" t="s">
        <v>19</v>
      </c>
      <c r="C21" s="3"/>
      <c r="D21" s="106">
        <v>13958457</v>
      </c>
      <c r="E21" s="28">
        <v>745685</v>
      </c>
      <c r="F21" s="28">
        <f t="shared" si="2"/>
        <v>14704142</v>
      </c>
      <c r="G21" s="28">
        <v>0</v>
      </c>
      <c r="H21" s="77">
        <v>18250000</v>
      </c>
      <c r="I21" s="77">
        <v>0</v>
      </c>
      <c r="J21" s="107">
        <f t="shared" si="1"/>
        <v>18250000</v>
      </c>
      <c r="K21" s="28">
        <v>0</v>
      </c>
      <c r="L21" s="28">
        <f t="shared" si="0"/>
        <v>32954142</v>
      </c>
      <c r="M21" s="3"/>
    </row>
    <row r="22" spans="1:13" x14ac:dyDescent="0.25">
      <c r="A22" s="15"/>
      <c r="B22" s="16" t="s">
        <v>20</v>
      </c>
      <c r="C22" s="3"/>
      <c r="D22" s="106">
        <v>9152491</v>
      </c>
      <c r="E22" s="28">
        <v>968484</v>
      </c>
      <c r="F22" s="28">
        <f t="shared" si="2"/>
        <v>10120975</v>
      </c>
      <c r="G22" s="28">
        <v>0</v>
      </c>
      <c r="H22" s="77">
        <v>9746000</v>
      </c>
      <c r="I22" s="77">
        <v>154000</v>
      </c>
      <c r="J22" s="107">
        <f t="shared" si="1"/>
        <v>9900000</v>
      </c>
      <c r="K22" s="28">
        <v>0</v>
      </c>
      <c r="L22" s="28">
        <f>F22+G22+J22+K22</f>
        <v>20020975</v>
      </c>
      <c r="M22" s="3"/>
    </row>
    <row r="23" spans="1:13" x14ac:dyDescent="0.25">
      <c r="A23" s="17" t="s">
        <v>21</v>
      </c>
      <c r="B23" s="18"/>
      <c r="C23" s="6"/>
      <c r="D23" s="83">
        <f t="shared" ref="D23:K23" si="3">SUM(D9:D22)</f>
        <v>119871045</v>
      </c>
      <c r="E23" s="83">
        <f t="shared" si="3"/>
        <v>19272305</v>
      </c>
      <c r="F23" s="83">
        <f t="shared" si="3"/>
        <v>139143350</v>
      </c>
      <c r="G23" s="83">
        <f t="shared" si="3"/>
        <v>0</v>
      </c>
      <c r="H23" s="74">
        <f>SUM(H9:H22)</f>
        <v>170152636.71000001</v>
      </c>
      <c r="I23" s="74">
        <f>SUM(I9:I22)</f>
        <v>2497363.29</v>
      </c>
      <c r="J23" s="111">
        <f t="shared" si="3"/>
        <v>172650000</v>
      </c>
      <c r="K23" s="83">
        <f t="shared" si="3"/>
        <v>0</v>
      </c>
      <c r="L23" s="83">
        <f>F23+G23+J23+K23</f>
        <v>311793350</v>
      </c>
      <c r="M23" s="6"/>
    </row>
    <row r="24" spans="1:13" x14ac:dyDescent="0.25">
      <c r="A24" s="14" t="s">
        <v>22</v>
      </c>
      <c r="B24" s="14" t="s">
        <v>23</v>
      </c>
      <c r="C24" s="3"/>
      <c r="D24" s="27">
        <v>0</v>
      </c>
      <c r="E24" s="28">
        <v>0</v>
      </c>
      <c r="F24" s="28">
        <f t="shared" ref="F24:F35" si="4">D24+E24</f>
        <v>0</v>
      </c>
      <c r="G24" s="28">
        <v>0</v>
      </c>
      <c r="H24" s="77">
        <v>0</v>
      </c>
      <c r="I24" s="77">
        <v>0</v>
      </c>
      <c r="J24" s="107">
        <f>H24+I24</f>
        <v>0</v>
      </c>
      <c r="K24" s="28">
        <v>0</v>
      </c>
      <c r="L24" s="28">
        <f t="shared" ref="L24:L35" si="5">F24+G24+J24+K24</f>
        <v>0</v>
      </c>
      <c r="M24" s="3"/>
    </row>
    <row r="25" spans="1:13" x14ac:dyDescent="0.25">
      <c r="A25" s="15"/>
      <c r="B25" s="16" t="s">
        <v>24</v>
      </c>
      <c r="C25" s="3"/>
      <c r="D25" s="27">
        <v>0</v>
      </c>
      <c r="E25" s="28">
        <v>0</v>
      </c>
      <c r="F25" s="28">
        <f t="shared" si="4"/>
        <v>0</v>
      </c>
      <c r="G25" s="28">
        <v>0</v>
      </c>
      <c r="H25" s="77">
        <v>0</v>
      </c>
      <c r="I25" s="77">
        <v>0</v>
      </c>
      <c r="J25" s="107">
        <f t="shared" ref="J25:J34" si="6">H25+I25</f>
        <v>0</v>
      </c>
      <c r="K25" s="28">
        <v>0</v>
      </c>
      <c r="L25" s="28">
        <f t="shared" si="5"/>
        <v>0</v>
      </c>
      <c r="M25" s="3"/>
    </row>
    <row r="26" spans="1:13" x14ac:dyDescent="0.25">
      <c r="A26" s="15"/>
      <c r="B26" s="16" t="s">
        <v>25</v>
      </c>
      <c r="C26" s="3"/>
      <c r="D26" s="27">
        <v>71962337</v>
      </c>
      <c r="E26" s="107">
        <v>4259625</v>
      </c>
      <c r="F26" s="28">
        <f t="shared" si="4"/>
        <v>76221962</v>
      </c>
      <c r="G26" s="28">
        <v>0</v>
      </c>
      <c r="H26" s="77">
        <v>0</v>
      </c>
      <c r="I26" s="77">
        <v>6807967</v>
      </c>
      <c r="J26" s="107">
        <f t="shared" si="6"/>
        <v>6807967</v>
      </c>
      <c r="K26" s="28">
        <v>13018275</v>
      </c>
      <c r="L26" s="28">
        <f t="shared" si="5"/>
        <v>96048204</v>
      </c>
      <c r="M26" s="3"/>
    </row>
    <row r="27" spans="1:13" x14ac:dyDescent="0.25">
      <c r="A27" s="15"/>
      <c r="B27" s="16" t="s">
        <v>26</v>
      </c>
      <c r="C27" s="3"/>
      <c r="D27" s="27">
        <v>5100153</v>
      </c>
      <c r="E27" s="28">
        <v>267407</v>
      </c>
      <c r="F27" s="28">
        <f t="shared" si="4"/>
        <v>5367560</v>
      </c>
      <c r="G27" s="28">
        <v>0</v>
      </c>
      <c r="H27" s="77">
        <v>16574127</v>
      </c>
      <c r="I27" s="77">
        <v>67000</v>
      </c>
      <c r="J27" s="107">
        <f t="shared" si="6"/>
        <v>16641127</v>
      </c>
      <c r="K27" s="28">
        <v>0</v>
      </c>
      <c r="L27" s="28">
        <f t="shared" si="5"/>
        <v>22008687</v>
      </c>
      <c r="M27" s="3"/>
    </row>
    <row r="28" spans="1:13" x14ac:dyDescent="0.25">
      <c r="A28" s="15"/>
      <c r="B28" s="16" t="s">
        <v>27</v>
      </c>
      <c r="C28" s="3"/>
      <c r="D28" s="27">
        <v>115968824</v>
      </c>
      <c r="E28" s="28">
        <v>12953548</v>
      </c>
      <c r="F28" s="28">
        <f t="shared" si="4"/>
        <v>128922372</v>
      </c>
      <c r="G28" s="28">
        <v>7614116</v>
      </c>
      <c r="H28" s="77">
        <v>407965386</v>
      </c>
      <c r="I28" s="77">
        <v>17651330</v>
      </c>
      <c r="J28" s="107">
        <f t="shared" si="6"/>
        <v>425616716</v>
      </c>
      <c r="K28" s="28">
        <v>0</v>
      </c>
      <c r="L28" s="28">
        <f t="shared" si="5"/>
        <v>562153204</v>
      </c>
      <c r="M28" s="3"/>
    </row>
    <row r="29" spans="1:13" x14ac:dyDescent="0.25">
      <c r="A29" s="15"/>
      <c r="B29" s="16" t="s">
        <v>28</v>
      </c>
      <c r="C29" s="3"/>
      <c r="D29" s="27">
        <v>0</v>
      </c>
      <c r="E29" s="28">
        <v>0</v>
      </c>
      <c r="F29" s="28">
        <f t="shared" si="4"/>
        <v>0</v>
      </c>
      <c r="G29" s="28">
        <v>0</v>
      </c>
      <c r="H29" s="77">
        <v>0</v>
      </c>
      <c r="I29" s="77">
        <v>0</v>
      </c>
      <c r="J29" s="107">
        <f t="shared" si="6"/>
        <v>0</v>
      </c>
      <c r="K29" s="28">
        <v>0</v>
      </c>
      <c r="L29" s="28">
        <f t="shared" si="5"/>
        <v>0</v>
      </c>
      <c r="M29" s="3"/>
    </row>
    <row r="30" spans="1:13" x14ac:dyDescent="0.25">
      <c r="A30" s="15"/>
      <c r="B30" s="16" t="s">
        <v>29</v>
      </c>
      <c r="C30" s="3"/>
      <c r="D30" s="27">
        <v>4814477</v>
      </c>
      <c r="E30" s="28">
        <v>248891</v>
      </c>
      <c r="F30" s="28">
        <f t="shared" si="4"/>
        <v>5063368</v>
      </c>
      <c r="G30" s="28">
        <v>0</v>
      </c>
      <c r="H30" s="77">
        <v>10567383</v>
      </c>
      <c r="I30" s="77">
        <v>61000</v>
      </c>
      <c r="J30" s="107">
        <f t="shared" si="6"/>
        <v>10628383</v>
      </c>
      <c r="K30" s="28">
        <v>0</v>
      </c>
      <c r="L30" s="28">
        <f t="shared" si="5"/>
        <v>15691751</v>
      </c>
      <c r="M30" s="3"/>
    </row>
    <row r="31" spans="1:13" x14ac:dyDescent="0.25">
      <c r="A31" s="15"/>
      <c r="B31" s="16" t="s">
        <v>30</v>
      </c>
      <c r="C31" s="3"/>
      <c r="D31" s="27">
        <v>79014569</v>
      </c>
      <c r="E31" s="28">
        <v>4116350</v>
      </c>
      <c r="F31" s="28">
        <f t="shared" si="4"/>
        <v>83130919</v>
      </c>
      <c r="G31" s="28">
        <v>0</v>
      </c>
      <c r="H31" s="77">
        <v>63096782</v>
      </c>
      <c r="I31" s="77">
        <v>2317224</v>
      </c>
      <c r="J31" s="107">
        <f t="shared" si="6"/>
        <v>65414006</v>
      </c>
      <c r="K31" s="28">
        <v>0</v>
      </c>
      <c r="L31" s="28">
        <f t="shared" si="5"/>
        <v>148544925</v>
      </c>
      <c r="M31" s="3"/>
    </row>
    <row r="32" spans="1:13" x14ac:dyDescent="0.25">
      <c r="A32" s="15"/>
      <c r="B32" s="16" t="s">
        <v>31</v>
      </c>
      <c r="C32" s="3"/>
      <c r="D32" s="27">
        <v>58368929</v>
      </c>
      <c r="E32" s="107">
        <v>7305718</v>
      </c>
      <c r="F32" s="28">
        <f t="shared" si="4"/>
        <v>65674647</v>
      </c>
      <c r="G32" s="28">
        <v>0</v>
      </c>
      <c r="H32" s="77">
        <v>21659079</v>
      </c>
      <c r="I32" s="77">
        <v>0</v>
      </c>
      <c r="J32" s="107">
        <f t="shared" si="6"/>
        <v>21659079</v>
      </c>
      <c r="K32" s="28">
        <v>0</v>
      </c>
      <c r="L32" s="28">
        <f t="shared" si="5"/>
        <v>87333726</v>
      </c>
      <c r="M32" s="3"/>
    </row>
    <row r="33" spans="1:13" x14ac:dyDescent="0.25">
      <c r="A33" s="15"/>
      <c r="B33" s="16" t="s">
        <v>32</v>
      </c>
      <c r="C33" s="3"/>
      <c r="D33" s="27">
        <v>9031005</v>
      </c>
      <c r="E33" s="28">
        <v>629390</v>
      </c>
      <c r="F33" s="28">
        <f t="shared" si="4"/>
        <v>9660395</v>
      </c>
      <c r="G33" s="28">
        <v>0</v>
      </c>
      <c r="H33" s="77">
        <v>37384747</v>
      </c>
      <c r="I33" s="77">
        <v>609650</v>
      </c>
      <c r="J33" s="107">
        <f t="shared" si="6"/>
        <v>37994397</v>
      </c>
      <c r="K33" s="28">
        <v>0</v>
      </c>
      <c r="L33" s="28">
        <f t="shared" si="5"/>
        <v>47654792</v>
      </c>
      <c r="M33" s="3"/>
    </row>
    <row r="34" spans="1:13" x14ac:dyDescent="0.25">
      <c r="A34" s="15"/>
      <c r="B34" s="16" t="s">
        <v>33</v>
      </c>
      <c r="C34" s="3"/>
      <c r="D34" s="27">
        <v>0</v>
      </c>
      <c r="E34" s="28">
        <v>0</v>
      </c>
      <c r="F34" s="28">
        <f t="shared" si="4"/>
        <v>0</v>
      </c>
      <c r="G34" s="28">
        <v>0</v>
      </c>
      <c r="H34" s="77">
        <v>0</v>
      </c>
      <c r="I34" s="77">
        <v>0</v>
      </c>
      <c r="J34" s="107">
        <f t="shared" si="6"/>
        <v>0</v>
      </c>
      <c r="K34" s="28">
        <v>0</v>
      </c>
      <c r="L34" s="28">
        <f t="shared" si="5"/>
        <v>0</v>
      </c>
      <c r="M34" s="3"/>
    </row>
    <row r="35" spans="1:13" x14ac:dyDescent="0.25">
      <c r="A35" s="15"/>
      <c r="B35" s="16" t="s">
        <v>34</v>
      </c>
      <c r="C35" s="3"/>
      <c r="D35" s="27">
        <v>17315631</v>
      </c>
      <c r="E35" s="28">
        <v>93864</v>
      </c>
      <c r="F35" s="28">
        <f t="shared" si="4"/>
        <v>17409495</v>
      </c>
      <c r="G35" s="28">
        <v>0</v>
      </c>
      <c r="H35" s="77">
        <v>0</v>
      </c>
      <c r="I35" s="77">
        <v>845561</v>
      </c>
      <c r="J35" s="107">
        <f>H35+I35</f>
        <v>845561</v>
      </c>
      <c r="K35" s="28">
        <v>0</v>
      </c>
      <c r="L35" s="28">
        <f t="shared" si="5"/>
        <v>18255056</v>
      </c>
      <c r="M35" s="3"/>
    </row>
    <row r="36" spans="1:13" ht="14.25" customHeight="1" x14ac:dyDescent="0.25">
      <c r="A36" s="17" t="s">
        <v>35</v>
      </c>
      <c r="B36" s="18"/>
      <c r="C36" s="6"/>
      <c r="D36" s="83">
        <f t="shared" ref="D36:K36" si="7">SUM(D24:D35)</f>
        <v>361575925</v>
      </c>
      <c r="E36" s="83">
        <f t="shared" si="7"/>
        <v>29874793</v>
      </c>
      <c r="F36" s="83">
        <f t="shared" si="7"/>
        <v>391450718</v>
      </c>
      <c r="G36" s="83">
        <f t="shared" si="7"/>
        <v>7614116</v>
      </c>
      <c r="H36" s="74">
        <f>SUM(H24:H35)</f>
        <v>557247504</v>
      </c>
      <c r="I36" s="74">
        <f>SUM(I24:I35)</f>
        <v>28359732</v>
      </c>
      <c r="J36" s="111">
        <f t="shared" si="7"/>
        <v>585607236</v>
      </c>
      <c r="K36" s="83">
        <f t="shared" si="7"/>
        <v>13018275</v>
      </c>
      <c r="L36" s="83">
        <f>F36+G36+J36+K36</f>
        <v>997690345</v>
      </c>
      <c r="M36" s="6"/>
    </row>
    <row r="37" spans="1:13" x14ac:dyDescent="0.25">
      <c r="A37" s="14" t="s">
        <v>36</v>
      </c>
      <c r="B37" s="14" t="s">
        <v>37</v>
      </c>
      <c r="C37" s="3"/>
      <c r="D37" s="27">
        <v>3991878</v>
      </c>
      <c r="E37" s="28">
        <v>1805414</v>
      </c>
      <c r="F37" s="28">
        <f t="shared" ref="F37:F42" si="8">D37+E37</f>
        <v>5797292</v>
      </c>
      <c r="G37" s="28">
        <v>0</v>
      </c>
      <c r="H37" s="77">
        <v>0</v>
      </c>
      <c r="I37" s="77">
        <v>0</v>
      </c>
      <c r="J37" s="107">
        <f>H37+I37</f>
        <v>0</v>
      </c>
      <c r="K37" s="28">
        <v>3654209</v>
      </c>
      <c r="L37" s="28">
        <f t="shared" ref="L37:L42" si="9">F37+G37+J37+K37</f>
        <v>9451501</v>
      </c>
      <c r="M37" s="3"/>
    </row>
    <row r="38" spans="1:13" x14ac:dyDescent="0.25">
      <c r="A38" s="15"/>
      <c r="B38" s="16" t="s">
        <v>38</v>
      </c>
      <c r="C38" s="3"/>
      <c r="D38" s="27">
        <v>19433021</v>
      </c>
      <c r="E38" s="28">
        <v>1849219</v>
      </c>
      <c r="F38" s="28">
        <f t="shared" si="8"/>
        <v>21282240</v>
      </c>
      <c r="G38" s="28">
        <v>3028515</v>
      </c>
      <c r="H38" s="77">
        <v>54410802</v>
      </c>
      <c r="I38" s="77">
        <v>11013755</v>
      </c>
      <c r="J38" s="107">
        <f t="shared" ref="J38:J41" si="10">H38+I38</f>
        <v>65424557</v>
      </c>
      <c r="K38" s="28">
        <v>0</v>
      </c>
      <c r="L38" s="28">
        <f t="shared" si="9"/>
        <v>89735312</v>
      </c>
      <c r="M38" s="3"/>
    </row>
    <row r="39" spans="1:13" x14ac:dyDescent="0.25">
      <c r="A39" s="15"/>
      <c r="B39" s="16" t="s">
        <v>39</v>
      </c>
      <c r="C39" s="3"/>
      <c r="D39" s="27">
        <v>4275772</v>
      </c>
      <c r="E39" s="28">
        <v>201881</v>
      </c>
      <c r="F39" s="28">
        <f t="shared" si="8"/>
        <v>4477653</v>
      </c>
      <c r="G39" s="28">
        <v>0</v>
      </c>
      <c r="H39" s="77">
        <v>13529672</v>
      </c>
      <c r="I39" s="77">
        <v>908749</v>
      </c>
      <c r="J39" s="107">
        <f t="shared" si="10"/>
        <v>14438421</v>
      </c>
      <c r="K39" s="28">
        <v>0</v>
      </c>
      <c r="L39" s="28">
        <f t="shared" si="9"/>
        <v>18916074</v>
      </c>
      <c r="M39" s="3"/>
    </row>
    <row r="40" spans="1:13" x14ac:dyDescent="0.25">
      <c r="A40" s="15"/>
      <c r="B40" s="16" t="s">
        <v>40</v>
      </c>
      <c r="C40" s="3"/>
      <c r="D40" s="106">
        <v>9140226</v>
      </c>
      <c r="E40" s="28">
        <v>578577</v>
      </c>
      <c r="F40" s="28">
        <f t="shared" si="8"/>
        <v>9718803</v>
      </c>
      <c r="G40" s="28">
        <v>0</v>
      </c>
      <c r="H40" s="77">
        <v>14936578</v>
      </c>
      <c r="I40" s="77">
        <v>10967</v>
      </c>
      <c r="J40" s="107">
        <f t="shared" si="10"/>
        <v>14947545</v>
      </c>
      <c r="K40" s="28">
        <v>0</v>
      </c>
      <c r="L40" s="28">
        <f t="shared" si="9"/>
        <v>24666348</v>
      </c>
      <c r="M40" s="3"/>
    </row>
    <row r="41" spans="1:13" x14ac:dyDescent="0.25">
      <c r="A41" s="15"/>
      <c r="B41" s="16" t="s">
        <v>41</v>
      </c>
      <c r="C41" s="3"/>
      <c r="D41" s="27">
        <v>5692475</v>
      </c>
      <c r="E41" s="28">
        <v>189181</v>
      </c>
      <c r="F41" s="28">
        <f t="shared" si="8"/>
        <v>5881656</v>
      </c>
      <c r="G41" s="28">
        <v>0</v>
      </c>
      <c r="H41" s="77">
        <v>9202076</v>
      </c>
      <c r="I41" s="77">
        <v>806762</v>
      </c>
      <c r="J41" s="107">
        <f t="shared" si="10"/>
        <v>10008838</v>
      </c>
      <c r="K41" s="28">
        <v>0</v>
      </c>
      <c r="L41" s="28">
        <f t="shared" si="9"/>
        <v>15890494</v>
      </c>
      <c r="M41" s="3"/>
    </row>
    <row r="42" spans="1:13" x14ac:dyDescent="0.25">
      <c r="A42" s="15"/>
      <c r="B42" s="16" t="s">
        <v>42</v>
      </c>
      <c r="C42" s="3"/>
      <c r="D42" s="106">
        <v>3305062</v>
      </c>
      <c r="E42" s="28">
        <v>0</v>
      </c>
      <c r="F42" s="28">
        <f t="shared" si="8"/>
        <v>3305062</v>
      </c>
      <c r="G42" s="28">
        <v>0</v>
      </c>
      <c r="H42" s="77">
        <v>0</v>
      </c>
      <c r="I42" s="77">
        <v>0</v>
      </c>
      <c r="J42" s="107">
        <f>H42+I42</f>
        <v>0</v>
      </c>
      <c r="K42" s="28">
        <v>0</v>
      </c>
      <c r="L42" s="28">
        <f t="shared" si="9"/>
        <v>3305062</v>
      </c>
      <c r="M42" s="3"/>
    </row>
    <row r="43" spans="1:13" x14ac:dyDescent="0.25">
      <c r="A43" s="17" t="s">
        <v>43</v>
      </c>
      <c r="B43" s="18"/>
      <c r="C43" s="6"/>
      <c r="D43" s="42">
        <f t="shared" ref="D43:K43" si="11">SUM(D37:D42)</f>
        <v>45838434</v>
      </c>
      <c r="E43" s="42">
        <f t="shared" si="11"/>
        <v>4624272</v>
      </c>
      <c r="F43" s="42">
        <f t="shared" si="11"/>
        <v>50462706</v>
      </c>
      <c r="G43" s="42">
        <f t="shared" si="11"/>
        <v>3028515</v>
      </c>
      <c r="H43" s="78">
        <f>SUM(H37:H42)</f>
        <v>92079128</v>
      </c>
      <c r="I43" s="78">
        <f>SUM(I37:I42)</f>
        <v>12740233</v>
      </c>
      <c r="J43" s="112">
        <f>SUM(J37:J42)</f>
        <v>104819361</v>
      </c>
      <c r="K43" s="42">
        <f t="shared" si="11"/>
        <v>3654209</v>
      </c>
      <c r="L43" s="83">
        <f>F43+G43+J43+K43</f>
        <v>161964791</v>
      </c>
      <c r="M43" s="6"/>
    </row>
    <row r="44" spans="1:13" x14ac:dyDescent="0.25">
      <c r="A44" s="14" t="s">
        <v>44</v>
      </c>
      <c r="B44" s="14" t="s">
        <v>45</v>
      </c>
      <c r="C44" s="3"/>
      <c r="D44" s="27">
        <v>14052455</v>
      </c>
      <c r="E44" s="28">
        <v>1040456</v>
      </c>
      <c r="F44" s="28">
        <f t="shared" ref="F44:F53" si="12">D44+E44</f>
        <v>15092911</v>
      </c>
      <c r="G44" s="28">
        <v>0</v>
      </c>
      <c r="H44" s="77">
        <v>33557011</v>
      </c>
      <c r="I44" s="77">
        <v>413032</v>
      </c>
      <c r="J44" s="107">
        <f t="shared" ref="J44:J53" si="13">H44+I44</f>
        <v>33970043</v>
      </c>
      <c r="K44" s="28">
        <v>0</v>
      </c>
      <c r="L44" s="28">
        <f t="shared" ref="L44:L53" si="14">F44+G44+J44+K44</f>
        <v>49062954</v>
      </c>
      <c r="M44" s="3"/>
    </row>
    <row r="45" spans="1:13" x14ac:dyDescent="0.25">
      <c r="A45" s="15"/>
      <c r="B45" s="16" t="s">
        <v>46</v>
      </c>
      <c r="C45" s="3"/>
      <c r="D45" s="27">
        <v>27588200</v>
      </c>
      <c r="E45" s="28">
        <v>1969279</v>
      </c>
      <c r="F45" s="28">
        <f t="shared" si="12"/>
        <v>29557479</v>
      </c>
      <c r="G45" s="28">
        <v>0</v>
      </c>
      <c r="H45" s="77">
        <v>95728100</v>
      </c>
      <c r="I45" s="77">
        <v>7627548</v>
      </c>
      <c r="J45" s="107">
        <f t="shared" si="13"/>
        <v>103355648</v>
      </c>
      <c r="K45" s="28">
        <v>0</v>
      </c>
      <c r="L45" s="28">
        <f t="shared" si="14"/>
        <v>132913127</v>
      </c>
      <c r="M45" s="3"/>
    </row>
    <row r="46" spans="1:13" x14ac:dyDescent="0.25">
      <c r="A46" s="15"/>
      <c r="B46" s="16" t="s">
        <v>47</v>
      </c>
      <c r="C46" s="3"/>
      <c r="D46" s="27">
        <v>16605889</v>
      </c>
      <c r="E46" s="28">
        <v>3353681</v>
      </c>
      <c r="F46" s="28">
        <f t="shared" si="12"/>
        <v>19959570</v>
      </c>
      <c r="G46" s="28">
        <v>0</v>
      </c>
      <c r="H46" s="77">
        <v>50778710</v>
      </c>
      <c r="I46" s="77">
        <v>1110410</v>
      </c>
      <c r="J46" s="107">
        <f t="shared" si="13"/>
        <v>51889120</v>
      </c>
      <c r="K46" s="28">
        <v>0</v>
      </c>
      <c r="L46" s="28">
        <f t="shared" si="14"/>
        <v>71848690</v>
      </c>
      <c r="M46" s="3"/>
    </row>
    <row r="47" spans="1:13" x14ac:dyDescent="0.25">
      <c r="A47" s="15"/>
      <c r="B47" s="16" t="s">
        <v>48</v>
      </c>
      <c r="C47" s="3"/>
      <c r="D47" s="27">
        <v>14240819</v>
      </c>
      <c r="E47" s="28">
        <v>1115040</v>
      </c>
      <c r="F47" s="28">
        <f t="shared" si="12"/>
        <v>15355859</v>
      </c>
      <c r="G47" s="28">
        <v>250000</v>
      </c>
      <c r="H47" s="77">
        <v>41262700</v>
      </c>
      <c r="I47" s="77">
        <v>3055031</v>
      </c>
      <c r="J47" s="107">
        <f t="shared" si="13"/>
        <v>44317731</v>
      </c>
      <c r="K47" s="28">
        <v>0</v>
      </c>
      <c r="L47" s="28">
        <f t="shared" si="14"/>
        <v>59923590</v>
      </c>
      <c r="M47" s="3"/>
    </row>
    <row r="48" spans="1:13" x14ac:dyDescent="0.25">
      <c r="A48" s="15"/>
      <c r="B48" s="16" t="s">
        <v>49</v>
      </c>
      <c r="C48" s="3"/>
      <c r="D48" s="27">
        <v>20591028</v>
      </c>
      <c r="E48" s="28">
        <v>1300807</v>
      </c>
      <c r="F48" s="28">
        <f t="shared" si="12"/>
        <v>21891835</v>
      </c>
      <c r="G48" s="28">
        <v>74923</v>
      </c>
      <c r="H48" s="77">
        <v>60954584</v>
      </c>
      <c r="I48" s="77">
        <v>696543</v>
      </c>
      <c r="J48" s="107">
        <f t="shared" si="13"/>
        <v>61651127</v>
      </c>
      <c r="K48" s="28">
        <v>0</v>
      </c>
      <c r="L48" s="28">
        <f t="shared" si="14"/>
        <v>83617885</v>
      </c>
      <c r="M48" s="3"/>
    </row>
    <row r="49" spans="1:15" x14ac:dyDescent="0.25">
      <c r="A49" s="15"/>
      <c r="B49" s="16" t="s">
        <v>50</v>
      </c>
      <c r="C49" s="3"/>
      <c r="D49" s="27">
        <v>27750156</v>
      </c>
      <c r="E49" s="28">
        <v>2061293</v>
      </c>
      <c r="F49" s="28">
        <f t="shared" si="12"/>
        <v>29811449</v>
      </c>
      <c r="G49" s="28">
        <v>0</v>
      </c>
      <c r="H49" s="77">
        <v>90750072</v>
      </c>
      <c r="I49" s="77">
        <v>6122027</v>
      </c>
      <c r="J49" s="107">
        <f t="shared" si="13"/>
        <v>96872099</v>
      </c>
      <c r="K49" s="28">
        <v>0</v>
      </c>
      <c r="L49" s="28">
        <f t="shared" si="14"/>
        <v>126683548</v>
      </c>
      <c r="M49" s="3"/>
    </row>
    <row r="50" spans="1:15" x14ac:dyDescent="0.25">
      <c r="A50" s="15"/>
      <c r="B50" s="16" t="s">
        <v>51</v>
      </c>
      <c r="C50" s="3"/>
      <c r="D50" s="27">
        <v>1035004</v>
      </c>
      <c r="E50" s="28">
        <v>0</v>
      </c>
      <c r="F50" s="28">
        <f t="shared" si="12"/>
        <v>1035004</v>
      </c>
      <c r="G50" s="28">
        <v>0</v>
      </c>
      <c r="H50" s="77">
        <v>0</v>
      </c>
      <c r="I50" s="77">
        <v>2814000</v>
      </c>
      <c r="J50" s="107">
        <f t="shared" si="13"/>
        <v>2814000</v>
      </c>
      <c r="K50" s="28">
        <v>0</v>
      </c>
      <c r="L50" s="28">
        <f t="shared" si="14"/>
        <v>3849004</v>
      </c>
      <c r="M50" s="3"/>
    </row>
    <row r="51" spans="1:15" x14ac:dyDescent="0.25">
      <c r="A51" s="15"/>
      <c r="B51" s="16" t="s">
        <v>52</v>
      </c>
      <c r="C51" s="3"/>
      <c r="D51" s="27">
        <v>47370919</v>
      </c>
      <c r="E51" s="28">
        <v>2655243</v>
      </c>
      <c r="F51" s="28">
        <f t="shared" si="12"/>
        <v>50026162</v>
      </c>
      <c r="G51" s="28">
        <v>185000</v>
      </c>
      <c r="H51" s="77">
        <v>129741536</v>
      </c>
      <c r="I51" s="77">
        <v>7197989</v>
      </c>
      <c r="J51" s="107">
        <f t="shared" si="13"/>
        <v>136939525</v>
      </c>
      <c r="K51" s="28">
        <v>0</v>
      </c>
      <c r="L51" s="28">
        <f t="shared" si="14"/>
        <v>187150687</v>
      </c>
      <c r="M51" s="3"/>
    </row>
    <row r="52" spans="1:15" x14ac:dyDescent="0.25">
      <c r="A52" s="15"/>
      <c r="B52" s="16" t="s">
        <v>53</v>
      </c>
      <c r="C52" s="3"/>
      <c r="D52" s="27">
        <v>29713532</v>
      </c>
      <c r="E52" s="28">
        <v>1879249</v>
      </c>
      <c r="F52" s="28">
        <f t="shared" si="12"/>
        <v>31592781</v>
      </c>
      <c r="G52" s="28">
        <v>0</v>
      </c>
      <c r="H52" s="77">
        <v>66490910</v>
      </c>
      <c r="I52" s="77">
        <v>1736800</v>
      </c>
      <c r="J52" s="107">
        <f t="shared" si="13"/>
        <v>68227710</v>
      </c>
      <c r="K52" s="28">
        <v>0</v>
      </c>
      <c r="L52" s="28">
        <f t="shared" si="14"/>
        <v>99820491</v>
      </c>
      <c r="M52" s="3"/>
    </row>
    <row r="53" spans="1:15" x14ac:dyDescent="0.25">
      <c r="A53" s="15"/>
      <c r="B53" s="16" t="s">
        <v>54</v>
      </c>
      <c r="C53" s="3"/>
      <c r="D53" s="27">
        <v>24999530</v>
      </c>
      <c r="E53" s="28">
        <v>2548228</v>
      </c>
      <c r="F53" s="28">
        <f t="shared" si="12"/>
        <v>27547758</v>
      </c>
      <c r="G53" s="28">
        <v>0</v>
      </c>
      <c r="H53" s="77">
        <v>62522445</v>
      </c>
      <c r="I53" s="77">
        <v>7223697</v>
      </c>
      <c r="J53" s="107">
        <f t="shared" si="13"/>
        <v>69746142</v>
      </c>
      <c r="K53" s="28">
        <v>0</v>
      </c>
      <c r="L53" s="28">
        <f t="shared" si="14"/>
        <v>97293900</v>
      </c>
      <c r="M53" s="3"/>
    </row>
    <row r="54" spans="1:15" x14ac:dyDescent="0.25">
      <c r="A54" s="12" t="s">
        <v>55</v>
      </c>
      <c r="B54" s="13"/>
      <c r="C54" s="6"/>
      <c r="D54" s="83">
        <f t="shared" ref="D54:K54" si="15">SUM(D44:D53)</f>
        <v>223947532</v>
      </c>
      <c r="E54" s="83">
        <f t="shared" si="15"/>
        <v>17923276</v>
      </c>
      <c r="F54" s="83">
        <f t="shared" si="15"/>
        <v>241870808</v>
      </c>
      <c r="G54" s="83">
        <f t="shared" si="15"/>
        <v>509923</v>
      </c>
      <c r="H54" s="74">
        <f>SUM(H44:H53)</f>
        <v>631786068</v>
      </c>
      <c r="I54" s="74">
        <f>SUM(I44:I53)</f>
        <v>37997077</v>
      </c>
      <c r="J54" s="111">
        <f t="shared" si="15"/>
        <v>669783145</v>
      </c>
      <c r="K54" s="83">
        <f t="shared" si="15"/>
        <v>0</v>
      </c>
      <c r="L54" s="83">
        <f>F54+G54+J54+K54</f>
        <v>912163876</v>
      </c>
      <c r="M54" s="6"/>
    </row>
    <row r="55" spans="1:15" x14ac:dyDescent="0.25">
      <c r="A55" s="12" t="s">
        <v>56</v>
      </c>
      <c r="B55" s="13"/>
      <c r="C55" s="6"/>
      <c r="D55" s="53">
        <f t="shared" ref="D55:K55" si="16">D54+D43+D36+D23+D8+D7+D6</f>
        <v>1062048947</v>
      </c>
      <c r="E55" s="53">
        <f t="shared" si="16"/>
        <v>153967708</v>
      </c>
      <c r="F55" s="83">
        <f t="shared" si="16"/>
        <v>1216016655</v>
      </c>
      <c r="G55" s="53">
        <f t="shared" si="16"/>
        <v>17979768</v>
      </c>
      <c r="H55" s="79">
        <f>H54+H43+H36+H23+H8+H7+H6</f>
        <v>1451265336.71</v>
      </c>
      <c r="I55" s="79">
        <f>I54+I43+I36+I23+I8+I7+I6</f>
        <v>93424704.290000007</v>
      </c>
      <c r="J55" s="111">
        <f t="shared" si="16"/>
        <v>1544690041</v>
      </c>
      <c r="K55" s="53">
        <f t="shared" si="16"/>
        <v>70217796</v>
      </c>
      <c r="L55" s="83">
        <f>F55+G55+J55+K55</f>
        <v>2848904260</v>
      </c>
      <c r="M55" s="6"/>
      <c r="O55" s="25"/>
    </row>
    <row r="56" spans="1:15" s="32" customFormat="1" x14ac:dyDescent="0.25">
      <c r="A56" s="38" t="s">
        <v>63</v>
      </c>
      <c r="B56" s="38"/>
      <c r="C56" s="40"/>
      <c r="D56" s="83">
        <f>D55-D7-D24-D25-0</f>
        <v>769082834</v>
      </c>
      <c r="E56" s="83">
        <f>E55-E7-E24-E25-0</f>
        <v>94505282</v>
      </c>
      <c r="F56" s="41">
        <f>D56+E56</f>
        <v>863588116</v>
      </c>
      <c r="G56" s="83">
        <f>G55-G7-G24-G25-0</f>
        <v>17308770</v>
      </c>
      <c r="H56" s="74">
        <f>H55-H7-H24-H25-0</f>
        <v>1451265336.71</v>
      </c>
      <c r="I56" s="74">
        <f>I55-I7-I24-I25-0</f>
        <v>93424704.290000007</v>
      </c>
      <c r="J56" s="113">
        <f>J55-J7-J24-J25</f>
        <v>1544690041</v>
      </c>
      <c r="K56" s="83">
        <f>K55-K7-K24-K25-0</f>
        <v>32879465</v>
      </c>
      <c r="L56" s="83">
        <f>F56+G56+J56+K56</f>
        <v>2458466392</v>
      </c>
      <c r="M56" s="40"/>
      <c r="N56" s="31"/>
      <c r="O56" s="25"/>
    </row>
    <row r="57" spans="1:15" x14ac:dyDescent="0.25">
      <c r="A57" s="7"/>
      <c r="B57" s="7"/>
      <c r="C57" s="7"/>
      <c r="M57" s="7"/>
      <c r="O57" s="25"/>
    </row>
    <row r="58" spans="1:15" x14ac:dyDescent="0.25">
      <c r="A58" s="7"/>
      <c r="B58" s="7"/>
      <c r="C58" s="7"/>
      <c r="M58" s="7"/>
    </row>
    <row r="59" spans="1:15" x14ac:dyDescent="0.25">
      <c r="A59" s="98"/>
      <c r="D59" s="25"/>
      <c r="E59" s="25"/>
      <c r="G59" s="25"/>
      <c r="H59" s="25"/>
      <c r="I59" s="25"/>
      <c r="K59" s="25"/>
    </row>
    <row r="62" spans="1:15" x14ac:dyDescent="0.25">
      <c r="D62" s="25"/>
    </row>
    <row r="65" spans="4:11" x14ac:dyDescent="0.25">
      <c r="G65" s="25"/>
      <c r="H65" s="25"/>
      <c r="I65" s="25"/>
      <c r="J65" s="25"/>
    </row>
    <row r="67" spans="4:11" x14ac:dyDescent="0.25">
      <c r="D67" s="25"/>
      <c r="E67" s="25"/>
      <c r="G67" s="25"/>
      <c r="H67" s="25"/>
      <c r="I67" s="25"/>
      <c r="J67" s="25"/>
      <c r="K67" s="25"/>
    </row>
    <row r="68" spans="4:11" x14ac:dyDescent="0.25">
      <c r="D68" s="25"/>
      <c r="E68" s="25"/>
      <c r="G68" s="25"/>
      <c r="H68" s="25"/>
      <c r="I68" s="25"/>
      <c r="J68" s="25"/>
      <c r="K68" s="25"/>
    </row>
    <row r="69" spans="4:11" x14ac:dyDescent="0.25">
      <c r="D69" s="25"/>
      <c r="E69" s="25"/>
      <c r="G69" s="25"/>
      <c r="H69" s="25"/>
      <c r="I69" s="25"/>
      <c r="J69" s="25"/>
      <c r="K69" s="25"/>
    </row>
    <row r="72" spans="4:11" x14ac:dyDescent="0.25">
      <c r="D72" s="25"/>
      <c r="E72" s="25"/>
      <c r="G72" s="25"/>
      <c r="H72" s="25"/>
      <c r="I72" s="25"/>
      <c r="J72" s="25"/>
      <c r="K72" s="25"/>
    </row>
    <row r="73" spans="4:11" x14ac:dyDescent="0.25">
      <c r="D73" s="25"/>
      <c r="E73" s="25"/>
      <c r="G73" s="25"/>
      <c r="H73" s="25"/>
      <c r="I73" s="25"/>
      <c r="J73" s="25"/>
      <c r="K73" s="25"/>
    </row>
    <row r="74" spans="4:11" x14ac:dyDescent="0.25">
      <c r="D74" s="25"/>
      <c r="E74" s="25"/>
      <c r="G74" s="25"/>
      <c r="H74" s="25"/>
      <c r="I74" s="25"/>
      <c r="J74" s="25"/>
      <c r="K74" s="25"/>
    </row>
    <row r="75" spans="4:11" x14ac:dyDescent="0.25">
      <c r="D75" s="25"/>
      <c r="E75" s="25"/>
      <c r="G75" s="25"/>
      <c r="H75" s="25"/>
      <c r="I75" s="25"/>
      <c r="J75" s="25"/>
      <c r="K75" s="25"/>
    </row>
    <row r="76" spans="4:11" x14ac:dyDescent="0.25">
      <c r="D76" s="25"/>
      <c r="E76" s="25"/>
      <c r="G76" s="25"/>
      <c r="H76" s="25"/>
      <c r="I76" s="25"/>
      <c r="J76" s="25"/>
      <c r="K76" s="25"/>
    </row>
    <row r="77" spans="4:11" x14ac:dyDescent="0.25">
      <c r="D77" s="25"/>
      <c r="E77" s="25"/>
      <c r="G77" s="25"/>
      <c r="H77" s="25"/>
      <c r="I77" s="25"/>
      <c r="J77" s="25"/>
      <c r="K77" s="25"/>
    </row>
    <row r="80" spans="4:11" x14ac:dyDescent="0.25">
      <c r="D80" s="25"/>
    </row>
  </sheetData>
  <pageMargins left="0.7" right="0.7" top="0.75" bottom="0.75" header="0.3" footer="0.3"/>
  <pageSetup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7CFF3-1ABE-4ECC-9C76-1FA7292D93D5}">
  <sheetPr>
    <pageSetUpPr fitToPage="1"/>
  </sheetPr>
  <dimension ref="A1:Q82"/>
  <sheetViews>
    <sheetView workbookViewId="0">
      <pane xSplit="3" ySplit="8" topLeftCell="D45" activePane="bottomRight" state="frozen"/>
      <selection pane="topRight" activeCell="D1" sqref="D1"/>
      <selection pane="bottomLeft" activeCell="A9" sqref="A9"/>
      <selection pane="bottomRight" activeCell="N57" sqref="N57"/>
    </sheetView>
  </sheetViews>
  <sheetFormatPr defaultRowHeight="15" x14ac:dyDescent="0.25"/>
  <cols>
    <col min="2" max="2" width="22.85546875" customWidth="1"/>
    <col min="3" max="3" width="1.42578125" customWidth="1"/>
    <col min="4" max="5" width="15.28515625" customWidth="1"/>
    <col min="6" max="7" width="16.28515625" style="25" customWidth="1"/>
    <col min="8" max="8" width="15.28515625" customWidth="1"/>
    <col min="9" max="9" width="16.28515625" customWidth="1"/>
    <col min="10" max="10" width="15.28515625" customWidth="1"/>
    <col min="11" max="11" width="16.28515625" style="109" customWidth="1"/>
    <col min="12" max="12" width="15.28515625" customWidth="1"/>
    <col min="13" max="14" width="16.28515625" style="25" customWidth="1"/>
    <col min="15" max="15" width="1.42578125" customWidth="1"/>
    <col min="17" max="17" width="13.7109375" bestFit="1" customWidth="1"/>
  </cols>
  <sheetData>
    <row r="1" spans="1:15" s="99" customFormat="1" ht="18.75" x14ac:dyDescent="0.3">
      <c r="A1" s="99" t="s">
        <v>94</v>
      </c>
      <c r="F1" s="100"/>
      <c r="G1" s="100"/>
      <c r="K1" s="108"/>
      <c r="M1" s="100"/>
      <c r="N1" s="100"/>
    </row>
    <row r="2" spans="1:15" s="99" customFormat="1" ht="18.75" x14ac:dyDescent="0.3">
      <c r="A2" s="101" t="s">
        <v>112</v>
      </c>
      <c r="B2" s="101"/>
      <c r="C2" s="101"/>
      <c r="D2" s="100"/>
      <c r="E2" s="100"/>
      <c r="F2" s="100"/>
      <c r="G2" s="100"/>
      <c r="H2" s="100"/>
      <c r="I2" s="100"/>
      <c r="J2" s="100"/>
      <c r="K2" s="108"/>
      <c r="L2" s="100"/>
      <c r="M2" s="100"/>
      <c r="N2" s="100"/>
      <c r="O2" s="101"/>
    </row>
    <row r="3" spans="1:15" s="99" customFormat="1" ht="18.75" x14ac:dyDescent="0.3">
      <c r="A3" s="114"/>
      <c r="B3" s="101"/>
      <c r="C3" s="101"/>
      <c r="D3" s="100"/>
      <c r="E3" s="100"/>
      <c r="F3" s="100"/>
      <c r="G3" s="100"/>
      <c r="H3" s="100"/>
      <c r="I3" s="100"/>
      <c r="J3" s="100"/>
      <c r="K3" s="108"/>
      <c r="L3" s="100"/>
      <c r="M3" s="100"/>
      <c r="N3" s="100"/>
      <c r="O3" s="101"/>
    </row>
    <row r="4" spans="1:15" x14ac:dyDescent="0.25">
      <c r="A4" s="1"/>
      <c r="B4" s="2"/>
      <c r="C4" s="9"/>
      <c r="D4" s="25"/>
      <c r="E4" s="25"/>
      <c r="H4" s="25"/>
      <c r="I4" s="25"/>
      <c r="J4" s="25"/>
      <c r="L4" s="25"/>
      <c r="O4" s="9"/>
    </row>
    <row r="5" spans="1:15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113</v>
      </c>
      <c r="H5" s="26" t="s">
        <v>59</v>
      </c>
      <c r="I5" s="73" t="s">
        <v>88</v>
      </c>
      <c r="J5" s="73" t="s">
        <v>68</v>
      </c>
      <c r="K5" s="110" t="s">
        <v>60</v>
      </c>
      <c r="L5" s="26" t="s">
        <v>61</v>
      </c>
      <c r="M5" s="26" t="s">
        <v>62</v>
      </c>
      <c r="N5" s="26" t="s">
        <v>116</v>
      </c>
      <c r="O5" s="4"/>
    </row>
    <row r="6" spans="1:15" s="32" customFormat="1" x14ac:dyDescent="0.25">
      <c r="A6" s="47" t="s">
        <v>2</v>
      </c>
      <c r="B6" s="47" t="s">
        <v>3</v>
      </c>
      <c r="C6" s="48"/>
      <c r="D6" s="83">
        <v>12928688</v>
      </c>
      <c r="E6" s="83">
        <v>24450000</v>
      </c>
      <c r="F6" s="83">
        <f>D6+E6</f>
        <v>37378688</v>
      </c>
      <c r="G6" s="83">
        <v>3250000</v>
      </c>
      <c r="H6" s="83">
        <v>9818704</v>
      </c>
      <c r="I6" s="74">
        <v>0</v>
      </c>
      <c r="J6" s="74">
        <v>2930299</v>
      </c>
      <c r="K6" s="111">
        <f>I6+J6</f>
        <v>2930299</v>
      </c>
      <c r="L6" s="83">
        <v>12172314</v>
      </c>
      <c r="M6" s="83">
        <f>F6+G6+H6+K6+L6</f>
        <v>65550005</v>
      </c>
      <c r="N6" s="83">
        <f>F6+G6+H6+K6+L6</f>
        <v>65550005</v>
      </c>
      <c r="O6" s="48"/>
    </row>
    <row r="7" spans="1:15" s="32" customFormat="1" x14ac:dyDescent="0.25">
      <c r="A7" s="49" t="s">
        <v>4</v>
      </c>
      <c r="B7" s="49" t="s">
        <v>4</v>
      </c>
      <c r="C7" s="50"/>
      <c r="D7" s="43">
        <v>305253022</v>
      </c>
      <c r="E7" s="44">
        <v>57641289</v>
      </c>
      <c r="F7" s="83">
        <f>D7+E7</f>
        <v>362894311</v>
      </c>
      <c r="G7" s="83">
        <v>0</v>
      </c>
      <c r="H7" s="44">
        <v>670998</v>
      </c>
      <c r="I7" s="75">
        <v>0</v>
      </c>
      <c r="J7" s="75">
        <v>0</v>
      </c>
      <c r="K7" s="111">
        <f>I7+J7</f>
        <v>0</v>
      </c>
      <c r="L7" s="44">
        <v>37338331</v>
      </c>
      <c r="M7" s="83">
        <f t="shared" ref="M7:M23" si="0">F7+H7+K7+L7</f>
        <v>400903640</v>
      </c>
      <c r="N7" s="83">
        <f t="shared" ref="N7:N58" si="1">F7+G7+H7+K7+L7</f>
        <v>400903640</v>
      </c>
      <c r="O7" s="50"/>
    </row>
    <row r="8" spans="1:15" s="32" customFormat="1" x14ac:dyDescent="0.25">
      <c r="A8" s="51" t="s">
        <v>5</v>
      </c>
      <c r="B8" s="51" t="s">
        <v>5</v>
      </c>
      <c r="C8" s="52"/>
      <c r="D8" s="45">
        <v>3930182</v>
      </c>
      <c r="E8" s="46">
        <v>33097</v>
      </c>
      <c r="F8" s="83">
        <f>D8+E8</f>
        <v>3963279</v>
      </c>
      <c r="G8" s="127">
        <v>0</v>
      </c>
      <c r="H8" s="46">
        <v>375000</v>
      </c>
      <c r="I8" s="76">
        <v>0</v>
      </c>
      <c r="J8" s="76">
        <v>9100000</v>
      </c>
      <c r="K8" s="111">
        <f>I8+J8</f>
        <v>9100000</v>
      </c>
      <c r="L8" s="46">
        <v>4034667</v>
      </c>
      <c r="M8" s="83">
        <f>F8+H8+K8+L8</f>
        <v>17472946</v>
      </c>
      <c r="N8" s="83">
        <f>F8+G8+H8+K8+L8</f>
        <v>17472946</v>
      </c>
      <c r="O8" s="52"/>
    </row>
    <row r="9" spans="1:15" x14ac:dyDescent="0.25">
      <c r="A9" s="16" t="s">
        <v>6</v>
      </c>
      <c r="B9" s="16" t="s">
        <v>7</v>
      </c>
      <c r="C9" s="3"/>
      <c r="D9" s="27">
        <v>12552805</v>
      </c>
      <c r="E9" s="28">
        <v>638894</v>
      </c>
      <c r="F9" s="28">
        <f>D9+E9</f>
        <v>13191699</v>
      </c>
      <c r="G9" s="28">
        <v>1650000</v>
      </c>
      <c r="H9" s="28">
        <v>0</v>
      </c>
      <c r="I9" s="77">
        <v>22281875</v>
      </c>
      <c r="J9" s="77">
        <v>618125</v>
      </c>
      <c r="K9" s="107">
        <f>I9+J9</f>
        <v>22900000</v>
      </c>
      <c r="L9" s="28">
        <v>0</v>
      </c>
      <c r="M9" s="28">
        <f t="shared" si="0"/>
        <v>36091699</v>
      </c>
      <c r="N9" s="129">
        <f t="shared" si="1"/>
        <v>37741699</v>
      </c>
      <c r="O9" s="3"/>
    </row>
    <row r="10" spans="1:15" x14ac:dyDescent="0.25">
      <c r="A10" s="15"/>
      <c r="B10" s="16" t="s">
        <v>8</v>
      </c>
      <c r="C10" s="3"/>
      <c r="D10" s="27">
        <v>8622780</v>
      </c>
      <c r="E10" s="28">
        <v>324085</v>
      </c>
      <c r="F10" s="28">
        <f>D10+E10</f>
        <v>8946865</v>
      </c>
      <c r="G10" s="28">
        <v>2265000</v>
      </c>
      <c r="H10" s="28">
        <v>0</v>
      </c>
      <c r="I10" s="77">
        <v>21500000</v>
      </c>
      <c r="J10" s="77">
        <v>0</v>
      </c>
      <c r="K10" s="107">
        <f t="shared" ref="K10:K24" si="2">I10+J10</f>
        <v>21500000</v>
      </c>
      <c r="L10" s="28">
        <v>0</v>
      </c>
      <c r="M10" s="28">
        <f t="shared" si="0"/>
        <v>30446865</v>
      </c>
      <c r="N10" s="130">
        <f t="shared" si="1"/>
        <v>32711865</v>
      </c>
      <c r="O10" s="3"/>
    </row>
    <row r="11" spans="1:15" x14ac:dyDescent="0.25">
      <c r="A11" s="15"/>
      <c r="B11" s="16" t="s">
        <v>9</v>
      </c>
      <c r="C11" s="3"/>
      <c r="D11" s="106">
        <v>4830710</v>
      </c>
      <c r="E11" s="28">
        <v>270759</v>
      </c>
      <c r="F11" s="28">
        <f t="shared" ref="F11:F24" si="3">D11+E11</f>
        <v>5101469</v>
      </c>
      <c r="G11" s="28">
        <v>536000</v>
      </c>
      <c r="H11" s="28">
        <v>0</v>
      </c>
      <c r="I11" s="77">
        <v>5344000</v>
      </c>
      <c r="J11" s="77">
        <v>6000</v>
      </c>
      <c r="K11" s="107">
        <f t="shared" si="2"/>
        <v>5350000</v>
      </c>
      <c r="L11" s="28">
        <v>0</v>
      </c>
      <c r="M11" s="28">
        <f t="shared" si="0"/>
        <v>10451469</v>
      </c>
      <c r="N11" s="130">
        <f t="shared" si="1"/>
        <v>10987469</v>
      </c>
      <c r="O11" s="3"/>
    </row>
    <row r="12" spans="1:15" x14ac:dyDescent="0.25">
      <c r="A12" s="15"/>
      <c r="B12" s="16" t="s">
        <v>10</v>
      </c>
      <c r="C12" s="3"/>
      <c r="D12" s="27">
        <v>20845544</v>
      </c>
      <c r="E12" s="28">
        <v>1301359</v>
      </c>
      <c r="F12" s="28">
        <f t="shared" si="3"/>
        <v>22146903</v>
      </c>
      <c r="G12" s="28">
        <v>4180000</v>
      </c>
      <c r="H12" s="28">
        <v>0</v>
      </c>
      <c r="I12" s="77">
        <v>48975033</v>
      </c>
      <c r="J12" s="77">
        <v>1024967</v>
      </c>
      <c r="K12" s="107">
        <f t="shared" si="2"/>
        <v>50000000</v>
      </c>
      <c r="L12" s="28">
        <v>0</v>
      </c>
      <c r="M12" s="28">
        <f t="shared" si="0"/>
        <v>72146903</v>
      </c>
      <c r="N12" s="130">
        <f t="shared" si="1"/>
        <v>76326903</v>
      </c>
      <c r="O12" s="3"/>
    </row>
    <row r="13" spans="1:15" x14ac:dyDescent="0.25">
      <c r="A13" s="15"/>
      <c r="B13" s="16" t="s">
        <v>11</v>
      </c>
      <c r="C13" s="3"/>
      <c r="D13" s="106">
        <v>3929575</v>
      </c>
      <c r="E13" s="28">
        <v>147200</v>
      </c>
      <c r="F13" s="28">
        <f t="shared" si="3"/>
        <v>4076775</v>
      </c>
      <c r="G13" s="28">
        <v>390000</v>
      </c>
      <c r="H13" s="28">
        <v>0</v>
      </c>
      <c r="I13" s="77">
        <v>7415000</v>
      </c>
      <c r="J13" s="77">
        <v>10000</v>
      </c>
      <c r="K13" s="107">
        <f t="shared" si="2"/>
        <v>7425000</v>
      </c>
      <c r="L13" s="28">
        <v>0</v>
      </c>
      <c r="M13" s="28">
        <f t="shared" si="0"/>
        <v>11501775</v>
      </c>
      <c r="N13" s="130">
        <f t="shared" si="1"/>
        <v>11891775</v>
      </c>
      <c r="O13" s="3"/>
    </row>
    <row r="14" spans="1:15" x14ac:dyDescent="0.25">
      <c r="A14" s="15"/>
      <c r="B14" s="16" t="s">
        <v>12</v>
      </c>
      <c r="C14" s="3"/>
      <c r="D14" s="27">
        <v>4301529</v>
      </c>
      <c r="E14" s="28">
        <v>0</v>
      </c>
      <c r="F14" s="28">
        <f t="shared" si="3"/>
        <v>4301529</v>
      </c>
      <c r="G14" s="28">
        <v>0</v>
      </c>
      <c r="H14" s="28">
        <v>0</v>
      </c>
      <c r="I14" s="77">
        <v>0</v>
      </c>
      <c r="J14" s="77">
        <v>0</v>
      </c>
      <c r="K14" s="107">
        <f>I14+J14</f>
        <v>0</v>
      </c>
      <c r="L14" s="28">
        <v>0</v>
      </c>
      <c r="M14" s="28">
        <f t="shared" si="0"/>
        <v>4301529</v>
      </c>
      <c r="N14" s="130">
        <f t="shared" si="1"/>
        <v>4301529</v>
      </c>
      <c r="O14" s="3"/>
    </row>
    <row r="15" spans="1:15" x14ac:dyDescent="0.25">
      <c r="A15" s="15"/>
      <c r="B15" s="16" t="s">
        <v>13</v>
      </c>
      <c r="C15" s="3"/>
      <c r="D15" s="27">
        <v>1245091</v>
      </c>
      <c r="E15" s="28">
        <v>0</v>
      </c>
      <c r="F15" s="28">
        <f t="shared" si="3"/>
        <v>1245091</v>
      </c>
      <c r="G15" s="28">
        <v>0</v>
      </c>
      <c r="H15" s="28">
        <v>0</v>
      </c>
      <c r="I15" s="77">
        <v>0</v>
      </c>
      <c r="J15" s="77">
        <v>0</v>
      </c>
      <c r="K15" s="107">
        <f t="shared" si="2"/>
        <v>0</v>
      </c>
      <c r="L15" s="28">
        <v>0</v>
      </c>
      <c r="M15" s="28">
        <f t="shared" si="0"/>
        <v>1245091</v>
      </c>
      <c r="N15" s="130">
        <f t="shared" si="1"/>
        <v>1245091</v>
      </c>
      <c r="O15" s="3"/>
    </row>
    <row r="16" spans="1:15" x14ac:dyDescent="0.25">
      <c r="A16" s="15"/>
      <c r="B16" s="128" t="s">
        <v>114</v>
      </c>
      <c r="C16" s="3"/>
      <c r="D16" s="27">
        <v>2870000</v>
      </c>
      <c r="E16" s="28">
        <v>0</v>
      </c>
      <c r="F16" s="28">
        <f t="shared" si="3"/>
        <v>2870000</v>
      </c>
      <c r="G16" s="28">
        <v>0</v>
      </c>
      <c r="H16" s="28">
        <v>0</v>
      </c>
      <c r="I16" s="77">
        <v>0</v>
      </c>
      <c r="J16" s="77">
        <v>0</v>
      </c>
      <c r="K16" s="107">
        <f t="shared" si="2"/>
        <v>0</v>
      </c>
      <c r="L16" s="28">
        <v>0</v>
      </c>
      <c r="M16" s="28">
        <f t="shared" si="0"/>
        <v>2870000</v>
      </c>
      <c r="N16" s="130">
        <f t="shared" si="1"/>
        <v>2870000</v>
      </c>
      <c r="O16" s="3"/>
    </row>
    <row r="17" spans="1:15" x14ac:dyDescent="0.25">
      <c r="A17" s="15"/>
      <c r="B17" s="128" t="s">
        <v>131</v>
      </c>
      <c r="C17" s="3"/>
      <c r="D17" s="27">
        <v>0</v>
      </c>
      <c r="E17" s="28">
        <v>10000000</v>
      </c>
      <c r="F17" s="28">
        <f t="shared" si="3"/>
        <v>10000000</v>
      </c>
      <c r="G17" s="28">
        <v>0</v>
      </c>
      <c r="H17" s="28">
        <v>0</v>
      </c>
      <c r="I17" s="77">
        <v>0</v>
      </c>
      <c r="J17" s="77">
        <v>0</v>
      </c>
      <c r="K17" s="107">
        <f t="shared" si="2"/>
        <v>0</v>
      </c>
      <c r="L17" s="28">
        <v>0</v>
      </c>
      <c r="M17" s="28">
        <f t="shared" si="0"/>
        <v>10000000</v>
      </c>
      <c r="N17" s="130">
        <f t="shared" si="1"/>
        <v>10000000</v>
      </c>
      <c r="O17" s="3"/>
    </row>
    <row r="18" spans="1:15" x14ac:dyDescent="0.25">
      <c r="A18" s="15"/>
      <c r="B18" s="16" t="s">
        <v>14</v>
      </c>
      <c r="C18" s="3"/>
      <c r="D18" s="27">
        <v>6587428</v>
      </c>
      <c r="E18" s="28">
        <v>344503</v>
      </c>
      <c r="F18" s="28">
        <f t="shared" si="3"/>
        <v>6931931</v>
      </c>
      <c r="G18" s="28">
        <v>521000</v>
      </c>
      <c r="H18" s="28">
        <v>0</v>
      </c>
      <c r="I18" s="77">
        <v>10555999.800000001</v>
      </c>
      <c r="J18" s="77">
        <v>14000</v>
      </c>
      <c r="K18" s="107">
        <f t="shared" si="2"/>
        <v>10569999.800000001</v>
      </c>
      <c r="L18" s="28">
        <v>0</v>
      </c>
      <c r="M18" s="28">
        <f t="shared" si="0"/>
        <v>17501930.800000001</v>
      </c>
      <c r="N18" s="130">
        <f t="shared" si="1"/>
        <v>18022930.800000001</v>
      </c>
      <c r="O18" s="3"/>
    </row>
    <row r="19" spans="1:15" x14ac:dyDescent="0.25">
      <c r="A19" s="15"/>
      <c r="B19" s="16" t="s">
        <v>15</v>
      </c>
      <c r="C19" s="3"/>
      <c r="D19" s="106">
        <v>3326410</v>
      </c>
      <c r="E19" s="28">
        <v>186561</v>
      </c>
      <c r="F19" s="28">
        <f t="shared" si="3"/>
        <v>3512971</v>
      </c>
      <c r="G19" s="28">
        <v>931000</v>
      </c>
      <c r="H19" s="28">
        <v>0</v>
      </c>
      <c r="I19" s="77">
        <v>2793000</v>
      </c>
      <c r="J19" s="77">
        <v>57000</v>
      </c>
      <c r="K19" s="107">
        <f t="shared" si="2"/>
        <v>2850000</v>
      </c>
      <c r="L19" s="28">
        <v>0</v>
      </c>
      <c r="M19" s="28">
        <f t="shared" si="0"/>
        <v>6362971</v>
      </c>
      <c r="N19" s="130">
        <f t="shared" si="1"/>
        <v>7293971</v>
      </c>
      <c r="O19" s="3"/>
    </row>
    <row r="20" spans="1:15" x14ac:dyDescent="0.25">
      <c r="A20" s="15"/>
      <c r="B20" s="16" t="s">
        <v>16</v>
      </c>
      <c r="C20" s="3"/>
      <c r="D20" s="27">
        <v>3353551</v>
      </c>
      <c r="E20" s="28">
        <v>125040</v>
      </c>
      <c r="F20" s="28">
        <f t="shared" si="3"/>
        <v>3478591</v>
      </c>
      <c r="G20" s="28">
        <v>645000</v>
      </c>
      <c r="H20" s="28">
        <v>0</v>
      </c>
      <c r="I20" s="77">
        <v>6135050</v>
      </c>
      <c r="J20" s="77">
        <v>64950</v>
      </c>
      <c r="K20" s="107">
        <f t="shared" si="2"/>
        <v>6200000</v>
      </c>
      <c r="L20" s="28">
        <v>0</v>
      </c>
      <c r="M20" s="28">
        <f t="shared" si="0"/>
        <v>9678591</v>
      </c>
      <c r="N20" s="130">
        <f t="shared" si="1"/>
        <v>10323591</v>
      </c>
      <c r="O20" s="3"/>
    </row>
    <row r="21" spans="1:15" x14ac:dyDescent="0.25">
      <c r="A21" s="15"/>
      <c r="B21" s="16" t="s">
        <v>17</v>
      </c>
      <c r="C21" s="3"/>
      <c r="D21" s="27">
        <v>5286527</v>
      </c>
      <c r="E21" s="28">
        <v>191729</v>
      </c>
      <c r="F21" s="28">
        <f t="shared" si="3"/>
        <v>5478256</v>
      </c>
      <c r="G21" s="28">
        <v>960000</v>
      </c>
      <c r="H21" s="28">
        <v>0</v>
      </c>
      <c r="I21" s="77">
        <v>9790000</v>
      </c>
      <c r="J21" s="77">
        <v>0</v>
      </c>
      <c r="K21" s="107">
        <f t="shared" si="2"/>
        <v>9790000</v>
      </c>
      <c r="L21" s="28">
        <v>0</v>
      </c>
      <c r="M21" s="28">
        <f t="shared" si="0"/>
        <v>15268256</v>
      </c>
      <c r="N21" s="130">
        <f t="shared" si="1"/>
        <v>16228256</v>
      </c>
      <c r="O21" s="3"/>
    </row>
    <row r="22" spans="1:15" x14ac:dyDescent="0.25">
      <c r="A22" s="15"/>
      <c r="B22" s="16" t="s">
        <v>18</v>
      </c>
      <c r="C22" s="3"/>
      <c r="D22" s="106">
        <v>4863587</v>
      </c>
      <c r="E22" s="28">
        <v>206315</v>
      </c>
      <c r="F22" s="28">
        <f t="shared" si="3"/>
        <v>5069902</v>
      </c>
      <c r="G22" s="28">
        <v>900000</v>
      </c>
      <c r="H22" s="28">
        <v>0</v>
      </c>
      <c r="I22" s="77">
        <v>9363000</v>
      </c>
      <c r="J22" s="77">
        <v>232000</v>
      </c>
      <c r="K22" s="107">
        <f t="shared" si="2"/>
        <v>9595000</v>
      </c>
      <c r="L22" s="28">
        <v>0</v>
      </c>
      <c r="M22" s="28">
        <f t="shared" si="0"/>
        <v>14664902</v>
      </c>
      <c r="N22" s="130">
        <f t="shared" si="1"/>
        <v>15564902</v>
      </c>
      <c r="O22" s="3"/>
    </row>
    <row r="23" spans="1:15" x14ac:dyDescent="0.25">
      <c r="A23" s="15"/>
      <c r="B23" s="16" t="s">
        <v>19</v>
      </c>
      <c r="C23" s="3"/>
      <c r="D23" s="106">
        <v>11559709</v>
      </c>
      <c r="E23" s="28">
        <v>638782</v>
      </c>
      <c r="F23" s="28">
        <f t="shared" si="3"/>
        <v>12198491</v>
      </c>
      <c r="G23" s="28">
        <v>2076000</v>
      </c>
      <c r="H23" s="28">
        <v>0</v>
      </c>
      <c r="I23" s="77">
        <v>18250000</v>
      </c>
      <c r="J23" s="77">
        <v>0</v>
      </c>
      <c r="K23" s="107">
        <f t="shared" si="2"/>
        <v>18250000</v>
      </c>
      <c r="L23" s="28">
        <v>0</v>
      </c>
      <c r="M23" s="28">
        <f t="shared" si="0"/>
        <v>30448491</v>
      </c>
      <c r="N23" s="130">
        <f t="shared" si="1"/>
        <v>32524491</v>
      </c>
      <c r="O23" s="3"/>
    </row>
    <row r="24" spans="1:15" x14ac:dyDescent="0.25">
      <c r="A24" s="15"/>
      <c r="B24" s="16" t="s">
        <v>20</v>
      </c>
      <c r="C24" s="3"/>
      <c r="D24" s="106">
        <v>8026145</v>
      </c>
      <c r="E24" s="28">
        <v>858059</v>
      </c>
      <c r="F24" s="28">
        <f t="shared" si="3"/>
        <v>8884204</v>
      </c>
      <c r="G24" s="28">
        <v>900000</v>
      </c>
      <c r="H24" s="28">
        <v>0</v>
      </c>
      <c r="I24" s="77">
        <v>10324000</v>
      </c>
      <c r="J24" s="77">
        <v>176000</v>
      </c>
      <c r="K24" s="107">
        <f t="shared" si="2"/>
        <v>10500000</v>
      </c>
      <c r="L24" s="28">
        <v>0</v>
      </c>
      <c r="M24" s="28">
        <f>F24+H24+K24+L24</f>
        <v>19384204</v>
      </c>
      <c r="N24" s="130">
        <f t="shared" si="1"/>
        <v>20284204</v>
      </c>
      <c r="O24" s="3"/>
    </row>
    <row r="25" spans="1:15" x14ac:dyDescent="0.25">
      <c r="A25" s="17" t="s">
        <v>21</v>
      </c>
      <c r="B25" s="18"/>
      <c r="C25" s="6"/>
      <c r="D25" s="83">
        <f>SUM(D9:D24)</f>
        <v>102201391</v>
      </c>
      <c r="E25" s="83">
        <f t="shared" ref="E25:L25" si="4">SUM(E9:E24)</f>
        <v>15233286</v>
      </c>
      <c r="F25" s="83">
        <f t="shared" si="4"/>
        <v>117434677</v>
      </c>
      <c r="G25" s="83">
        <f>SUM(G9:G24)</f>
        <v>15954000</v>
      </c>
      <c r="H25" s="83">
        <f t="shared" si="4"/>
        <v>0</v>
      </c>
      <c r="I25" s="74">
        <f>SUM(I9:I24)</f>
        <v>172726957.80000001</v>
      </c>
      <c r="J25" s="74">
        <f>SUM(J9:J24)</f>
        <v>2203042</v>
      </c>
      <c r="K25" s="111">
        <f t="shared" si="4"/>
        <v>174929999.80000001</v>
      </c>
      <c r="L25" s="83">
        <f t="shared" si="4"/>
        <v>0</v>
      </c>
      <c r="M25" s="83">
        <f>F25+H25+K25+L25</f>
        <v>292364676.80000001</v>
      </c>
      <c r="N25" s="83">
        <f t="shared" si="1"/>
        <v>308318676.80000001</v>
      </c>
      <c r="O25" s="6"/>
    </row>
    <row r="26" spans="1:15" x14ac:dyDescent="0.25">
      <c r="A26" s="14" t="s">
        <v>22</v>
      </c>
      <c r="B26" s="14" t="s">
        <v>23</v>
      </c>
      <c r="C26" s="3"/>
      <c r="D26" s="27">
        <v>0</v>
      </c>
      <c r="E26" s="28">
        <v>0</v>
      </c>
      <c r="F26" s="28">
        <f t="shared" ref="F26:F37" si="5">D26+E26</f>
        <v>0</v>
      </c>
      <c r="G26" s="28">
        <v>0</v>
      </c>
      <c r="H26" s="28">
        <v>0</v>
      </c>
      <c r="I26" s="77">
        <v>0</v>
      </c>
      <c r="J26" s="77">
        <v>0</v>
      </c>
      <c r="K26" s="107">
        <f>I26+J26</f>
        <v>0</v>
      </c>
      <c r="L26" s="28">
        <v>0</v>
      </c>
      <c r="M26" s="28">
        <f t="shared" ref="M26:M37" si="6">F26+H26+K26+L26</f>
        <v>0</v>
      </c>
      <c r="N26" s="130">
        <f t="shared" si="1"/>
        <v>0</v>
      </c>
      <c r="O26" s="3"/>
    </row>
    <row r="27" spans="1:15" x14ac:dyDescent="0.25">
      <c r="A27" s="15"/>
      <c r="B27" s="16" t="s">
        <v>24</v>
      </c>
      <c r="C27" s="3"/>
      <c r="D27" s="27">
        <v>0</v>
      </c>
      <c r="E27" s="28">
        <v>0</v>
      </c>
      <c r="F27" s="28">
        <f t="shared" si="5"/>
        <v>0</v>
      </c>
      <c r="G27" s="28">
        <v>0</v>
      </c>
      <c r="H27" s="28">
        <v>0</v>
      </c>
      <c r="I27" s="77">
        <v>0</v>
      </c>
      <c r="J27" s="77">
        <v>0</v>
      </c>
      <c r="K27" s="107">
        <f t="shared" ref="K27:K36" si="7">I27+J27</f>
        <v>0</v>
      </c>
      <c r="L27" s="28">
        <v>0</v>
      </c>
      <c r="M27" s="28">
        <f t="shared" si="6"/>
        <v>0</v>
      </c>
      <c r="N27" s="130">
        <f t="shared" si="1"/>
        <v>0</v>
      </c>
      <c r="O27" s="3"/>
    </row>
    <row r="28" spans="1:15" x14ac:dyDescent="0.25">
      <c r="A28" s="15"/>
      <c r="B28" s="16" t="s">
        <v>25</v>
      </c>
      <c r="C28" s="3"/>
      <c r="D28" s="27">
        <v>70589997</v>
      </c>
      <c r="E28" s="107">
        <v>3720427</v>
      </c>
      <c r="F28" s="28">
        <f t="shared" si="5"/>
        <v>74310424</v>
      </c>
      <c r="G28" s="28">
        <v>4036145.53</v>
      </c>
      <c r="H28" s="28">
        <v>0</v>
      </c>
      <c r="I28" s="77">
        <v>0</v>
      </c>
      <c r="J28" s="77">
        <v>6807967</v>
      </c>
      <c r="K28" s="107">
        <f t="shared" si="7"/>
        <v>6807967</v>
      </c>
      <c r="L28" s="28">
        <v>13018275</v>
      </c>
      <c r="M28" s="28">
        <f t="shared" si="6"/>
        <v>94136666</v>
      </c>
      <c r="N28" s="130">
        <f t="shared" si="1"/>
        <v>98172811.530000001</v>
      </c>
      <c r="O28" s="3"/>
    </row>
    <row r="29" spans="1:15" x14ac:dyDescent="0.25">
      <c r="A29" s="15"/>
      <c r="B29" s="16" t="s">
        <v>26</v>
      </c>
      <c r="C29" s="3"/>
      <c r="D29" s="27">
        <v>2463950</v>
      </c>
      <c r="E29" s="28">
        <v>229070</v>
      </c>
      <c r="F29" s="28">
        <f t="shared" si="5"/>
        <v>2693020</v>
      </c>
      <c r="G29" s="28">
        <v>2576300</v>
      </c>
      <c r="H29" s="28">
        <v>0</v>
      </c>
      <c r="I29" s="77">
        <v>17224127</v>
      </c>
      <c r="J29" s="77">
        <v>67000</v>
      </c>
      <c r="K29" s="107">
        <f t="shared" si="7"/>
        <v>17291127</v>
      </c>
      <c r="L29" s="28">
        <v>0</v>
      </c>
      <c r="M29" s="28">
        <f t="shared" si="6"/>
        <v>19984147</v>
      </c>
      <c r="N29" s="130">
        <f t="shared" si="1"/>
        <v>22560447</v>
      </c>
      <c r="O29" s="3"/>
    </row>
    <row r="30" spans="1:15" x14ac:dyDescent="0.25">
      <c r="A30" s="15"/>
      <c r="B30" s="16" t="s">
        <v>27</v>
      </c>
      <c r="C30" s="3"/>
      <c r="D30" s="27">
        <v>107546191</v>
      </c>
      <c r="E30" s="28">
        <v>11916815</v>
      </c>
      <c r="F30" s="28">
        <f t="shared" si="5"/>
        <v>119463006</v>
      </c>
      <c r="G30" s="28">
        <v>5361800</v>
      </c>
      <c r="H30" s="28">
        <v>7614116</v>
      </c>
      <c r="I30" s="77">
        <v>420667269</v>
      </c>
      <c r="J30" s="77">
        <v>19149447</v>
      </c>
      <c r="K30" s="107">
        <f t="shared" si="7"/>
        <v>439816716</v>
      </c>
      <c r="L30" s="28">
        <v>0</v>
      </c>
      <c r="M30" s="28">
        <f t="shared" si="6"/>
        <v>566893838</v>
      </c>
      <c r="N30" s="130">
        <f t="shared" si="1"/>
        <v>572255638</v>
      </c>
      <c r="O30" s="3"/>
    </row>
    <row r="31" spans="1:15" x14ac:dyDescent="0.25">
      <c r="A31" s="15"/>
      <c r="B31" s="16" t="s">
        <v>28</v>
      </c>
      <c r="C31" s="3"/>
      <c r="D31" s="27">
        <v>0</v>
      </c>
      <c r="E31" s="28">
        <v>0</v>
      </c>
      <c r="F31" s="28">
        <f t="shared" si="5"/>
        <v>0</v>
      </c>
      <c r="G31" s="28">
        <v>0</v>
      </c>
      <c r="H31" s="28">
        <v>0</v>
      </c>
      <c r="I31" s="77">
        <v>0</v>
      </c>
      <c r="J31" s="77">
        <v>0</v>
      </c>
      <c r="K31" s="107">
        <f t="shared" si="7"/>
        <v>0</v>
      </c>
      <c r="L31" s="28">
        <v>0</v>
      </c>
      <c r="M31" s="28">
        <f t="shared" si="6"/>
        <v>0</v>
      </c>
      <c r="N31" s="130">
        <f t="shared" si="1"/>
        <v>0</v>
      </c>
      <c r="O31" s="3"/>
    </row>
    <row r="32" spans="1:15" x14ac:dyDescent="0.25">
      <c r="A32" s="15"/>
      <c r="B32" s="16" t="s">
        <v>29</v>
      </c>
      <c r="C32" s="3"/>
      <c r="D32" s="27">
        <v>1701905</v>
      </c>
      <c r="E32" s="28">
        <v>213209</v>
      </c>
      <c r="F32" s="28">
        <f t="shared" si="5"/>
        <v>1915114</v>
      </c>
      <c r="G32" s="28">
        <v>1758165.1500000001</v>
      </c>
      <c r="H32" s="28">
        <v>0</v>
      </c>
      <c r="I32" s="77">
        <v>10567383</v>
      </c>
      <c r="J32" s="77">
        <v>61000</v>
      </c>
      <c r="K32" s="107">
        <f t="shared" si="7"/>
        <v>10628383</v>
      </c>
      <c r="L32" s="28">
        <v>0</v>
      </c>
      <c r="M32" s="28">
        <f t="shared" si="6"/>
        <v>12543497</v>
      </c>
      <c r="N32" s="130">
        <f t="shared" si="1"/>
        <v>14301662.15</v>
      </c>
      <c r="O32" s="3"/>
    </row>
    <row r="33" spans="1:15" x14ac:dyDescent="0.25">
      <c r="A33" s="15"/>
      <c r="B33" s="16" t="s">
        <v>30</v>
      </c>
      <c r="C33" s="3"/>
      <c r="D33" s="27">
        <v>71313200</v>
      </c>
      <c r="E33" s="28">
        <v>3526217</v>
      </c>
      <c r="F33" s="28">
        <f t="shared" si="5"/>
        <v>74839417</v>
      </c>
      <c r="G33" s="28">
        <v>5350000</v>
      </c>
      <c r="H33" s="28">
        <v>0</v>
      </c>
      <c r="I33" s="77">
        <v>65582993</v>
      </c>
      <c r="J33" s="77">
        <v>2153386</v>
      </c>
      <c r="K33" s="107">
        <f t="shared" si="7"/>
        <v>67736379</v>
      </c>
      <c r="L33" s="28">
        <v>0</v>
      </c>
      <c r="M33" s="28">
        <f t="shared" si="6"/>
        <v>142575796</v>
      </c>
      <c r="N33" s="130">
        <f t="shared" si="1"/>
        <v>147925796</v>
      </c>
      <c r="O33" s="3"/>
    </row>
    <row r="34" spans="1:15" x14ac:dyDescent="0.25">
      <c r="A34" s="15"/>
      <c r="B34" s="16" t="s">
        <v>31</v>
      </c>
      <c r="C34" s="3"/>
      <c r="D34" s="27">
        <v>51280400</v>
      </c>
      <c r="E34" s="107">
        <v>6879411</v>
      </c>
      <c r="F34" s="28">
        <f t="shared" si="5"/>
        <v>58159811</v>
      </c>
      <c r="G34" s="28">
        <v>7277700</v>
      </c>
      <c r="H34" s="28">
        <v>0</v>
      </c>
      <c r="I34" s="77">
        <v>23636590</v>
      </c>
      <c r="J34" s="77">
        <v>0</v>
      </c>
      <c r="K34" s="107">
        <f t="shared" si="7"/>
        <v>23636590</v>
      </c>
      <c r="L34" s="28">
        <v>0</v>
      </c>
      <c r="M34" s="28">
        <f t="shared" si="6"/>
        <v>81796401</v>
      </c>
      <c r="N34" s="130">
        <f t="shared" si="1"/>
        <v>89074101</v>
      </c>
      <c r="O34" s="3"/>
    </row>
    <row r="35" spans="1:15" x14ac:dyDescent="0.25">
      <c r="A35" s="15"/>
      <c r="B35" s="16" t="s">
        <v>32</v>
      </c>
      <c r="C35" s="3"/>
      <c r="D35" s="27">
        <v>8023149</v>
      </c>
      <c r="E35" s="28">
        <v>539159</v>
      </c>
      <c r="F35" s="28">
        <f t="shared" si="5"/>
        <v>8562308</v>
      </c>
      <c r="G35" s="28">
        <v>781100</v>
      </c>
      <c r="H35" s="28">
        <v>0</v>
      </c>
      <c r="I35" s="77">
        <v>52594397</v>
      </c>
      <c r="J35" s="77">
        <v>400000</v>
      </c>
      <c r="K35" s="107">
        <f t="shared" si="7"/>
        <v>52994397</v>
      </c>
      <c r="L35" s="28">
        <v>0</v>
      </c>
      <c r="M35" s="28">
        <f t="shared" si="6"/>
        <v>61556705</v>
      </c>
      <c r="N35" s="130">
        <f t="shared" si="1"/>
        <v>62337805</v>
      </c>
      <c r="O35" s="3"/>
    </row>
    <row r="36" spans="1:15" x14ac:dyDescent="0.25">
      <c r="A36" s="15"/>
      <c r="B36" s="16" t="s">
        <v>33</v>
      </c>
      <c r="C36" s="3"/>
      <c r="D36" s="27">
        <v>0</v>
      </c>
      <c r="E36" s="28">
        <v>0</v>
      </c>
      <c r="F36" s="28">
        <f t="shared" si="5"/>
        <v>0</v>
      </c>
      <c r="G36" s="28">
        <v>0</v>
      </c>
      <c r="H36" s="28">
        <v>0</v>
      </c>
      <c r="I36" s="77">
        <v>0</v>
      </c>
      <c r="J36" s="77">
        <v>0</v>
      </c>
      <c r="K36" s="107">
        <f t="shared" si="7"/>
        <v>0</v>
      </c>
      <c r="L36" s="28">
        <v>0</v>
      </c>
      <c r="M36" s="28">
        <f t="shared" si="6"/>
        <v>0</v>
      </c>
      <c r="N36" s="130">
        <f t="shared" si="1"/>
        <v>0</v>
      </c>
      <c r="O36" s="3"/>
    </row>
    <row r="37" spans="1:15" x14ac:dyDescent="0.25">
      <c r="A37" s="15"/>
      <c r="B37" s="16" t="s">
        <v>34</v>
      </c>
      <c r="C37" s="3"/>
      <c r="D37" s="27">
        <v>17810797</v>
      </c>
      <c r="E37" s="28">
        <v>80408</v>
      </c>
      <c r="F37" s="28">
        <f t="shared" si="5"/>
        <v>17891205</v>
      </c>
      <c r="G37" s="28">
        <v>2917239.73</v>
      </c>
      <c r="H37" s="28">
        <v>0</v>
      </c>
      <c r="I37" s="77">
        <v>0</v>
      </c>
      <c r="J37" s="77">
        <v>845561</v>
      </c>
      <c r="K37" s="107">
        <f>I37+J37</f>
        <v>845561</v>
      </c>
      <c r="L37" s="28">
        <v>0</v>
      </c>
      <c r="M37" s="28">
        <f t="shared" si="6"/>
        <v>18736766</v>
      </c>
      <c r="N37" s="130">
        <f t="shared" si="1"/>
        <v>21654005.73</v>
      </c>
      <c r="O37" s="3"/>
    </row>
    <row r="38" spans="1:15" ht="14.25" customHeight="1" x14ac:dyDescent="0.25">
      <c r="A38" s="17" t="s">
        <v>35</v>
      </c>
      <c r="B38" s="18"/>
      <c r="C38" s="6"/>
      <c r="D38" s="83">
        <f t="shared" ref="D38:L38" si="8">SUM(D26:D37)</f>
        <v>330729589</v>
      </c>
      <c r="E38" s="83">
        <f t="shared" si="8"/>
        <v>27104716</v>
      </c>
      <c r="F38" s="83">
        <f t="shared" si="8"/>
        <v>357834305</v>
      </c>
      <c r="G38" s="83">
        <f>SUM(G26:G37)</f>
        <v>30058450.41</v>
      </c>
      <c r="H38" s="83">
        <f t="shared" si="8"/>
        <v>7614116</v>
      </c>
      <c r="I38" s="74">
        <f>SUM(I26:I37)</f>
        <v>590272759</v>
      </c>
      <c r="J38" s="74">
        <f>SUM(J26:J37)</f>
        <v>29484361</v>
      </c>
      <c r="K38" s="111">
        <f t="shared" si="8"/>
        <v>619757120</v>
      </c>
      <c r="L38" s="83">
        <f t="shared" si="8"/>
        <v>13018275</v>
      </c>
      <c r="M38" s="83">
        <f>F38+H38+K38+L38</f>
        <v>998223816</v>
      </c>
      <c r="N38" s="83">
        <f t="shared" si="1"/>
        <v>1028282266.4100001</v>
      </c>
      <c r="O38" s="6"/>
    </row>
    <row r="39" spans="1:15" x14ac:dyDescent="0.25">
      <c r="A39" s="14" t="s">
        <v>36</v>
      </c>
      <c r="B39" s="14" t="s">
        <v>37</v>
      </c>
      <c r="C39" s="3"/>
      <c r="D39" s="27">
        <v>4914457</v>
      </c>
      <c r="E39" s="28">
        <v>1797470</v>
      </c>
      <c r="F39" s="28">
        <f t="shared" ref="F39:F44" si="9">D39+E39</f>
        <v>6711927</v>
      </c>
      <c r="G39" s="28">
        <v>0</v>
      </c>
      <c r="H39" s="28">
        <v>0</v>
      </c>
      <c r="I39" s="77">
        <v>0</v>
      </c>
      <c r="J39" s="77">
        <v>0</v>
      </c>
      <c r="K39" s="107">
        <f>I39+J39</f>
        <v>0</v>
      </c>
      <c r="L39" s="28">
        <v>3654209</v>
      </c>
      <c r="M39" s="28">
        <f t="shared" ref="M39:M44" si="10">F39+H39+K39+L39</f>
        <v>10366136</v>
      </c>
      <c r="N39" s="130">
        <f t="shared" si="1"/>
        <v>10366136</v>
      </c>
      <c r="O39" s="3"/>
    </row>
    <row r="40" spans="1:15" x14ac:dyDescent="0.25">
      <c r="A40" s="15"/>
      <c r="B40" s="16" t="s">
        <v>38</v>
      </c>
      <c r="C40" s="3"/>
      <c r="D40" s="27">
        <v>17275725</v>
      </c>
      <c r="E40" s="28">
        <v>1593248</v>
      </c>
      <c r="F40" s="28">
        <f t="shared" si="9"/>
        <v>18868973</v>
      </c>
      <c r="G40" s="28">
        <v>1668983</v>
      </c>
      <c r="H40" s="28">
        <v>3028515</v>
      </c>
      <c r="I40" s="77">
        <v>59971734</v>
      </c>
      <c r="J40" s="77">
        <v>2209632</v>
      </c>
      <c r="K40" s="107">
        <f t="shared" ref="K40:K43" si="11">I40+J40</f>
        <v>62181366</v>
      </c>
      <c r="L40" s="28">
        <v>0</v>
      </c>
      <c r="M40" s="28">
        <f t="shared" si="10"/>
        <v>84078854</v>
      </c>
      <c r="N40" s="130">
        <f t="shared" si="1"/>
        <v>85747837</v>
      </c>
      <c r="O40" s="3"/>
    </row>
    <row r="41" spans="1:15" x14ac:dyDescent="0.25">
      <c r="A41" s="15"/>
      <c r="B41" s="16" t="s">
        <v>39</v>
      </c>
      <c r="C41" s="3"/>
      <c r="D41" s="27">
        <v>3735319</v>
      </c>
      <c r="E41" s="28">
        <v>172939</v>
      </c>
      <c r="F41" s="28">
        <f t="shared" si="9"/>
        <v>3908258</v>
      </c>
      <c r="G41" s="28">
        <v>417291</v>
      </c>
      <c r="H41" s="28">
        <v>0</v>
      </c>
      <c r="I41" s="77">
        <v>13967744</v>
      </c>
      <c r="J41" s="77">
        <v>0</v>
      </c>
      <c r="K41" s="107">
        <f t="shared" si="11"/>
        <v>13967744</v>
      </c>
      <c r="L41" s="28">
        <v>0</v>
      </c>
      <c r="M41" s="28">
        <f t="shared" si="10"/>
        <v>17876002</v>
      </c>
      <c r="N41" s="130">
        <f t="shared" si="1"/>
        <v>18293293</v>
      </c>
      <c r="O41" s="3"/>
    </row>
    <row r="42" spans="1:15" x14ac:dyDescent="0.25">
      <c r="A42" s="15"/>
      <c r="B42" s="16" t="s">
        <v>40</v>
      </c>
      <c r="C42" s="3"/>
      <c r="D42" s="106">
        <v>8158721</v>
      </c>
      <c r="E42" s="28">
        <v>502799</v>
      </c>
      <c r="F42" s="28">
        <f t="shared" si="9"/>
        <v>8661520</v>
      </c>
      <c r="G42" s="28">
        <v>750736</v>
      </c>
      <c r="H42" s="28">
        <v>0</v>
      </c>
      <c r="I42" s="77">
        <v>14947545.43</v>
      </c>
      <c r="J42" s="77">
        <v>0</v>
      </c>
      <c r="K42" s="107">
        <f t="shared" si="11"/>
        <v>14947545.43</v>
      </c>
      <c r="L42" s="28">
        <v>0</v>
      </c>
      <c r="M42" s="28">
        <f t="shared" si="10"/>
        <v>23609065.43</v>
      </c>
      <c r="N42" s="130">
        <f t="shared" si="1"/>
        <v>24359801.43</v>
      </c>
      <c r="O42" s="3"/>
    </row>
    <row r="43" spans="1:15" x14ac:dyDescent="0.25">
      <c r="A43" s="15"/>
      <c r="B43" s="16" t="s">
        <v>41</v>
      </c>
      <c r="C43" s="3"/>
      <c r="D43" s="27">
        <v>4958497</v>
      </c>
      <c r="E43" s="28">
        <v>162060</v>
      </c>
      <c r="F43" s="28">
        <f t="shared" si="9"/>
        <v>5120557</v>
      </c>
      <c r="G43" s="28">
        <v>594302</v>
      </c>
      <c r="H43" s="28">
        <v>0</v>
      </c>
      <c r="I43" s="77">
        <v>9202076</v>
      </c>
      <c r="J43" s="77">
        <v>806762</v>
      </c>
      <c r="K43" s="107">
        <f t="shared" si="11"/>
        <v>10008838</v>
      </c>
      <c r="L43" s="28">
        <v>0</v>
      </c>
      <c r="M43" s="28">
        <f t="shared" si="10"/>
        <v>15129395</v>
      </c>
      <c r="N43" s="130">
        <f t="shared" si="1"/>
        <v>15723697</v>
      </c>
      <c r="O43" s="3"/>
    </row>
    <row r="44" spans="1:15" x14ac:dyDescent="0.25">
      <c r="A44" s="15"/>
      <c r="B44" s="16" t="s">
        <v>42</v>
      </c>
      <c r="C44" s="3"/>
      <c r="D44" s="106">
        <v>4399565</v>
      </c>
      <c r="E44" s="28">
        <v>0</v>
      </c>
      <c r="F44" s="28">
        <f t="shared" si="9"/>
        <v>4399565</v>
      </c>
      <c r="G44" s="28">
        <v>0</v>
      </c>
      <c r="H44" s="28">
        <v>0</v>
      </c>
      <c r="I44" s="77">
        <v>0</v>
      </c>
      <c r="J44" s="77">
        <v>0</v>
      </c>
      <c r="K44" s="107">
        <f>I44+J44</f>
        <v>0</v>
      </c>
      <c r="L44" s="28">
        <v>0</v>
      </c>
      <c r="M44" s="28">
        <f t="shared" si="10"/>
        <v>4399565</v>
      </c>
      <c r="N44" s="130">
        <f t="shared" si="1"/>
        <v>4399565</v>
      </c>
      <c r="O44" s="3"/>
    </row>
    <row r="45" spans="1:15" x14ac:dyDescent="0.25">
      <c r="A45" s="17" t="s">
        <v>43</v>
      </c>
      <c r="B45" s="18"/>
      <c r="C45" s="6"/>
      <c r="D45" s="42">
        <f t="shared" ref="D45:L45" si="12">SUM(D39:D44)</f>
        <v>43442284</v>
      </c>
      <c r="E45" s="42">
        <f t="shared" si="12"/>
        <v>4228516</v>
      </c>
      <c r="F45" s="42">
        <f t="shared" si="12"/>
        <v>47670800</v>
      </c>
      <c r="G45" s="42">
        <f>SUM(G39:G44)</f>
        <v>3431312</v>
      </c>
      <c r="H45" s="42">
        <f t="shared" si="12"/>
        <v>3028515</v>
      </c>
      <c r="I45" s="78">
        <f>SUM(I39:I44)</f>
        <v>98089099.430000007</v>
      </c>
      <c r="J45" s="78">
        <f>SUM(J39:J44)</f>
        <v>3016394</v>
      </c>
      <c r="K45" s="112">
        <f>SUM(K39:K44)</f>
        <v>101105493.43000001</v>
      </c>
      <c r="L45" s="42">
        <f t="shared" si="12"/>
        <v>3654209</v>
      </c>
      <c r="M45" s="83">
        <f>F45+H45+K45+L45</f>
        <v>155459017.43000001</v>
      </c>
      <c r="N45" s="83">
        <f t="shared" si="1"/>
        <v>158890329.43000001</v>
      </c>
      <c r="O45" s="6"/>
    </row>
    <row r="46" spans="1:15" x14ac:dyDescent="0.25">
      <c r="A46" s="14" t="s">
        <v>44</v>
      </c>
      <c r="B46" s="14" t="s">
        <v>45</v>
      </c>
      <c r="C46" s="3"/>
      <c r="D46" s="27">
        <v>10644878</v>
      </c>
      <c r="E46" s="28">
        <v>891293</v>
      </c>
      <c r="F46" s="28">
        <f t="shared" ref="F46:F55" si="13">D46+E46</f>
        <v>11536171</v>
      </c>
      <c r="G46" s="28">
        <v>3115385</v>
      </c>
      <c r="H46" s="28">
        <v>0</v>
      </c>
      <c r="I46" s="77">
        <v>35105511</v>
      </c>
      <c r="J46" s="77">
        <v>364532</v>
      </c>
      <c r="K46" s="107">
        <f t="shared" ref="K46:K55" si="14">I46+J46</f>
        <v>35470043</v>
      </c>
      <c r="L46" s="28">
        <v>0</v>
      </c>
      <c r="M46" s="28">
        <f t="shared" ref="M46:M55" si="15">F46+H46+K46+L46</f>
        <v>47006214</v>
      </c>
      <c r="N46" s="130">
        <f t="shared" si="1"/>
        <v>50121599</v>
      </c>
      <c r="O46" s="3"/>
    </row>
    <row r="47" spans="1:15" x14ac:dyDescent="0.25">
      <c r="A47" s="15"/>
      <c r="B47" s="16" t="s">
        <v>46</v>
      </c>
      <c r="C47" s="3"/>
      <c r="D47" s="27">
        <v>20627264</v>
      </c>
      <c r="E47" s="28">
        <v>1686957</v>
      </c>
      <c r="F47" s="28">
        <f t="shared" si="13"/>
        <v>22314221</v>
      </c>
      <c r="G47" s="28">
        <v>6396237</v>
      </c>
      <c r="H47" s="28">
        <v>0</v>
      </c>
      <c r="I47" s="77">
        <v>92054000</v>
      </c>
      <c r="J47" s="77">
        <v>11301648</v>
      </c>
      <c r="K47" s="107">
        <f t="shared" si="14"/>
        <v>103355648</v>
      </c>
      <c r="L47" s="28">
        <v>0</v>
      </c>
      <c r="M47" s="28">
        <f t="shared" si="15"/>
        <v>125669869</v>
      </c>
      <c r="N47" s="130">
        <f t="shared" si="1"/>
        <v>132066106</v>
      </c>
      <c r="O47" s="3"/>
    </row>
    <row r="48" spans="1:15" x14ac:dyDescent="0.25">
      <c r="A48" s="15"/>
      <c r="B48" s="16" t="s">
        <v>47</v>
      </c>
      <c r="C48" s="3"/>
      <c r="D48" s="27">
        <v>11684605</v>
      </c>
      <c r="E48" s="28">
        <v>2958140</v>
      </c>
      <c r="F48" s="28">
        <f t="shared" si="13"/>
        <v>14642745</v>
      </c>
      <c r="G48" s="28">
        <v>4760441</v>
      </c>
      <c r="H48" s="28">
        <v>0</v>
      </c>
      <c r="I48" s="77">
        <v>52203706</v>
      </c>
      <c r="J48" s="77">
        <v>1185414</v>
      </c>
      <c r="K48" s="107">
        <f t="shared" si="14"/>
        <v>53389120</v>
      </c>
      <c r="L48" s="28">
        <v>0</v>
      </c>
      <c r="M48" s="28">
        <f t="shared" si="15"/>
        <v>68031865</v>
      </c>
      <c r="N48" s="130">
        <f t="shared" si="1"/>
        <v>72792306</v>
      </c>
      <c r="O48" s="3"/>
    </row>
    <row r="49" spans="1:17" x14ac:dyDescent="0.25">
      <c r="A49" s="15"/>
      <c r="B49" s="16" t="s">
        <v>48</v>
      </c>
      <c r="C49" s="3"/>
      <c r="D49" s="27">
        <v>10945436</v>
      </c>
      <c r="E49" s="28">
        <v>955184</v>
      </c>
      <c r="F49" s="28">
        <f t="shared" si="13"/>
        <v>11900620</v>
      </c>
      <c r="G49" s="28">
        <v>2994071</v>
      </c>
      <c r="H49" s="28">
        <v>0</v>
      </c>
      <c r="I49" s="77">
        <v>41529761</v>
      </c>
      <c r="J49" s="77">
        <v>2787970</v>
      </c>
      <c r="K49" s="107">
        <f t="shared" si="14"/>
        <v>44317731</v>
      </c>
      <c r="L49" s="28">
        <v>0</v>
      </c>
      <c r="M49" s="28">
        <f t="shared" si="15"/>
        <v>56218351</v>
      </c>
      <c r="N49" s="130">
        <f t="shared" si="1"/>
        <v>59212422</v>
      </c>
      <c r="O49" s="3"/>
    </row>
    <row r="50" spans="1:17" x14ac:dyDescent="0.25">
      <c r="A50" s="15"/>
      <c r="B50" s="16" t="s">
        <v>49</v>
      </c>
      <c r="C50" s="3"/>
      <c r="D50" s="27">
        <v>16481211</v>
      </c>
      <c r="E50" s="28">
        <v>1114319</v>
      </c>
      <c r="F50" s="28">
        <f t="shared" si="13"/>
        <v>17595530</v>
      </c>
      <c r="G50" s="28">
        <v>3652546</v>
      </c>
      <c r="H50" s="28">
        <v>74923</v>
      </c>
      <c r="I50" s="77">
        <v>61007813</v>
      </c>
      <c r="J50" s="77">
        <v>643314</v>
      </c>
      <c r="K50" s="107">
        <f t="shared" si="14"/>
        <v>61651127</v>
      </c>
      <c r="L50" s="28">
        <v>0</v>
      </c>
      <c r="M50" s="28">
        <f t="shared" si="15"/>
        <v>79321580</v>
      </c>
      <c r="N50" s="130">
        <f t="shared" si="1"/>
        <v>82974126</v>
      </c>
      <c r="O50" s="3"/>
    </row>
    <row r="51" spans="1:17" x14ac:dyDescent="0.25">
      <c r="A51" s="15"/>
      <c r="B51" s="16" t="s">
        <v>50</v>
      </c>
      <c r="C51" s="3"/>
      <c r="D51" s="27">
        <v>22060896</v>
      </c>
      <c r="E51" s="28">
        <v>1765779</v>
      </c>
      <c r="F51" s="28">
        <f t="shared" si="13"/>
        <v>23826675</v>
      </c>
      <c r="G51" s="28">
        <v>5077968</v>
      </c>
      <c r="H51" s="28">
        <v>0</v>
      </c>
      <c r="I51" s="77">
        <v>92594788</v>
      </c>
      <c r="J51" s="77">
        <v>4277311</v>
      </c>
      <c r="K51" s="107">
        <f t="shared" si="14"/>
        <v>96872099</v>
      </c>
      <c r="L51" s="28">
        <v>0</v>
      </c>
      <c r="M51" s="28">
        <f t="shared" si="15"/>
        <v>120698774</v>
      </c>
      <c r="N51" s="130">
        <f t="shared" si="1"/>
        <v>125776742</v>
      </c>
      <c r="O51" s="3"/>
    </row>
    <row r="52" spans="1:17" x14ac:dyDescent="0.25">
      <c r="A52" s="15"/>
      <c r="B52" s="16" t="s">
        <v>51</v>
      </c>
      <c r="C52" s="3"/>
      <c r="D52" s="27">
        <v>1001967</v>
      </c>
      <c r="E52" s="28">
        <v>0</v>
      </c>
      <c r="F52" s="28">
        <f t="shared" si="13"/>
        <v>1001967</v>
      </c>
      <c r="G52" s="28">
        <v>0</v>
      </c>
      <c r="H52" s="28">
        <v>0</v>
      </c>
      <c r="I52" s="77">
        <v>0</v>
      </c>
      <c r="J52" s="77">
        <v>2814000</v>
      </c>
      <c r="K52" s="107">
        <f t="shared" si="14"/>
        <v>2814000</v>
      </c>
      <c r="L52" s="28">
        <v>0</v>
      </c>
      <c r="M52" s="28">
        <f t="shared" si="15"/>
        <v>3815967</v>
      </c>
      <c r="N52" s="130">
        <f t="shared" si="1"/>
        <v>3815967</v>
      </c>
      <c r="O52" s="3"/>
    </row>
    <row r="53" spans="1:17" x14ac:dyDescent="0.25">
      <c r="A53" s="15"/>
      <c r="B53" s="16" t="s">
        <v>52</v>
      </c>
      <c r="C53" s="3"/>
      <c r="D53" s="27">
        <v>38627802</v>
      </c>
      <c r="E53" s="28">
        <v>2274579</v>
      </c>
      <c r="F53" s="28">
        <f t="shared" si="13"/>
        <v>40902381</v>
      </c>
      <c r="G53" s="28">
        <v>8260596</v>
      </c>
      <c r="H53" s="28">
        <v>185000</v>
      </c>
      <c r="I53" s="77">
        <v>127922425</v>
      </c>
      <c r="J53" s="77">
        <v>9017100</v>
      </c>
      <c r="K53" s="107">
        <f t="shared" si="14"/>
        <v>136939525</v>
      </c>
      <c r="L53" s="28">
        <v>0</v>
      </c>
      <c r="M53" s="28">
        <f t="shared" si="15"/>
        <v>178026906</v>
      </c>
      <c r="N53" s="130">
        <f t="shared" si="1"/>
        <v>186287502</v>
      </c>
      <c r="O53" s="3"/>
    </row>
    <row r="54" spans="1:17" x14ac:dyDescent="0.25">
      <c r="A54" s="15"/>
      <c r="B54" s="16" t="s">
        <v>53</v>
      </c>
      <c r="C54" s="3"/>
      <c r="D54" s="27">
        <v>21857156</v>
      </c>
      <c r="E54" s="28">
        <v>1609834</v>
      </c>
      <c r="F54" s="28">
        <f t="shared" si="13"/>
        <v>23466990</v>
      </c>
      <c r="G54" s="28">
        <v>5153206</v>
      </c>
      <c r="H54" s="28">
        <v>0</v>
      </c>
      <c r="I54" s="77">
        <v>65888844</v>
      </c>
      <c r="J54" s="77">
        <v>2338866</v>
      </c>
      <c r="K54" s="107">
        <f t="shared" si="14"/>
        <v>68227710</v>
      </c>
      <c r="L54" s="28">
        <v>0</v>
      </c>
      <c r="M54" s="28">
        <f t="shared" si="15"/>
        <v>91694700</v>
      </c>
      <c r="N54" s="130">
        <f t="shared" si="1"/>
        <v>96847906</v>
      </c>
      <c r="O54" s="3"/>
    </row>
    <row r="55" spans="1:17" x14ac:dyDescent="0.25">
      <c r="A55" s="15"/>
      <c r="B55" s="16" t="s">
        <v>54</v>
      </c>
      <c r="C55" s="3"/>
      <c r="D55" s="27">
        <v>16057762</v>
      </c>
      <c r="E55" s="28">
        <v>2182906</v>
      </c>
      <c r="F55" s="28">
        <f t="shared" si="13"/>
        <v>18240668</v>
      </c>
      <c r="G55" s="28">
        <v>8516905</v>
      </c>
      <c r="H55" s="28">
        <v>0</v>
      </c>
      <c r="I55" s="77">
        <v>60979257</v>
      </c>
      <c r="J55" s="77">
        <v>8766885</v>
      </c>
      <c r="K55" s="107">
        <f t="shared" si="14"/>
        <v>69746142</v>
      </c>
      <c r="L55" s="28">
        <v>0</v>
      </c>
      <c r="M55" s="28">
        <f t="shared" si="15"/>
        <v>87986810</v>
      </c>
      <c r="N55" s="130">
        <f t="shared" si="1"/>
        <v>96503715</v>
      </c>
      <c r="O55" s="3"/>
    </row>
    <row r="56" spans="1:17" x14ac:dyDescent="0.25">
      <c r="A56" s="12" t="s">
        <v>55</v>
      </c>
      <c r="B56" s="13"/>
      <c r="C56" s="6"/>
      <c r="D56" s="83">
        <f t="shared" ref="D56:L56" si="16">SUM(D46:D55)</f>
        <v>169988977</v>
      </c>
      <c r="E56" s="83">
        <f t="shared" si="16"/>
        <v>15438991</v>
      </c>
      <c r="F56" s="83">
        <f t="shared" si="16"/>
        <v>185427968</v>
      </c>
      <c r="G56" s="83">
        <f>SUM(G46:G55)</f>
        <v>47927355</v>
      </c>
      <c r="H56" s="83">
        <f t="shared" si="16"/>
        <v>259923</v>
      </c>
      <c r="I56" s="74">
        <f>SUM(I46:I55)</f>
        <v>629286105</v>
      </c>
      <c r="J56" s="74">
        <f>SUM(J46:J55)</f>
        <v>43497040</v>
      </c>
      <c r="K56" s="111">
        <f t="shared" si="16"/>
        <v>672783145</v>
      </c>
      <c r="L56" s="83">
        <f t="shared" si="16"/>
        <v>0</v>
      </c>
      <c r="M56" s="83">
        <f>F56+H56+K56+L56</f>
        <v>858471036</v>
      </c>
      <c r="N56" s="83">
        <f t="shared" si="1"/>
        <v>906398391</v>
      </c>
      <c r="O56" s="6"/>
    </row>
    <row r="57" spans="1:17" x14ac:dyDescent="0.25">
      <c r="A57" s="12" t="s">
        <v>56</v>
      </c>
      <c r="B57" s="13"/>
      <c r="C57" s="6"/>
      <c r="D57" s="53">
        <f t="shared" ref="D57:L57" si="17">D56+D45+D38+D25+D8+D7+D6</f>
        <v>968474133</v>
      </c>
      <c r="E57" s="53">
        <f t="shared" si="17"/>
        <v>144129895</v>
      </c>
      <c r="F57" s="83">
        <f t="shared" si="17"/>
        <v>1112604028</v>
      </c>
      <c r="G57" s="83">
        <f t="shared" ref="G57" si="18">G56+G45+G38+G25+G8+G7+G6</f>
        <v>100621117.41</v>
      </c>
      <c r="H57" s="53">
        <f t="shared" si="17"/>
        <v>21767256</v>
      </c>
      <c r="I57" s="79">
        <f>I56+I45+I38+I25+I8+I7+I6</f>
        <v>1490374921.23</v>
      </c>
      <c r="J57" s="79">
        <f>J56+J45+J38+J25+J8+J7+J6</f>
        <v>90231136</v>
      </c>
      <c r="K57" s="111">
        <f t="shared" si="17"/>
        <v>1580606057.23</v>
      </c>
      <c r="L57" s="53">
        <f t="shared" si="17"/>
        <v>70217796</v>
      </c>
      <c r="M57" s="83">
        <f>F57+H57+K57+L57+G6</f>
        <v>2788445137.23</v>
      </c>
      <c r="N57" s="83">
        <f t="shared" si="1"/>
        <v>2885816254.6400003</v>
      </c>
      <c r="O57" s="6"/>
      <c r="Q57" s="25"/>
    </row>
    <row r="58" spans="1:17" s="134" customFormat="1" x14ac:dyDescent="0.25">
      <c r="A58" s="138" t="s">
        <v>63</v>
      </c>
      <c r="B58" s="138"/>
      <c r="C58" s="138"/>
      <c r="D58" s="139">
        <f>D57-D7-D26-D27-0</f>
        <v>663221111</v>
      </c>
      <c r="E58" s="139">
        <f>E57-E7-E26-E27-0</f>
        <v>86488606</v>
      </c>
      <c r="F58" s="140">
        <f>D58+E58</f>
        <v>749709717</v>
      </c>
      <c r="G58" s="139">
        <f>G57-G7-G26-G27-0</f>
        <v>100621117.41</v>
      </c>
      <c r="H58" s="139">
        <f>H57-H7-H26-H27-0</f>
        <v>21096258</v>
      </c>
      <c r="I58" s="139">
        <f>I57-I7-I26-I27-0</f>
        <v>1490374921.23</v>
      </c>
      <c r="J58" s="139">
        <f>J57-J7-J26-J27-0</f>
        <v>90231136</v>
      </c>
      <c r="K58" s="140">
        <f>K57-K7-K26-K27</f>
        <v>1580606057.23</v>
      </c>
      <c r="L58" s="139">
        <f>L57-L7-L26-L27-0</f>
        <v>32879465</v>
      </c>
      <c r="M58" s="139">
        <f>F58+H58+K58+L58+G6</f>
        <v>2387541497.23</v>
      </c>
      <c r="N58" s="139">
        <f>F58+G58+H58+K58+L58</f>
        <v>2484912614.6399999</v>
      </c>
      <c r="O58" s="131"/>
      <c r="P58" s="132"/>
      <c r="Q58" s="133"/>
    </row>
    <row r="59" spans="1:17" x14ac:dyDescent="0.25">
      <c r="A59" s="7"/>
      <c r="B59" s="7"/>
      <c r="C59" s="7"/>
      <c r="O59" s="7"/>
      <c r="Q59" s="25"/>
    </row>
    <row r="60" spans="1:17" x14ac:dyDescent="0.25">
      <c r="A60" s="7"/>
      <c r="B60" s="7"/>
      <c r="C60" s="7"/>
      <c r="O60" s="7"/>
    </row>
    <row r="61" spans="1:17" x14ac:dyDescent="0.25">
      <c r="A61" s="98"/>
      <c r="D61" s="25"/>
      <c r="E61" s="25"/>
      <c r="H61" s="25"/>
      <c r="I61" s="25"/>
      <c r="J61" s="25"/>
      <c r="L61" s="25"/>
    </row>
    <row r="64" spans="1:17" x14ac:dyDescent="0.25">
      <c r="D64" s="25"/>
    </row>
    <row r="67" spans="1:17" s="25" customFormat="1" x14ac:dyDescent="0.25">
      <c r="A67"/>
      <c r="B67"/>
      <c r="C67"/>
      <c r="D67"/>
      <c r="E67"/>
      <c r="L67"/>
      <c r="O67"/>
      <c r="P67"/>
      <c r="Q67"/>
    </row>
    <row r="69" spans="1:17" s="25" customFormat="1" x14ac:dyDescent="0.25">
      <c r="A69"/>
      <c r="B69"/>
      <c r="C69"/>
      <c r="O69"/>
      <c r="P69"/>
      <c r="Q69"/>
    </row>
    <row r="70" spans="1:17" s="25" customFormat="1" x14ac:dyDescent="0.25">
      <c r="A70"/>
      <c r="B70"/>
      <c r="C70"/>
      <c r="O70"/>
      <c r="P70"/>
      <c r="Q70"/>
    </row>
    <row r="71" spans="1:17" s="25" customFormat="1" x14ac:dyDescent="0.25">
      <c r="A71"/>
      <c r="B71"/>
      <c r="C71"/>
      <c r="O71"/>
      <c r="P71"/>
      <c r="Q71"/>
    </row>
    <row r="74" spans="1:17" s="25" customFormat="1" x14ac:dyDescent="0.25">
      <c r="A74"/>
      <c r="B74"/>
      <c r="C74"/>
      <c r="O74"/>
      <c r="P74"/>
      <c r="Q74"/>
    </row>
    <row r="75" spans="1:17" s="25" customFormat="1" x14ac:dyDescent="0.25">
      <c r="A75"/>
      <c r="B75"/>
      <c r="C75"/>
      <c r="O75"/>
      <c r="P75"/>
      <c r="Q75"/>
    </row>
    <row r="76" spans="1:17" s="25" customFormat="1" x14ac:dyDescent="0.25">
      <c r="A76"/>
      <c r="B76"/>
      <c r="C76"/>
      <c r="O76"/>
      <c r="P76"/>
      <c r="Q76"/>
    </row>
    <row r="77" spans="1:17" s="25" customFormat="1" x14ac:dyDescent="0.25">
      <c r="A77"/>
      <c r="B77"/>
      <c r="C77"/>
      <c r="O77"/>
      <c r="P77"/>
      <c r="Q77"/>
    </row>
    <row r="78" spans="1:17" s="25" customFormat="1" x14ac:dyDescent="0.25">
      <c r="A78"/>
      <c r="B78"/>
      <c r="C78"/>
      <c r="O78"/>
      <c r="P78"/>
      <c r="Q78"/>
    </row>
    <row r="79" spans="1:17" s="25" customFormat="1" x14ac:dyDescent="0.25">
      <c r="A79"/>
      <c r="B79"/>
      <c r="C79"/>
      <c r="O79"/>
      <c r="P79"/>
      <c r="Q79"/>
    </row>
    <row r="82" spans="1:17" s="25" customFormat="1" x14ac:dyDescent="0.25">
      <c r="A82"/>
      <c r="B82"/>
      <c r="C82"/>
      <c r="E82"/>
      <c r="H82"/>
      <c r="I82"/>
      <c r="J82"/>
      <c r="K82" s="109"/>
      <c r="L82"/>
      <c r="O82"/>
      <c r="P82"/>
      <c r="Q82"/>
    </row>
  </sheetData>
  <pageMargins left="0.7" right="0.7" top="0.75" bottom="0.75" header="0.3" footer="0.3"/>
  <pageSetup scale="58" orientation="landscape" r:id="rId1"/>
  <ignoredErrors>
    <ignoredError sqref="D25:E25 G25:J25" formulaRange="1"/>
    <ignoredError sqref="K25 F25" formula="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ADD6E-6BAD-41DE-8B6F-FA9F8F276646}">
  <sheetPr>
    <pageSetUpPr fitToPage="1"/>
  </sheetPr>
  <dimension ref="A1:O82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O12" sqref="O12"/>
    </sheetView>
  </sheetViews>
  <sheetFormatPr defaultRowHeight="15" x14ac:dyDescent="0.25"/>
  <cols>
    <col min="2" max="2" width="22.85546875" customWidth="1"/>
    <col min="3" max="3" width="1.42578125" customWidth="1"/>
    <col min="4" max="5" width="15.28515625" customWidth="1"/>
    <col min="6" max="6" width="16.28515625" style="25" customWidth="1"/>
    <col min="7" max="7" width="15.28515625" customWidth="1"/>
    <col min="8" max="8" width="16.28515625" customWidth="1"/>
    <col min="9" max="9" width="15.28515625" customWidth="1"/>
    <col min="10" max="10" width="16.28515625" style="109" customWidth="1"/>
    <col min="11" max="11" width="15.28515625" customWidth="1"/>
    <col min="12" max="12" width="16.28515625" style="25" customWidth="1"/>
    <col min="13" max="13" width="1.42578125" customWidth="1"/>
    <col min="15" max="15" width="13.7109375" bestFit="1" customWidth="1"/>
  </cols>
  <sheetData>
    <row r="1" spans="1:13" s="99" customFormat="1" ht="18.75" x14ac:dyDescent="0.3">
      <c r="A1" s="99" t="s">
        <v>94</v>
      </c>
      <c r="F1" s="100"/>
      <c r="J1" s="108"/>
      <c r="L1" s="100"/>
    </row>
    <row r="2" spans="1:13" s="99" customFormat="1" ht="18.75" x14ac:dyDescent="0.3">
      <c r="A2" s="101" t="s">
        <v>132</v>
      </c>
      <c r="B2" s="101"/>
      <c r="C2" s="101"/>
      <c r="D2" s="100"/>
      <c r="E2" s="100"/>
      <c r="F2" s="100"/>
      <c r="G2" s="100"/>
      <c r="H2" s="100"/>
      <c r="I2" s="100"/>
      <c r="J2" s="108"/>
      <c r="K2" s="100"/>
      <c r="L2" s="100"/>
      <c r="M2" s="101"/>
    </row>
    <row r="3" spans="1:13" s="99" customFormat="1" ht="18.75" x14ac:dyDescent="0.3">
      <c r="A3" s="114"/>
      <c r="B3" s="101"/>
      <c r="C3" s="101"/>
      <c r="D3" s="100"/>
      <c r="E3" s="100"/>
      <c r="F3" s="100"/>
      <c r="G3" s="100"/>
      <c r="H3" s="100"/>
      <c r="I3" s="100"/>
      <c r="J3" s="108"/>
      <c r="K3" s="100"/>
      <c r="L3" s="100"/>
      <c r="M3" s="101"/>
    </row>
    <row r="4" spans="1:13" x14ac:dyDescent="0.25">
      <c r="A4" s="1"/>
      <c r="B4" s="2"/>
      <c r="C4" s="9"/>
      <c r="D4" s="25"/>
      <c r="E4" s="25"/>
      <c r="G4" s="25"/>
      <c r="H4" s="25"/>
      <c r="I4" s="25"/>
      <c r="K4" s="25"/>
      <c r="M4" s="9"/>
    </row>
    <row r="5" spans="1:13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59</v>
      </c>
      <c r="H5" s="73" t="s">
        <v>88</v>
      </c>
      <c r="I5" s="73" t="s">
        <v>68</v>
      </c>
      <c r="J5" s="110" t="s">
        <v>60</v>
      </c>
      <c r="K5" s="26" t="s">
        <v>61</v>
      </c>
      <c r="L5" s="26" t="s">
        <v>62</v>
      </c>
      <c r="M5" s="4"/>
    </row>
    <row r="6" spans="1:13" s="32" customFormat="1" x14ac:dyDescent="0.25">
      <c r="A6" s="47" t="s">
        <v>2</v>
      </c>
      <c r="B6" s="47" t="s">
        <v>3</v>
      </c>
      <c r="C6" s="48"/>
      <c r="D6" s="83">
        <v>18866918</v>
      </c>
      <c r="E6" s="83">
        <v>27740000</v>
      </c>
      <c r="F6" s="83">
        <f>D6+E6</f>
        <v>46606918</v>
      </c>
      <c r="G6" s="83">
        <v>10026704</v>
      </c>
      <c r="H6" s="74">
        <v>0</v>
      </c>
      <c r="I6" s="74">
        <v>2730299</v>
      </c>
      <c r="J6" s="111">
        <f>H6+I6</f>
        <v>2730299</v>
      </c>
      <c r="K6" s="83">
        <v>13172314</v>
      </c>
      <c r="L6" s="83">
        <f t="shared" ref="L6:L37" si="0">F6+G6+J6+K6</f>
        <v>72536235</v>
      </c>
      <c r="M6" s="48"/>
    </row>
    <row r="7" spans="1:13" s="32" customFormat="1" x14ac:dyDescent="0.25">
      <c r="A7" s="49" t="s">
        <v>4</v>
      </c>
      <c r="B7" s="49" t="s">
        <v>4</v>
      </c>
      <c r="C7" s="50"/>
      <c r="D7" s="43">
        <v>331876404</v>
      </c>
      <c r="E7" s="44">
        <v>58466078</v>
      </c>
      <c r="F7" s="83">
        <f>D7+E7</f>
        <v>390342482</v>
      </c>
      <c r="G7" s="44">
        <v>670998</v>
      </c>
      <c r="H7" s="75">
        <v>0</v>
      </c>
      <c r="I7" s="75">
        <v>0</v>
      </c>
      <c r="J7" s="111">
        <f>H7+I7</f>
        <v>0</v>
      </c>
      <c r="K7" s="44">
        <v>37415818</v>
      </c>
      <c r="L7" s="83">
        <f t="shared" si="0"/>
        <v>428429298</v>
      </c>
      <c r="M7" s="50"/>
    </row>
    <row r="8" spans="1:13" s="32" customFormat="1" x14ac:dyDescent="0.25">
      <c r="A8" s="51" t="s">
        <v>5</v>
      </c>
      <c r="B8" s="51" t="s">
        <v>5</v>
      </c>
      <c r="C8" s="52"/>
      <c r="D8" s="45">
        <v>4073625</v>
      </c>
      <c r="E8" s="46">
        <v>33366</v>
      </c>
      <c r="F8" s="83">
        <f>D8+E8</f>
        <v>4106991</v>
      </c>
      <c r="G8" s="46">
        <v>375000</v>
      </c>
      <c r="H8" s="76">
        <v>0</v>
      </c>
      <c r="I8" s="76">
        <v>9100000</v>
      </c>
      <c r="J8" s="111">
        <f>H8+I8</f>
        <v>9100000</v>
      </c>
      <c r="K8" s="46">
        <v>4034667</v>
      </c>
      <c r="L8" s="83">
        <f t="shared" si="0"/>
        <v>17616658</v>
      </c>
      <c r="M8" s="52"/>
    </row>
    <row r="9" spans="1:13" x14ac:dyDescent="0.25">
      <c r="A9" s="16" t="s">
        <v>6</v>
      </c>
      <c r="B9" s="16" t="s">
        <v>7</v>
      </c>
      <c r="C9" s="3"/>
      <c r="D9" s="27">
        <v>15372803</v>
      </c>
      <c r="E9" s="28">
        <v>644083</v>
      </c>
      <c r="F9" s="28">
        <f>D9+E9</f>
        <v>16016886</v>
      </c>
      <c r="G9" s="28">
        <v>0</v>
      </c>
      <c r="H9" s="77">
        <v>22677469</v>
      </c>
      <c r="I9" s="77">
        <v>222531</v>
      </c>
      <c r="J9" s="107">
        <f>H9+I9</f>
        <v>22900000</v>
      </c>
      <c r="K9" s="28">
        <v>0</v>
      </c>
      <c r="L9" s="28">
        <f t="shared" si="0"/>
        <v>38916886</v>
      </c>
      <c r="M9" s="3"/>
    </row>
    <row r="10" spans="1:13" x14ac:dyDescent="0.25">
      <c r="A10" s="15"/>
      <c r="B10" s="16" t="s">
        <v>8</v>
      </c>
      <c r="C10" s="3"/>
      <c r="D10" s="27">
        <v>12683165</v>
      </c>
      <c r="E10" s="28">
        <v>326717</v>
      </c>
      <c r="F10" s="28">
        <f>D10+E10</f>
        <v>13009882</v>
      </c>
      <c r="G10" s="28">
        <v>0</v>
      </c>
      <c r="H10" s="77">
        <v>19000000</v>
      </c>
      <c r="I10" s="77">
        <v>0</v>
      </c>
      <c r="J10" s="107">
        <f t="shared" ref="J10:J24" si="1">H10+I10</f>
        <v>19000000</v>
      </c>
      <c r="K10" s="28">
        <v>0</v>
      </c>
      <c r="L10" s="28">
        <f t="shared" si="0"/>
        <v>32009882</v>
      </c>
      <c r="M10" s="3"/>
    </row>
    <row r="11" spans="1:13" x14ac:dyDescent="0.25">
      <c r="A11" s="15"/>
      <c r="B11" s="16" t="s">
        <v>9</v>
      </c>
      <c r="C11" s="3"/>
      <c r="D11" s="106">
        <v>6501630</v>
      </c>
      <c r="E11" s="28">
        <v>272958</v>
      </c>
      <c r="F11" s="28">
        <f t="shared" ref="F11:F24" si="2">D11+E11</f>
        <v>6774588</v>
      </c>
      <c r="G11" s="28">
        <v>0</v>
      </c>
      <c r="H11" s="77">
        <v>5350000</v>
      </c>
      <c r="I11" s="77">
        <v>0</v>
      </c>
      <c r="J11" s="107">
        <f t="shared" si="1"/>
        <v>5350000</v>
      </c>
      <c r="K11" s="28">
        <v>0</v>
      </c>
      <c r="L11" s="28">
        <f t="shared" si="0"/>
        <v>12124588</v>
      </c>
      <c r="M11" s="3"/>
    </row>
    <row r="12" spans="1:13" x14ac:dyDescent="0.25">
      <c r="A12" s="15"/>
      <c r="B12" s="16" t="s">
        <v>10</v>
      </c>
      <c r="C12" s="3"/>
      <c r="D12" s="27">
        <v>27725290</v>
      </c>
      <c r="E12" s="28">
        <v>1297408</v>
      </c>
      <c r="F12" s="28">
        <f t="shared" si="2"/>
        <v>29022698</v>
      </c>
      <c r="G12" s="28">
        <v>0</v>
      </c>
      <c r="H12" s="77">
        <v>49075033</v>
      </c>
      <c r="I12" s="77">
        <v>924967</v>
      </c>
      <c r="J12" s="107">
        <f t="shared" si="1"/>
        <v>50000000</v>
      </c>
      <c r="K12" s="28">
        <v>0</v>
      </c>
      <c r="L12" s="28">
        <f t="shared" si="0"/>
        <v>79022698</v>
      </c>
      <c r="M12" s="3"/>
    </row>
    <row r="13" spans="1:13" x14ac:dyDescent="0.25">
      <c r="A13" s="15"/>
      <c r="B13" s="16" t="s">
        <v>11</v>
      </c>
      <c r="C13" s="3"/>
      <c r="D13" s="106">
        <v>6200614</v>
      </c>
      <c r="E13" s="28">
        <v>148395</v>
      </c>
      <c r="F13" s="28">
        <f t="shared" si="2"/>
        <v>6349009</v>
      </c>
      <c r="G13" s="28">
        <v>0</v>
      </c>
      <c r="H13" s="77">
        <v>7415000</v>
      </c>
      <c r="I13" s="77">
        <v>10000</v>
      </c>
      <c r="J13" s="107">
        <f t="shared" si="1"/>
        <v>7425000</v>
      </c>
      <c r="K13" s="28">
        <v>0</v>
      </c>
      <c r="L13" s="28">
        <f t="shared" si="0"/>
        <v>13774009</v>
      </c>
      <c r="M13" s="3"/>
    </row>
    <row r="14" spans="1:13" x14ac:dyDescent="0.25">
      <c r="A14" s="15"/>
      <c r="B14" s="16" t="s">
        <v>12</v>
      </c>
      <c r="C14" s="3"/>
      <c r="D14" s="27">
        <v>5359739</v>
      </c>
      <c r="E14" s="28">
        <v>0</v>
      </c>
      <c r="F14" s="28">
        <f t="shared" si="2"/>
        <v>5359739</v>
      </c>
      <c r="G14" s="28">
        <v>0</v>
      </c>
      <c r="H14" s="77">
        <v>0</v>
      </c>
      <c r="I14" s="77">
        <v>0</v>
      </c>
      <c r="J14" s="107">
        <f>H14+I14</f>
        <v>0</v>
      </c>
      <c r="K14" s="28">
        <v>0</v>
      </c>
      <c r="L14" s="28">
        <f t="shared" si="0"/>
        <v>5359739</v>
      </c>
      <c r="M14" s="3"/>
    </row>
    <row r="15" spans="1:13" x14ac:dyDescent="0.25">
      <c r="A15" s="15"/>
      <c r="B15" s="16" t="s">
        <v>13</v>
      </c>
      <c r="C15" s="3"/>
      <c r="D15" s="27">
        <v>1245091</v>
      </c>
      <c r="E15" s="28">
        <v>0</v>
      </c>
      <c r="F15" s="28">
        <f t="shared" si="2"/>
        <v>1245091</v>
      </c>
      <c r="G15" s="28">
        <v>0</v>
      </c>
      <c r="H15" s="77">
        <v>0</v>
      </c>
      <c r="I15" s="77">
        <v>0</v>
      </c>
      <c r="J15" s="107">
        <f t="shared" si="1"/>
        <v>0</v>
      </c>
      <c r="K15" s="28">
        <v>0</v>
      </c>
      <c r="L15" s="28">
        <f t="shared" si="0"/>
        <v>1245091</v>
      </c>
      <c r="M15" s="3"/>
    </row>
    <row r="16" spans="1:13" x14ac:dyDescent="0.25">
      <c r="A16" s="15"/>
      <c r="B16" s="128" t="s">
        <v>114</v>
      </c>
      <c r="C16" s="3"/>
      <c r="D16" s="27">
        <v>2870000</v>
      </c>
      <c r="E16" s="28">
        <v>0</v>
      </c>
      <c r="F16" s="28">
        <f t="shared" si="2"/>
        <v>2870000</v>
      </c>
      <c r="G16" s="28">
        <v>0</v>
      </c>
      <c r="H16" s="77">
        <v>0</v>
      </c>
      <c r="I16" s="77">
        <v>0</v>
      </c>
      <c r="J16" s="107">
        <f t="shared" si="1"/>
        <v>0</v>
      </c>
      <c r="K16" s="28">
        <v>0</v>
      </c>
      <c r="L16" s="28">
        <f t="shared" si="0"/>
        <v>2870000</v>
      </c>
      <c r="M16" s="3"/>
    </row>
    <row r="17" spans="1:13" x14ac:dyDescent="0.25">
      <c r="A17" s="15"/>
      <c r="B17" s="128" t="s">
        <v>131</v>
      </c>
      <c r="C17" s="3"/>
      <c r="D17" s="27">
        <v>0</v>
      </c>
      <c r="E17" s="28">
        <v>10000000</v>
      </c>
      <c r="F17" s="28">
        <f t="shared" si="2"/>
        <v>10000000</v>
      </c>
      <c r="G17" s="28">
        <v>0</v>
      </c>
      <c r="H17" s="77">
        <v>0</v>
      </c>
      <c r="I17" s="77">
        <v>0</v>
      </c>
      <c r="J17" s="107">
        <f t="shared" si="1"/>
        <v>0</v>
      </c>
      <c r="K17" s="28">
        <v>0</v>
      </c>
      <c r="L17" s="28">
        <f t="shared" si="0"/>
        <v>10000000</v>
      </c>
      <c r="M17" s="3"/>
    </row>
    <row r="18" spans="1:13" x14ac:dyDescent="0.25">
      <c r="A18" s="15"/>
      <c r="B18" s="16" t="s">
        <v>14</v>
      </c>
      <c r="C18" s="3"/>
      <c r="D18" s="27">
        <v>8245384</v>
      </c>
      <c r="E18" s="28">
        <v>347301</v>
      </c>
      <c r="F18" s="28">
        <f t="shared" si="2"/>
        <v>8592685</v>
      </c>
      <c r="G18" s="28">
        <v>0</v>
      </c>
      <c r="H18" s="77">
        <v>10564000</v>
      </c>
      <c r="I18" s="77">
        <v>6000</v>
      </c>
      <c r="J18" s="107">
        <f t="shared" si="1"/>
        <v>10570000</v>
      </c>
      <c r="K18" s="28">
        <v>0</v>
      </c>
      <c r="L18" s="28">
        <f t="shared" si="0"/>
        <v>19162685</v>
      </c>
      <c r="M18" s="3"/>
    </row>
    <row r="19" spans="1:13" x14ac:dyDescent="0.25">
      <c r="A19" s="15"/>
      <c r="B19" s="16" t="s">
        <v>15</v>
      </c>
      <c r="C19" s="3"/>
      <c r="D19" s="106">
        <v>4769513</v>
      </c>
      <c r="E19" s="28">
        <v>188076</v>
      </c>
      <c r="F19" s="28">
        <f t="shared" si="2"/>
        <v>4957589</v>
      </c>
      <c r="G19" s="28">
        <v>0</v>
      </c>
      <c r="H19" s="77">
        <v>3505000</v>
      </c>
      <c r="I19" s="77">
        <v>45000</v>
      </c>
      <c r="J19" s="107">
        <f t="shared" si="1"/>
        <v>3550000</v>
      </c>
      <c r="K19" s="28">
        <v>0</v>
      </c>
      <c r="L19" s="28">
        <f t="shared" si="0"/>
        <v>8507589</v>
      </c>
      <c r="M19" s="3"/>
    </row>
    <row r="20" spans="1:13" x14ac:dyDescent="0.25">
      <c r="A20" s="15"/>
      <c r="B20" s="16" t="s">
        <v>16</v>
      </c>
      <c r="C20" s="3"/>
      <c r="D20" s="27">
        <v>4801510</v>
      </c>
      <c r="E20" s="28">
        <v>126056</v>
      </c>
      <c r="F20" s="28">
        <f t="shared" si="2"/>
        <v>4927566</v>
      </c>
      <c r="G20" s="28">
        <v>0</v>
      </c>
      <c r="H20" s="77">
        <v>6045000</v>
      </c>
      <c r="I20" s="77">
        <v>155000</v>
      </c>
      <c r="J20" s="107">
        <f t="shared" si="1"/>
        <v>6200000</v>
      </c>
      <c r="K20" s="28">
        <v>0</v>
      </c>
      <c r="L20" s="28">
        <f t="shared" si="0"/>
        <v>11127566</v>
      </c>
      <c r="M20" s="3"/>
    </row>
    <row r="21" spans="1:13" x14ac:dyDescent="0.25">
      <c r="A21" s="15"/>
      <c r="B21" s="16" t="s">
        <v>17</v>
      </c>
      <c r="C21" s="3"/>
      <c r="D21" s="27">
        <v>7639276</v>
      </c>
      <c r="E21" s="28">
        <v>193286</v>
      </c>
      <c r="F21" s="28">
        <f t="shared" si="2"/>
        <v>7832562</v>
      </c>
      <c r="G21" s="28">
        <v>0</v>
      </c>
      <c r="H21" s="77">
        <v>9787500</v>
      </c>
      <c r="I21" s="77">
        <v>2500</v>
      </c>
      <c r="J21" s="107">
        <f t="shared" si="1"/>
        <v>9790000</v>
      </c>
      <c r="K21" s="28">
        <v>0</v>
      </c>
      <c r="L21" s="28">
        <f t="shared" si="0"/>
        <v>17622562</v>
      </c>
      <c r="M21" s="3"/>
    </row>
    <row r="22" spans="1:13" x14ac:dyDescent="0.25">
      <c r="A22" s="15"/>
      <c r="B22" s="16" t="s">
        <v>18</v>
      </c>
      <c r="C22" s="3"/>
      <c r="D22" s="106">
        <v>6279915</v>
      </c>
      <c r="E22" s="28">
        <v>207991</v>
      </c>
      <c r="F22" s="28">
        <f t="shared" si="2"/>
        <v>6487906</v>
      </c>
      <c r="G22" s="28">
        <v>0</v>
      </c>
      <c r="H22" s="77">
        <v>9495000</v>
      </c>
      <c r="I22" s="77">
        <v>100000</v>
      </c>
      <c r="J22" s="107">
        <f t="shared" si="1"/>
        <v>9595000</v>
      </c>
      <c r="K22" s="28">
        <v>0</v>
      </c>
      <c r="L22" s="28">
        <f t="shared" si="0"/>
        <v>16082906</v>
      </c>
      <c r="M22" s="3"/>
    </row>
    <row r="23" spans="1:13" x14ac:dyDescent="0.25">
      <c r="A23" s="15"/>
      <c r="B23" s="16" t="s">
        <v>19</v>
      </c>
      <c r="C23" s="3"/>
      <c r="D23" s="106">
        <v>15157660</v>
      </c>
      <c r="E23" s="28">
        <v>643970</v>
      </c>
      <c r="F23" s="28">
        <f t="shared" si="2"/>
        <v>15801630</v>
      </c>
      <c r="G23" s="28">
        <v>0</v>
      </c>
      <c r="H23" s="77">
        <v>17750000</v>
      </c>
      <c r="I23" s="77">
        <v>0</v>
      </c>
      <c r="J23" s="107">
        <f t="shared" si="1"/>
        <v>17750000</v>
      </c>
      <c r="K23" s="28">
        <v>0</v>
      </c>
      <c r="L23" s="28">
        <f t="shared" si="0"/>
        <v>33551630</v>
      </c>
      <c r="M23" s="3"/>
    </row>
    <row r="24" spans="1:13" x14ac:dyDescent="0.25">
      <c r="A24" s="15"/>
      <c r="B24" s="16" t="s">
        <v>20</v>
      </c>
      <c r="C24" s="3"/>
      <c r="D24" s="106">
        <v>9149687</v>
      </c>
      <c r="E24" s="28">
        <v>745691</v>
      </c>
      <c r="F24" s="28">
        <f t="shared" si="2"/>
        <v>9895378</v>
      </c>
      <c r="G24" s="28">
        <v>0</v>
      </c>
      <c r="H24" s="77">
        <v>10324000</v>
      </c>
      <c r="I24" s="77">
        <v>176000</v>
      </c>
      <c r="J24" s="107">
        <f t="shared" si="1"/>
        <v>10500000</v>
      </c>
      <c r="K24" s="28">
        <v>0</v>
      </c>
      <c r="L24" s="28">
        <f t="shared" si="0"/>
        <v>20395378</v>
      </c>
      <c r="M24" s="3"/>
    </row>
    <row r="25" spans="1:13" x14ac:dyDescent="0.25">
      <c r="A25" s="17" t="s">
        <v>21</v>
      </c>
      <c r="B25" s="18"/>
      <c r="C25" s="6"/>
      <c r="D25" s="83">
        <f>SUM(D9:D24)</f>
        <v>134001277</v>
      </c>
      <c r="E25" s="83">
        <f t="shared" ref="E25:K25" si="3">SUM(E9:E24)</f>
        <v>15141932</v>
      </c>
      <c r="F25" s="83">
        <f t="shared" si="3"/>
        <v>149143209</v>
      </c>
      <c r="G25" s="83">
        <f t="shared" si="3"/>
        <v>0</v>
      </c>
      <c r="H25" s="74">
        <f>SUM(H9:H24)</f>
        <v>170988002</v>
      </c>
      <c r="I25" s="74">
        <f>SUM(I9:I24)</f>
        <v>1641998</v>
      </c>
      <c r="J25" s="111">
        <f t="shared" si="3"/>
        <v>172630000</v>
      </c>
      <c r="K25" s="83">
        <f t="shared" si="3"/>
        <v>0</v>
      </c>
      <c r="L25" s="83">
        <f t="shared" si="0"/>
        <v>321773209</v>
      </c>
      <c r="M25" s="6"/>
    </row>
    <row r="26" spans="1:13" x14ac:dyDescent="0.25">
      <c r="A26" s="14" t="s">
        <v>22</v>
      </c>
      <c r="B26" s="14" t="s">
        <v>23</v>
      </c>
      <c r="C26" s="3"/>
      <c r="D26" s="27">
        <v>0</v>
      </c>
      <c r="E26" s="28">
        <v>0</v>
      </c>
      <c r="F26" s="28">
        <f t="shared" ref="F26:F37" si="4">D26+E26</f>
        <v>0</v>
      </c>
      <c r="G26" s="28">
        <v>0</v>
      </c>
      <c r="H26" s="77">
        <v>0</v>
      </c>
      <c r="I26" s="77">
        <v>0</v>
      </c>
      <c r="J26" s="107">
        <f>H26+I26</f>
        <v>0</v>
      </c>
      <c r="K26" s="28">
        <v>0</v>
      </c>
      <c r="L26" s="28">
        <f t="shared" si="0"/>
        <v>0</v>
      </c>
      <c r="M26" s="3"/>
    </row>
    <row r="27" spans="1:13" x14ac:dyDescent="0.25">
      <c r="A27" s="15"/>
      <c r="B27" s="16" t="s">
        <v>24</v>
      </c>
      <c r="C27" s="3"/>
      <c r="D27" s="27">
        <v>0</v>
      </c>
      <c r="E27" s="28">
        <v>0</v>
      </c>
      <c r="F27" s="28">
        <f t="shared" si="4"/>
        <v>0</v>
      </c>
      <c r="G27" s="28">
        <v>0</v>
      </c>
      <c r="H27" s="77">
        <v>0</v>
      </c>
      <c r="I27" s="77">
        <v>0</v>
      </c>
      <c r="J27" s="107">
        <f t="shared" ref="J27:J36" si="5">H27+I27</f>
        <v>0</v>
      </c>
      <c r="K27" s="28">
        <v>0</v>
      </c>
      <c r="L27" s="28">
        <f t="shared" si="0"/>
        <v>0</v>
      </c>
      <c r="M27" s="3"/>
    </row>
    <row r="28" spans="1:13" x14ac:dyDescent="0.25">
      <c r="A28" s="15"/>
      <c r="B28" s="16" t="s">
        <v>25</v>
      </c>
      <c r="C28" s="3"/>
      <c r="D28" s="27">
        <v>79951870</v>
      </c>
      <c r="E28" s="107">
        <v>3723146</v>
      </c>
      <c r="F28" s="28">
        <f t="shared" si="4"/>
        <v>83675016</v>
      </c>
      <c r="G28" s="28">
        <v>0</v>
      </c>
      <c r="H28" s="77">
        <v>0</v>
      </c>
      <c r="I28" s="77">
        <v>6807967</v>
      </c>
      <c r="J28" s="107">
        <f t="shared" si="5"/>
        <v>6807967</v>
      </c>
      <c r="K28" s="28">
        <v>13018275</v>
      </c>
      <c r="L28" s="28">
        <f t="shared" si="0"/>
        <v>103501258</v>
      </c>
      <c r="M28" s="3"/>
    </row>
    <row r="29" spans="1:13" x14ac:dyDescent="0.25">
      <c r="A29" s="15"/>
      <c r="B29" s="16" t="s">
        <v>26</v>
      </c>
      <c r="C29" s="3"/>
      <c r="D29" s="27">
        <v>5868185</v>
      </c>
      <c r="E29" s="28">
        <v>230930</v>
      </c>
      <c r="F29" s="28">
        <f t="shared" si="4"/>
        <v>6099115</v>
      </c>
      <c r="G29" s="28">
        <v>0</v>
      </c>
      <c r="H29" s="77">
        <v>21756025</v>
      </c>
      <c r="I29" s="77">
        <v>29000</v>
      </c>
      <c r="J29" s="107">
        <f t="shared" si="5"/>
        <v>21785025</v>
      </c>
      <c r="K29" s="28">
        <v>0</v>
      </c>
      <c r="L29" s="28">
        <f t="shared" si="0"/>
        <v>27884140</v>
      </c>
      <c r="M29" s="3"/>
    </row>
    <row r="30" spans="1:13" x14ac:dyDescent="0.25">
      <c r="A30" s="15"/>
      <c r="B30" s="16" t="s">
        <v>27</v>
      </c>
      <c r="C30" s="3"/>
      <c r="D30" s="27">
        <v>120444854</v>
      </c>
      <c r="E30" s="28">
        <v>12099636</v>
      </c>
      <c r="F30" s="28">
        <f t="shared" si="4"/>
        <v>132544490</v>
      </c>
      <c r="G30" s="28">
        <v>7764963</v>
      </c>
      <c r="H30" s="77">
        <v>477871455</v>
      </c>
      <c r="I30" s="77">
        <v>20998854</v>
      </c>
      <c r="J30" s="107">
        <f t="shared" si="5"/>
        <v>498870309</v>
      </c>
      <c r="K30" s="28">
        <v>0</v>
      </c>
      <c r="L30" s="28">
        <f t="shared" si="0"/>
        <v>639179762</v>
      </c>
      <c r="M30" s="3"/>
    </row>
    <row r="31" spans="1:13" x14ac:dyDescent="0.25">
      <c r="A31" s="15"/>
      <c r="B31" s="16" t="s">
        <v>28</v>
      </c>
      <c r="C31" s="3"/>
      <c r="D31" s="27">
        <v>0</v>
      </c>
      <c r="E31" s="28">
        <v>0</v>
      </c>
      <c r="F31" s="28">
        <f t="shared" si="4"/>
        <v>0</v>
      </c>
      <c r="G31" s="28">
        <v>0</v>
      </c>
      <c r="H31" s="77">
        <v>0</v>
      </c>
      <c r="I31" s="77">
        <v>0</v>
      </c>
      <c r="J31" s="107">
        <f t="shared" si="5"/>
        <v>0</v>
      </c>
      <c r="K31" s="28">
        <v>0</v>
      </c>
      <c r="L31" s="28">
        <f t="shared" si="0"/>
        <v>0</v>
      </c>
      <c r="M31" s="3"/>
    </row>
    <row r="32" spans="1:13" x14ac:dyDescent="0.25">
      <c r="A32" s="15"/>
      <c r="B32" s="16" t="s">
        <v>29</v>
      </c>
      <c r="C32" s="3"/>
      <c r="D32" s="27">
        <v>4978053</v>
      </c>
      <c r="E32" s="28">
        <v>214940</v>
      </c>
      <c r="F32" s="28">
        <f t="shared" si="4"/>
        <v>5192993</v>
      </c>
      <c r="G32" s="28">
        <v>0</v>
      </c>
      <c r="H32" s="77">
        <v>10579383</v>
      </c>
      <c r="I32" s="77">
        <v>49000</v>
      </c>
      <c r="J32" s="107">
        <f t="shared" si="5"/>
        <v>10628383</v>
      </c>
      <c r="K32" s="28">
        <v>0</v>
      </c>
      <c r="L32" s="28">
        <f t="shared" si="0"/>
        <v>15821376</v>
      </c>
      <c r="M32" s="3"/>
    </row>
    <row r="33" spans="1:13" x14ac:dyDescent="0.25">
      <c r="A33" s="15"/>
      <c r="B33" s="16" t="s">
        <v>30</v>
      </c>
      <c r="C33" s="3"/>
      <c r="D33" s="27">
        <v>81182543</v>
      </c>
      <c r="E33" s="28">
        <v>3554855</v>
      </c>
      <c r="F33" s="28">
        <f t="shared" si="4"/>
        <v>84737398</v>
      </c>
      <c r="G33" s="28">
        <v>0</v>
      </c>
      <c r="H33" s="77">
        <v>65582993</v>
      </c>
      <c r="I33" s="77">
        <v>2153386</v>
      </c>
      <c r="J33" s="107">
        <f t="shared" si="5"/>
        <v>67736379</v>
      </c>
      <c r="K33" s="28">
        <v>0</v>
      </c>
      <c r="L33" s="28">
        <f t="shared" si="0"/>
        <v>152473777</v>
      </c>
      <c r="M33" s="3"/>
    </row>
    <row r="34" spans="1:13" x14ac:dyDescent="0.25">
      <c r="A34" s="15"/>
      <c r="B34" s="16" t="s">
        <v>31</v>
      </c>
      <c r="C34" s="3"/>
      <c r="D34" s="27">
        <v>62192633</v>
      </c>
      <c r="E34" s="107">
        <v>6863867</v>
      </c>
      <c r="F34" s="28">
        <f t="shared" si="4"/>
        <v>69056500</v>
      </c>
      <c r="G34" s="28">
        <v>0</v>
      </c>
      <c r="H34" s="77">
        <v>24830224</v>
      </c>
      <c r="I34" s="77">
        <v>0</v>
      </c>
      <c r="J34" s="107">
        <f t="shared" si="5"/>
        <v>24830224</v>
      </c>
      <c r="K34" s="28">
        <v>0</v>
      </c>
      <c r="L34" s="28">
        <f t="shared" si="0"/>
        <v>93886724</v>
      </c>
      <c r="M34" s="3"/>
    </row>
    <row r="35" spans="1:13" x14ac:dyDescent="0.25">
      <c r="A35" s="15"/>
      <c r="B35" s="16" t="s">
        <v>32</v>
      </c>
      <c r="C35" s="3"/>
      <c r="D35" s="27">
        <v>10269981</v>
      </c>
      <c r="E35" s="28">
        <v>543538</v>
      </c>
      <c r="F35" s="28">
        <f t="shared" si="4"/>
        <v>10813519</v>
      </c>
      <c r="G35" s="28">
        <v>0</v>
      </c>
      <c r="H35" s="77">
        <v>55372687</v>
      </c>
      <c r="I35" s="77">
        <v>621710</v>
      </c>
      <c r="J35" s="107">
        <f t="shared" si="5"/>
        <v>55994397</v>
      </c>
      <c r="K35" s="28">
        <v>0</v>
      </c>
      <c r="L35" s="28">
        <f t="shared" si="0"/>
        <v>66807916</v>
      </c>
      <c r="M35" s="3"/>
    </row>
    <row r="36" spans="1:13" x14ac:dyDescent="0.25">
      <c r="A36" s="15"/>
      <c r="B36" s="16" t="s">
        <v>33</v>
      </c>
      <c r="C36" s="3"/>
      <c r="D36" s="27">
        <v>0</v>
      </c>
      <c r="E36" s="28">
        <v>0</v>
      </c>
      <c r="F36" s="28">
        <f t="shared" si="4"/>
        <v>0</v>
      </c>
      <c r="G36" s="28">
        <v>0</v>
      </c>
      <c r="H36" s="77">
        <v>0</v>
      </c>
      <c r="I36" s="77">
        <v>0</v>
      </c>
      <c r="J36" s="107">
        <f t="shared" si="5"/>
        <v>0</v>
      </c>
      <c r="K36" s="28">
        <v>0</v>
      </c>
      <c r="L36" s="28">
        <f t="shared" si="0"/>
        <v>0</v>
      </c>
      <c r="M36" s="3"/>
    </row>
    <row r="37" spans="1:13" x14ac:dyDescent="0.25">
      <c r="A37" s="15"/>
      <c r="B37" s="16" t="s">
        <v>34</v>
      </c>
      <c r="C37" s="3"/>
      <c r="D37" s="27">
        <v>24695553</v>
      </c>
      <c r="E37" s="28">
        <v>81061</v>
      </c>
      <c r="F37" s="28">
        <f t="shared" si="4"/>
        <v>24776614</v>
      </c>
      <c r="G37" s="28">
        <v>0</v>
      </c>
      <c r="H37" s="77">
        <v>0</v>
      </c>
      <c r="I37" s="77">
        <v>845561</v>
      </c>
      <c r="J37" s="107">
        <f>H37+I37</f>
        <v>845561</v>
      </c>
      <c r="K37" s="28">
        <v>0</v>
      </c>
      <c r="L37" s="28">
        <f t="shared" si="0"/>
        <v>25622175</v>
      </c>
      <c r="M37" s="3"/>
    </row>
    <row r="38" spans="1:13" ht="14.25" customHeight="1" x14ac:dyDescent="0.25">
      <c r="A38" s="17" t="s">
        <v>35</v>
      </c>
      <c r="B38" s="18"/>
      <c r="C38" s="6"/>
      <c r="D38" s="83">
        <f t="shared" ref="D38:K38" si="6">SUM(D26:D37)</f>
        <v>389583672</v>
      </c>
      <c r="E38" s="83">
        <f t="shared" si="6"/>
        <v>27311973</v>
      </c>
      <c r="F38" s="83">
        <f t="shared" si="6"/>
        <v>416895645</v>
      </c>
      <c r="G38" s="83">
        <f t="shared" si="6"/>
        <v>7764963</v>
      </c>
      <c r="H38" s="74">
        <f>SUM(H26:H37)</f>
        <v>655992767</v>
      </c>
      <c r="I38" s="74">
        <f>SUM(I26:I37)</f>
        <v>31505478</v>
      </c>
      <c r="J38" s="111">
        <f t="shared" si="6"/>
        <v>687498245</v>
      </c>
      <c r="K38" s="83">
        <f t="shared" si="6"/>
        <v>13018275</v>
      </c>
      <c r="L38" s="83">
        <f t="shared" ref="L38:L69" si="7">F38+G38+J38+K38</f>
        <v>1125177128</v>
      </c>
      <c r="M38" s="6"/>
    </row>
    <row r="39" spans="1:13" x14ac:dyDescent="0.25">
      <c r="A39" s="14" t="s">
        <v>36</v>
      </c>
      <c r="B39" s="14" t="s">
        <v>37</v>
      </c>
      <c r="C39" s="3"/>
      <c r="D39" s="27">
        <v>5905561</v>
      </c>
      <c r="E39" s="28">
        <v>1797855</v>
      </c>
      <c r="F39" s="28">
        <f t="shared" ref="F39:F44" si="8">D39+E39</f>
        <v>7703416</v>
      </c>
      <c r="G39" s="28">
        <v>0</v>
      </c>
      <c r="H39" s="77">
        <v>0</v>
      </c>
      <c r="I39" s="77">
        <v>0</v>
      </c>
      <c r="J39" s="107">
        <f>H39+I39</f>
        <v>0</v>
      </c>
      <c r="K39" s="28">
        <v>3654209</v>
      </c>
      <c r="L39" s="28">
        <f t="shared" si="7"/>
        <v>11357625</v>
      </c>
      <c r="M39" s="3"/>
    </row>
    <row r="40" spans="1:13" x14ac:dyDescent="0.25">
      <c r="A40" s="15"/>
      <c r="B40" s="16" t="s">
        <v>38</v>
      </c>
      <c r="C40" s="3"/>
      <c r="D40" s="27">
        <v>20228631</v>
      </c>
      <c r="E40" s="28">
        <v>1608944</v>
      </c>
      <c r="F40" s="28">
        <f t="shared" si="8"/>
        <v>21837575</v>
      </c>
      <c r="G40" s="28">
        <v>3869822</v>
      </c>
      <c r="H40" s="77">
        <v>59252936</v>
      </c>
      <c r="I40" s="77">
        <v>2928430</v>
      </c>
      <c r="J40" s="107">
        <f t="shared" ref="J40:J43" si="9">H40+I40</f>
        <v>62181366</v>
      </c>
      <c r="K40" s="28">
        <v>0</v>
      </c>
      <c r="L40" s="28">
        <f t="shared" si="7"/>
        <v>87888763</v>
      </c>
      <c r="M40" s="3"/>
    </row>
    <row r="41" spans="1:13" x14ac:dyDescent="0.25">
      <c r="A41" s="15"/>
      <c r="B41" s="16" t="s">
        <v>39</v>
      </c>
      <c r="C41" s="3"/>
      <c r="D41" s="27">
        <v>4927259</v>
      </c>
      <c r="E41" s="28">
        <v>174344</v>
      </c>
      <c r="F41" s="28">
        <f t="shared" si="8"/>
        <v>5101603</v>
      </c>
      <c r="G41" s="28">
        <v>0</v>
      </c>
      <c r="H41" s="77">
        <v>17752210</v>
      </c>
      <c r="I41" s="77">
        <v>72611</v>
      </c>
      <c r="J41" s="107">
        <f t="shared" si="9"/>
        <v>17824821</v>
      </c>
      <c r="K41" s="28">
        <v>0</v>
      </c>
      <c r="L41" s="28">
        <f t="shared" si="7"/>
        <v>22926424</v>
      </c>
      <c r="M41" s="3"/>
    </row>
    <row r="42" spans="1:13" x14ac:dyDescent="0.25">
      <c r="A42" s="15"/>
      <c r="B42" s="16" t="s">
        <v>40</v>
      </c>
      <c r="C42" s="3"/>
      <c r="D42" s="106">
        <v>6851531.7000000002</v>
      </c>
      <c r="E42" s="28">
        <v>506476.7</v>
      </c>
      <c r="F42" s="28">
        <f t="shared" si="8"/>
        <v>7358008.4000000004</v>
      </c>
      <c r="G42" s="28">
        <v>0</v>
      </c>
      <c r="H42" s="77">
        <v>14947546</v>
      </c>
      <c r="I42" s="77">
        <v>0</v>
      </c>
      <c r="J42" s="107">
        <f t="shared" si="9"/>
        <v>14947546</v>
      </c>
      <c r="K42" s="28">
        <v>0</v>
      </c>
      <c r="L42" s="28">
        <f t="shared" si="7"/>
        <v>22305554.399999999</v>
      </c>
      <c r="M42" s="3"/>
    </row>
    <row r="43" spans="1:13" x14ac:dyDescent="0.25">
      <c r="A43" s="15"/>
      <c r="B43" s="16" t="s">
        <v>41</v>
      </c>
      <c r="C43" s="3"/>
      <c r="D43" s="27">
        <v>5812438</v>
      </c>
      <c r="E43" s="28">
        <v>163377</v>
      </c>
      <c r="F43" s="28">
        <f t="shared" si="8"/>
        <v>5975815</v>
      </c>
      <c r="G43" s="28">
        <v>0</v>
      </c>
      <c r="H43" s="77">
        <v>9202076</v>
      </c>
      <c r="I43" s="77">
        <v>806762</v>
      </c>
      <c r="J43" s="107">
        <f t="shared" si="9"/>
        <v>10008838</v>
      </c>
      <c r="K43" s="28">
        <v>0</v>
      </c>
      <c r="L43" s="28">
        <f t="shared" si="7"/>
        <v>15984653</v>
      </c>
      <c r="M43" s="3"/>
    </row>
    <row r="44" spans="1:13" x14ac:dyDescent="0.25">
      <c r="A44" s="15"/>
      <c r="B44" s="16" t="s">
        <v>42</v>
      </c>
      <c r="C44" s="3"/>
      <c r="D44" s="106">
        <v>3673376</v>
      </c>
      <c r="E44" s="28">
        <v>0</v>
      </c>
      <c r="F44" s="28">
        <f t="shared" si="8"/>
        <v>3673376</v>
      </c>
      <c r="G44" s="28">
        <v>0</v>
      </c>
      <c r="H44" s="77">
        <v>0</v>
      </c>
      <c r="I44" s="77">
        <v>0</v>
      </c>
      <c r="J44" s="107">
        <f>H44+I44</f>
        <v>0</v>
      </c>
      <c r="K44" s="28">
        <v>0</v>
      </c>
      <c r="L44" s="28">
        <f t="shared" si="7"/>
        <v>3673376</v>
      </c>
      <c r="M44" s="3"/>
    </row>
    <row r="45" spans="1:13" x14ac:dyDescent="0.25">
      <c r="A45" s="17" t="s">
        <v>43</v>
      </c>
      <c r="B45" s="18"/>
      <c r="C45" s="6"/>
      <c r="D45" s="42">
        <f t="shared" ref="D45:K45" si="10">SUM(D39:D44)</f>
        <v>47398796.700000003</v>
      </c>
      <c r="E45" s="42">
        <f t="shared" si="10"/>
        <v>4250996.7</v>
      </c>
      <c r="F45" s="42">
        <f t="shared" si="10"/>
        <v>51649793.399999999</v>
      </c>
      <c r="G45" s="42">
        <f t="shared" si="10"/>
        <v>3869822</v>
      </c>
      <c r="H45" s="78">
        <f>SUM(H39:H44)</f>
        <v>101154768</v>
      </c>
      <c r="I45" s="78">
        <f>SUM(I39:I44)</f>
        <v>3807803</v>
      </c>
      <c r="J45" s="112">
        <f>SUM(J39:J44)</f>
        <v>104962571</v>
      </c>
      <c r="K45" s="42">
        <f t="shared" si="10"/>
        <v>3654209</v>
      </c>
      <c r="L45" s="83">
        <f t="shared" si="7"/>
        <v>164136395.40000001</v>
      </c>
      <c r="M45" s="6"/>
    </row>
    <row r="46" spans="1:13" x14ac:dyDescent="0.25">
      <c r="A46" s="14" t="s">
        <v>44</v>
      </c>
      <c r="B46" s="14" t="s">
        <v>45</v>
      </c>
      <c r="C46" s="3"/>
      <c r="D46" s="27">
        <v>15129032</v>
      </c>
      <c r="E46" s="28">
        <v>898532</v>
      </c>
      <c r="F46" s="28">
        <f t="shared" ref="F46:F55" si="11">D46+E46</f>
        <v>16027564</v>
      </c>
      <c r="G46" s="28">
        <v>0</v>
      </c>
      <c r="H46" s="77">
        <v>36070043</v>
      </c>
      <c r="I46" s="77">
        <v>400000</v>
      </c>
      <c r="J46" s="107">
        <f t="shared" ref="J46:J55" si="12">H46+I46</f>
        <v>36470043</v>
      </c>
      <c r="K46" s="28">
        <v>0</v>
      </c>
      <c r="L46" s="28">
        <f t="shared" si="7"/>
        <v>52497607</v>
      </c>
      <c r="M46" s="3"/>
    </row>
    <row r="47" spans="1:13" x14ac:dyDescent="0.25">
      <c r="A47" s="15"/>
      <c r="B47" s="16" t="s">
        <v>46</v>
      </c>
      <c r="C47" s="3"/>
      <c r="D47" s="27">
        <v>35277081</v>
      </c>
      <c r="E47" s="28">
        <v>1700658</v>
      </c>
      <c r="F47" s="28">
        <f t="shared" si="11"/>
        <v>36977739</v>
      </c>
      <c r="G47" s="28">
        <v>0</v>
      </c>
      <c r="H47" s="77">
        <v>89667000</v>
      </c>
      <c r="I47" s="77">
        <v>13688648</v>
      </c>
      <c r="J47" s="107">
        <f t="shared" si="12"/>
        <v>103355648</v>
      </c>
      <c r="K47" s="28">
        <v>0</v>
      </c>
      <c r="L47" s="28">
        <f t="shared" si="7"/>
        <v>140333387</v>
      </c>
      <c r="M47" s="3"/>
    </row>
    <row r="48" spans="1:13" x14ac:dyDescent="0.25">
      <c r="A48" s="15"/>
      <c r="B48" s="16" t="s">
        <v>47</v>
      </c>
      <c r="C48" s="3"/>
      <c r="D48" s="27">
        <v>17844967</v>
      </c>
      <c r="E48" s="28">
        <v>2624161</v>
      </c>
      <c r="F48" s="28">
        <f t="shared" si="11"/>
        <v>20469128</v>
      </c>
      <c r="G48" s="28">
        <v>0</v>
      </c>
      <c r="H48" s="77">
        <v>52253706</v>
      </c>
      <c r="I48" s="77">
        <v>1135414</v>
      </c>
      <c r="J48" s="107">
        <f t="shared" si="12"/>
        <v>53389120</v>
      </c>
      <c r="K48" s="28">
        <v>0</v>
      </c>
      <c r="L48" s="28">
        <f t="shared" si="7"/>
        <v>73858248</v>
      </c>
      <c r="M48" s="3"/>
    </row>
    <row r="49" spans="1:15" x14ac:dyDescent="0.25">
      <c r="A49" s="15"/>
      <c r="B49" s="16" t="s">
        <v>48</v>
      </c>
      <c r="C49" s="3"/>
      <c r="D49" s="27">
        <v>14987089</v>
      </c>
      <c r="E49" s="28">
        <v>962941</v>
      </c>
      <c r="F49" s="28">
        <f t="shared" si="11"/>
        <v>15950030</v>
      </c>
      <c r="G49" s="28">
        <v>0</v>
      </c>
      <c r="H49" s="77">
        <v>41612457</v>
      </c>
      <c r="I49" s="77">
        <v>3455274</v>
      </c>
      <c r="J49" s="107">
        <f t="shared" si="12"/>
        <v>45067731</v>
      </c>
      <c r="K49" s="28">
        <v>0</v>
      </c>
      <c r="L49" s="28">
        <f t="shared" si="7"/>
        <v>61017761</v>
      </c>
      <c r="M49" s="3"/>
    </row>
    <row r="50" spans="1:15" x14ac:dyDescent="0.25">
      <c r="A50" s="15"/>
      <c r="B50" s="16" t="s">
        <v>49</v>
      </c>
      <c r="C50" s="3"/>
      <c r="D50" s="27">
        <v>23043328</v>
      </c>
      <c r="E50" s="28">
        <v>1123369</v>
      </c>
      <c r="F50" s="28">
        <f t="shared" si="11"/>
        <v>24166697</v>
      </c>
      <c r="G50" s="28">
        <v>74923</v>
      </c>
      <c r="H50" s="77">
        <v>60079750</v>
      </c>
      <c r="I50" s="77">
        <v>471377</v>
      </c>
      <c r="J50" s="107">
        <f t="shared" si="12"/>
        <v>60551127</v>
      </c>
      <c r="K50" s="28">
        <v>0</v>
      </c>
      <c r="L50" s="28">
        <f t="shared" si="7"/>
        <v>84792747</v>
      </c>
      <c r="M50" s="3"/>
    </row>
    <row r="51" spans="1:15" x14ac:dyDescent="0.25">
      <c r="A51" s="15"/>
      <c r="B51" s="16" t="s">
        <v>50</v>
      </c>
      <c r="C51" s="3"/>
      <c r="D51" s="27">
        <v>29288767</v>
      </c>
      <c r="E51" s="28">
        <v>1780120</v>
      </c>
      <c r="F51" s="28">
        <f t="shared" si="11"/>
        <v>31068887</v>
      </c>
      <c r="G51" s="28">
        <v>0</v>
      </c>
      <c r="H51" s="77">
        <v>91278908</v>
      </c>
      <c r="I51" s="77">
        <v>5593191</v>
      </c>
      <c r="J51" s="107">
        <f t="shared" si="12"/>
        <v>96872099</v>
      </c>
      <c r="K51" s="28">
        <v>0</v>
      </c>
      <c r="L51" s="28">
        <f t="shared" si="7"/>
        <v>127940986</v>
      </c>
      <c r="M51" s="3"/>
    </row>
    <row r="52" spans="1:15" x14ac:dyDescent="0.25">
      <c r="A52" s="15"/>
      <c r="B52" s="16" t="s">
        <v>51</v>
      </c>
      <c r="C52" s="3"/>
      <c r="D52" s="27">
        <v>1785005</v>
      </c>
      <c r="E52" s="28">
        <v>0</v>
      </c>
      <c r="F52" s="28">
        <f t="shared" si="11"/>
        <v>1785005</v>
      </c>
      <c r="G52" s="28">
        <v>0</v>
      </c>
      <c r="H52" s="77">
        <v>0</v>
      </c>
      <c r="I52" s="77">
        <v>3422500</v>
      </c>
      <c r="J52" s="107">
        <f t="shared" si="12"/>
        <v>3422500</v>
      </c>
      <c r="K52" s="28">
        <v>0</v>
      </c>
      <c r="L52" s="28">
        <f t="shared" si="7"/>
        <v>5207505</v>
      </c>
      <c r="M52" s="3"/>
    </row>
    <row r="53" spans="1:15" x14ac:dyDescent="0.25">
      <c r="A53" s="15"/>
      <c r="B53" s="16" t="s">
        <v>52</v>
      </c>
      <c r="C53" s="3"/>
      <c r="D53" s="27">
        <v>54175544</v>
      </c>
      <c r="E53" s="28">
        <v>2293053</v>
      </c>
      <c r="F53" s="28">
        <f t="shared" si="11"/>
        <v>56468597</v>
      </c>
      <c r="G53" s="28">
        <v>185000</v>
      </c>
      <c r="H53" s="77">
        <v>128227425</v>
      </c>
      <c r="I53" s="77">
        <v>8712100</v>
      </c>
      <c r="J53" s="107">
        <f t="shared" si="12"/>
        <v>136939525</v>
      </c>
      <c r="K53" s="28">
        <v>0</v>
      </c>
      <c r="L53" s="28">
        <f t="shared" si="7"/>
        <v>193593122</v>
      </c>
      <c r="M53" s="3"/>
    </row>
    <row r="54" spans="1:15" x14ac:dyDescent="0.25">
      <c r="A54" s="15"/>
      <c r="B54" s="16" t="s">
        <v>53</v>
      </c>
      <c r="C54" s="3"/>
      <c r="D54" s="27">
        <v>28289536</v>
      </c>
      <c r="E54" s="28">
        <v>1622908</v>
      </c>
      <c r="F54" s="28">
        <f t="shared" si="11"/>
        <v>29912444</v>
      </c>
      <c r="G54" s="28">
        <v>0</v>
      </c>
      <c r="H54" s="77">
        <v>65216477</v>
      </c>
      <c r="I54" s="77">
        <v>3011233</v>
      </c>
      <c r="J54" s="107">
        <f t="shared" si="12"/>
        <v>68227710</v>
      </c>
      <c r="K54" s="28">
        <v>0</v>
      </c>
      <c r="L54" s="28">
        <f t="shared" si="7"/>
        <v>98140154</v>
      </c>
      <c r="M54" s="3"/>
    </row>
    <row r="55" spans="1:15" x14ac:dyDescent="0.25">
      <c r="A55" s="15"/>
      <c r="B55" s="16" t="s">
        <v>54</v>
      </c>
      <c r="C55" s="3"/>
      <c r="D55" s="27">
        <v>25045929</v>
      </c>
      <c r="E55" s="28">
        <v>2200635</v>
      </c>
      <c r="F55" s="28">
        <f t="shared" si="11"/>
        <v>27246564</v>
      </c>
      <c r="G55" s="28">
        <v>0</v>
      </c>
      <c r="H55" s="77">
        <v>60540750</v>
      </c>
      <c r="I55" s="77">
        <v>9205392</v>
      </c>
      <c r="J55" s="107">
        <f t="shared" si="12"/>
        <v>69746142</v>
      </c>
      <c r="K55" s="28">
        <v>0</v>
      </c>
      <c r="L55" s="28">
        <f t="shared" si="7"/>
        <v>96992706</v>
      </c>
      <c r="M55" s="3"/>
    </row>
    <row r="56" spans="1:15" x14ac:dyDescent="0.25">
      <c r="A56" s="12" t="s">
        <v>55</v>
      </c>
      <c r="B56" s="13"/>
      <c r="C56" s="6"/>
      <c r="D56" s="83">
        <f t="shared" ref="D56:K56" si="13">SUM(D46:D55)</f>
        <v>244866278</v>
      </c>
      <c r="E56" s="83">
        <f t="shared" si="13"/>
        <v>15206377</v>
      </c>
      <c r="F56" s="83">
        <f t="shared" si="13"/>
        <v>260072655</v>
      </c>
      <c r="G56" s="83">
        <f t="shared" si="13"/>
        <v>259923</v>
      </c>
      <c r="H56" s="74">
        <f>SUM(H46:H55)</f>
        <v>624946516</v>
      </c>
      <c r="I56" s="74">
        <f>SUM(I46:I55)</f>
        <v>49095129</v>
      </c>
      <c r="J56" s="111">
        <f t="shared" si="13"/>
        <v>674041645</v>
      </c>
      <c r="K56" s="83">
        <f t="shared" si="13"/>
        <v>0</v>
      </c>
      <c r="L56" s="83">
        <f t="shared" si="7"/>
        <v>934374223</v>
      </c>
      <c r="M56" s="6"/>
    </row>
    <row r="57" spans="1:15" x14ac:dyDescent="0.25">
      <c r="A57" s="12" t="s">
        <v>56</v>
      </c>
      <c r="B57" s="13"/>
      <c r="C57" s="6"/>
      <c r="D57" s="53">
        <f t="shared" ref="D57:K57" si="14">D56+D45+D38+D25+D8+D7+D6</f>
        <v>1170666970.7</v>
      </c>
      <c r="E57" s="53">
        <f t="shared" si="14"/>
        <v>148150722.69999999</v>
      </c>
      <c r="F57" s="83">
        <f t="shared" si="14"/>
        <v>1318817693.4000001</v>
      </c>
      <c r="G57" s="53">
        <f t="shared" si="14"/>
        <v>22967410</v>
      </c>
      <c r="H57" s="79">
        <f>H56+H45+H38+H25+H8+H7+H6</f>
        <v>1553082053</v>
      </c>
      <c r="I57" s="79">
        <f>I56+I45+I38+I25+I8+I7+I6</f>
        <v>97880707</v>
      </c>
      <c r="J57" s="111">
        <f t="shared" si="14"/>
        <v>1650962760</v>
      </c>
      <c r="K57" s="53">
        <f t="shared" si="14"/>
        <v>71295283</v>
      </c>
      <c r="L57" s="83">
        <f>F57+G57+J57+K57</f>
        <v>3064043146.4000001</v>
      </c>
      <c r="M57" s="6"/>
      <c r="O57" s="25"/>
    </row>
    <row r="58" spans="1:15" s="134" customFormat="1" x14ac:dyDescent="0.25">
      <c r="A58" s="138" t="s">
        <v>63</v>
      </c>
      <c r="B58" s="138"/>
      <c r="C58" s="138"/>
      <c r="D58" s="139">
        <f>D57-D7-D26-D27-0</f>
        <v>838790566.70000005</v>
      </c>
      <c r="E58" s="139">
        <f>E57-E7-E26-E27-0</f>
        <v>89684644.699999988</v>
      </c>
      <c r="F58" s="140">
        <f>D58+E58</f>
        <v>928475211.4000001</v>
      </c>
      <c r="G58" s="139">
        <f>G57-G7-G26-G27-0</f>
        <v>22296412</v>
      </c>
      <c r="H58" s="139">
        <f>H57-H7-H26-H27-0</f>
        <v>1553082053</v>
      </c>
      <c r="I58" s="139">
        <f>I57-I7-I26-I27-0</f>
        <v>97880707</v>
      </c>
      <c r="J58" s="140">
        <f>J57-J7-J26-J27</f>
        <v>1650962760</v>
      </c>
      <c r="K58" s="139">
        <f>K57-K7-K26-K27-0</f>
        <v>33879465</v>
      </c>
      <c r="L58" s="139">
        <f>F58+G58+J58+K58</f>
        <v>2635613848.4000001</v>
      </c>
      <c r="M58" s="131"/>
      <c r="N58" s="132"/>
      <c r="O58" s="133"/>
    </row>
    <row r="59" spans="1:15" x14ac:dyDescent="0.25">
      <c r="A59" s="7"/>
      <c r="B59" s="7"/>
      <c r="C59" s="7"/>
      <c r="M59" s="7"/>
      <c r="O59" s="25"/>
    </row>
    <row r="60" spans="1:15" x14ac:dyDescent="0.25">
      <c r="A60" s="7"/>
      <c r="B60" s="7"/>
      <c r="C60" s="7"/>
      <c r="M60" s="7"/>
    </row>
    <row r="61" spans="1:15" x14ac:dyDescent="0.25">
      <c r="A61" s="98"/>
      <c r="D61" s="25"/>
      <c r="E61" s="25"/>
      <c r="G61" s="25"/>
      <c r="H61" s="25"/>
      <c r="I61" s="25"/>
      <c r="K61" s="25"/>
    </row>
    <row r="64" spans="1:15" x14ac:dyDescent="0.25">
      <c r="D64" s="25"/>
    </row>
    <row r="67" spans="1:15" s="25" customFormat="1" x14ac:dyDescent="0.25">
      <c r="A67"/>
      <c r="B67"/>
      <c r="C67"/>
      <c r="D67"/>
      <c r="E67"/>
      <c r="K67"/>
      <c r="M67"/>
      <c r="N67"/>
      <c r="O67"/>
    </row>
    <row r="69" spans="1:15" s="25" customFormat="1" x14ac:dyDescent="0.25">
      <c r="A69"/>
      <c r="B69"/>
      <c r="C69"/>
      <c r="M69"/>
      <c r="N69"/>
      <c r="O69"/>
    </row>
    <row r="70" spans="1:15" s="25" customFormat="1" x14ac:dyDescent="0.25">
      <c r="A70"/>
      <c r="B70"/>
      <c r="C70"/>
      <c r="M70"/>
      <c r="N70"/>
      <c r="O70"/>
    </row>
    <row r="71" spans="1:15" s="25" customFormat="1" x14ac:dyDescent="0.25">
      <c r="A71"/>
      <c r="B71"/>
      <c r="C71"/>
      <c r="M71"/>
      <c r="N71"/>
      <c r="O71"/>
    </row>
    <row r="74" spans="1:15" s="25" customFormat="1" x14ac:dyDescent="0.25">
      <c r="A74"/>
      <c r="B74"/>
      <c r="C74"/>
      <c r="M74"/>
      <c r="N74"/>
      <c r="O74"/>
    </row>
    <row r="75" spans="1:15" s="25" customFormat="1" x14ac:dyDescent="0.25">
      <c r="A75"/>
      <c r="B75"/>
      <c r="C75"/>
      <c r="M75"/>
      <c r="N75"/>
      <c r="O75"/>
    </row>
    <row r="76" spans="1:15" s="25" customFormat="1" x14ac:dyDescent="0.25">
      <c r="A76"/>
      <c r="B76"/>
      <c r="C76"/>
      <c r="M76"/>
      <c r="N76"/>
      <c r="O76"/>
    </row>
    <row r="77" spans="1:15" s="25" customFormat="1" x14ac:dyDescent="0.25">
      <c r="A77"/>
      <c r="B77"/>
      <c r="C77"/>
      <c r="M77"/>
      <c r="N77"/>
      <c r="O77"/>
    </row>
    <row r="78" spans="1:15" s="25" customFormat="1" x14ac:dyDescent="0.25">
      <c r="A78"/>
      <c r="B78"/>
      <c r="C78"/>
      <c r="M78"/>
      <c r="N78"/>
      <c r="O78"/>
    </row>
    <row r="79" spans="1:15" s="25" customFormat="1" x14ac:dyDescent="0.25">
      <c r="A79"/>
      <c r="B79"/>
      <c r="C79"/>
      <c r="M79"/>
      <c r="N79"/>
      <c r="O79"/>
    </row>
    <row r="82" spans="1:15" s="25" customFormat="1" x14ac:dyDescent="0.25">
      <c r="A82"/>
      <c r="B82"/>
      <c r="C82"/>
      <c r="E82"/>
      <c r="G82"/>
      <c r="H82"/>
      <c r="I82"/>
      <c r="J82" s="109"/>
      <c r="K82"/>
      <c r="M82"/>
      <c r="N82"/>
      <c r="O82"/>
    </row>
  </sheetData>
  <pageMargins left="0.7" right="0.7" top="0.75" bottom="0.75" header="0.3" footer="0.3"/>
  <pageSetup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6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42" sqref="G42"/>
    </sheetView>
  </sheetViews>
  <sheetFormatPr defaultRowHeight="15" x14ac:dyDescent="0.25"/>
  <cols>
    <col min="1" max="1" width="52.5703125" customWidth="1"/>
    <col min="2" max="2" width="1.85546875" customWidth="1"/>
    <col min="3" max="3" width="15.28515625" bestFit="1" customWidth="1"/>
    <col min="4" max="4" width="13.7109375" bestFit="1" customWidth="1"/>
    <col min="5" max="5" width="15.28515625" bestFit="1" customWidth="1"/>
    <col min="6" max="6" width="16.28515625" bestFit="1" customWidth="1"/>
    <col min="7" max="7" width="17" bestFit="1" customWidth="1"/>
    <col min="8" max="8" width="14.5703125" bestFit="1" customWidth="1"/>
    <col min="9" max="9" width="15.42578125" customWidth="1"/>
    <col min="10" max="11" width="15.42578125" hidden="1" customWidth="1"/>
    <col min="12" max="13" width="15.28515625" bestFit="1" customWidth="1"/>
    <col min="14" max="14" width="1.7109375" customWidth="1"/>
  </cols>
  <sheetData>
    <row r="1" spans="1:14" s="71" customFormat="1" ht="21" x14ac:dyDescent="0.35">
      <c r="A1" s="71" t="s">
        <v>94</v>
      </c>
    </row>
    <row r="2" spans="1:14" s="71" customFormat="1" ht="21" x14ac:dyDescent="0.35">
      <c r="A2" s="71" t="s">
        <v>136</v>
      </c>
    </row>
    <row r="4" spans="1:14" s="32" customFormat="1" ht="47.25" customHeight="1" x14ac:dyDescent="0.25">
      <c r="A4" s="65" t="s">
        <v>139</v>
      </c>
      <c r="B4" s="69"/>
      <c r="C4" s="66" t="s">
        <v>57</v>
      </c>
      <c r="D4" s="66" t="s">
        <v>58</v>
      </c>
      <c r="E4" s="66" t="s">
        <v>67</v>
      </c>
      <c r="F4" s="91" t="s">
        <v>117</v>
      </c>
      <c r="G4" s="91" t="s">
        <v>74</v>
      </c>
      <c r="H4" s="66" t="s">
        <v>72</v>
      </c>
      <c r="I4" s="66" t="s">
        <v>138</v>
      </c>
      <c r="J4" s="73" t="s">
        <v>88</v>
      </c>
      <c r="K4" s="73" t="s">
        <v>68</v>
      </c>
      <c r="L4" s="66" t="s">
        <v>61</v>
      </c>
      <c r="M4" s="66" t="s">
        <v>62</v>
      </c>
      <c r="N4" s="72"/>
    </row>
    <row r="5" spans="1:14" s="32" customFormat="1" x14ac:dyDescent="0.25">
      <c r="A5" s="86" t="s">
        <v>89</v>
      </c>
      <c r="B5" s="87"/>
      <c r="C5" s="88">
        <f>'FY08-09'!D55</f>
        <v>1476685807</v>
      </c>
      <c r="D5" s="88">
        <f>'FY08-09'!E55</f>
        <v>138289278</v>
      </c>
      <c r="E5" s="88">
        <f>C5+D5</f>
        <v>1614975085</v>
      </c>
      <c r="F5" s="89">
        <v>0</v>
      </c>
      <c r="G5" s="89">
        <f>'FY08-09'!G55</f>
        <v>424677208</v>
      </c>
      <c r="H5" s="88">
        <f t="shared" ref="H5:H19" si="0">F5+G5</f>
        <v>424677208</v>
      </c>
      <c r="I5" s="88">
        <f>'FY08-09'!J55</f>
        <v>771979186</v>
      </c>
      <c r="J5" s="89">
        <f>'FY08-09'!H55</f>
        <v>626648760</v>
      </c>
      <c r="K5" s="89">
        <f>'FY08-09'!I55</f>
        <v>145330426</v>
      </c>
      <c r="L5" s="88">
        <f>'FY08-09'!K55</f>
        <v>93092905</v>
      </c>
      <c r="M5" s="88">
        <f>'FY08-09'!L55</f>
        <v>2904724384</v>
      </c>
      <c r="N5" s="72"/>
    </row>
    <row r="6" spans="1:14" x14ac:dyDescent="0.25">
      <c r="A6" s="56" t="s">
        <v>118</v>
      </c>
      <c r="B6" s="55"/>
      <c r="C6" s="84">
        <f>'FY09-10'!D55-'FY08-09'!D55</f>
        <v>-365015930</v>
      </c>
      <c r="D6" s="84">
        <f>'FY09-10'!E55-'FY08-09'!E55</f>
        <v>-1591969</v>
      </c>
      <c r="E6" s="84">
        <f>'FY09-10'!F55-'FY08-09'!F55</f>
        <v>-366607899</v>
      </c>
      <c r="F6" s="85">
        <f>'FY09-10'!G55</f>
        <v>189700000</v>
      </c>
      <c r="G6" s="85">
        <f>'FY09-10'!H55-'FY08-09'!G55</f>
        <v>9215954</v>
      </c>
      <c r="H6" s="84">
        <f t="shared" si="0"/>
        <v>198915954</v>
      </c>
      <c r="I6" s="84">
        <f>'FY09-10'!L55-'FY08-09'!J55</f>
        <v>48349334</v>
      </c>
      <c r="J6" s="85">
        <f>'FY09-10'!J55-'FY08-09'!H55</f>
        <v>51208213</v>
      </c>
      <c r="K6" s="85">
        <f>'FY09-10'!K55-'FY08-09'!I55</f>
        <v>-2858879</v>
      </c>
      <c r="L6" s="84">
        <f>'FY09-10'!M55-'FY08-09'!K55</f>
        <v>3000000</v>
      </c>
      <c r="M6" s="84">
        <f>'FY09-10'!N55-'FY08-09'!L55</f>
        <v>-116342611</v>
      </c>
      <c r="N6" s="54"/>
    </row>
    <row r="7" spans="1:14" x14ac:dyDescent="0.25">
      <c r="A7" s="56" t="s">
        <v>119</v>
      </c>
      <c r="B7" s="55"/>
      <c r="C7" s="84">
        <f>'FY10-11'!D55-'FY09-10'!D55</f>
        <v>-37805783</v>
      </c>
      <c r="D7" s="84">
        <f>'FY10-11'!E55-'FY09-10'!E55</f>
        <v>9280199</v>
      </c>
      <c r="E7" s="84">
        <f>'FY10-11'!F55-'FY09-10'!F55</f>
        <v>-28525584</v>
      </c>
      <c r="F7" s="85">
        <f>'FY10-11'!G55-'FY09-10'!G55</f>
        <v>103492837</v>
      </c>
      <c r="G7" s="85">
        <f>'FY10-11'!H55-'FY09-10'!H55</f>
        <v>-21400639</v>
      </c>
      <c r="H7" s="84">
        <f t="shared" si="0"/>
        <v>82092198</v>
      </c>
      <c r="I7" s="84">
        <f>'FY10-11'!L55-'FY09-10'!L55</f>
        <v>84008693</v>
      </c>
      <c r="J7" s="85">
        <f>'FY10-11'!J55-'FY09-10'!J55</f>
        <v>90167836</v>
      </c>
      <c r="K7" s="85">
        <f>'FY10-11'!K55-'FY09-10'!K55</f>
        <v>-6159143</v>
      </c>
      <c r="L7" s="84">
        <f>'FY10-11'!M55-'FY09-10'!M55</f>
        <v>69671252</v>
      </c>
      <c r="M7" s="84">
        <f>'FY10-11'!N55-'FY09-10'!N55</f>
        <v>207246559</v>
      </c>
      <c r="N7" s="54"/>
    </row>
    <row r="8" spans="1:14" x14ac:dyDescent="0.25">
      <c r="A8" s="56" t="s">
        <v>120</v>
      </c>
      <c r="B8" s="55"/>
      <c r="C8" s="84">
        <f>'FY11-12'!D55-'FY10-11'!D55</f>
        <v>-15590783</v>
      </c>
      <c r="D8" s="84">
        <f>'FY11-12'!E55-'FY10-11'!E55</f>
        <v>86546739</v>
      </c>
      <c r="E8" s="84">
        <f>'FY11-12'!F55-'FY10-11'!F55</f>
        <v>70955956</v>
      </c>
      <c r="F8" s="85">
        <v>0</v>
      </c>
      <c r="G8" s="85">
        <f>'FY11-12'!G55-'FY10-11'!I55</f>
        <v>-271505170</v>
      </c>
      <c r="H8" s="84">
        <f t="shared" si="0"/>
        <v>-271505170</v>
      </c>
      <c r="I8" s="84">
        <f>'FY11-12'!J55-'FY10-11'!L55</f>
        <v>225755942</v>
      </c>
      <c r="J8" s="85">
        <f>'FY11-12'!H55-'FY10-11'!J55</f>
        <v>144517794</v>
      </c>
      <c r="K8" s="85">
        <f>'FY11-12'!I55-'FY10-11'!K55</f>
        <v>81238148</v>
      </c>
      <c r="L8" s="84">
        <f>'FY11-12'!K55-'FY10-11'!M55</f>
        <v>-6981151</v>
      </c>
      <c r="M8" s="84">
        <f>'FY11-12'!L55-'FY10-11'!N55</f>
        <v>18225577</v>
      </c>
      <c r="N8" s="54"/>
    </row>
    <row r="9" spans="1:14" x14ac:dyDescent="0.25">
      <c r="A9" s="56" t="s">
        <v>121</v>
      </c>
      <c r="B9" s="55"/>
      <c r="C9" s="84">
        <f>'FY12-13'!D55-'FY11-12'!D55</f>
        <v>-74962802</v>
      </c>
      <c r="D9" s="84">
        <f>'FY12-13'!E55-'FY11-12'!E55</f>
        <v>-40174498</v>
      </c>
      <c r="E9" s="84">
        <f>'FY12-13'!F55-'FY11-12'!F55</f>
        <v>-115137300</v>
      </c>
      <c r="F9" s="85">
        <v>0</v>
      </c>
      <c r="G9" s="85">
        <f>'FY12-13'!G55-'FY11-12'!G55</f>
        <v>-41947246</v>
      </c>
      <c r="H9" s="84">
        <f t="shared" si="0"/>
        <v>-41947246</v>
      </c>
      <c r="I9" s="84">
        <f>'FY12-13'!J55-'FY11-12'!J55</f>
        <v>50326193</v>
      </c>
      <c r="J9" s="85">
        <f>'FY12-13'!H55-'FY11-12'!H55</f>
        <v>110922329</v>
      </c>
      <c r="K9" s="85">
        <f>'FY12-13'!I55-'FY11-12'!I55</f>
        <v>-60596136</v>
      </c>
      <c r="L9" s="84">
        <f>'FY12-13'!K55-'FY11-12'!K55</f>
        <v>-5873853</v>
      </c>
      <c r="M9" s="84">
        <f>'FY12-13'!L55-'FY11-12'!L55</f>
        <v>-112632206</v>
      </c>
      <c r="N9" s="54"/>
    </row>
    <row r="10" spans="1:14" x14ac:dyDescent="0.25">
      <c r="A10" s="56" t="s">
        <v>122</v>
      </c>
      <c r="B10" s="55"/>
      <c r="C10" s="84">
        <f>'FY13-14'!D55-'FY12-13'!D55</f>
        <v>-458641856</v>
      </c>
      <c r="D10" s="84">
        <f>'FY13-14'!E55-'FY12-13'!E55</f>
        <v>402319595</v>
      </c>
      <c r="E10" s="84">
        <f>'FY13-14'!F55-'FY12-13'!F55</f>
        <v>-56322261</v>
      </c>
      <c r="F10" s="85">
        <v>0</v>
      </c>
      <c r="G10" s="85">
        <f>'FY13-14'!G55-'FY12-13'!G55</f>
        <v>-281497895</v>
      </c>
      <c r="H10" s="84">
        <f t="shared" si="0"/>
        <v>-281497895</v>
      </c>
      <c r="I10" s="84">
        <f>'FY13-14'!J55-'FY12-13'!J55</f>
        <v>98913156</v>
      </c>
      <c r="J10" s="85">
        <f>'FY13-14'!H55-'FY12-13'!H55</f>
        <v>82758954</v>
      </c>
      <c r="K10" s="85">
        <f>'FY13-14'!I55-'FY12-13'!I55</f>
        <v>16154202</v>
      </c>
      <c r="L10" s="84">
        <f>'FY13-14'!K55-'FY12-13'!K55</f>
        <v>-33559746</v>
      </c>
      <c r="M10" s="84">
        <f>'FY13-14'!L55-'FY12-13'!L55</f>
        <v>-272466746</v>
      </c>
      <c r="N10" s="54"/>
    </row>
    <row r="11" spans="1:14" x14ac:dyDescent="0.25">
      <c r="A11" s="56" t="s">
        <v>123</v>
      </c>
      <c r="B11" s="55"/>
      <c r="C11" s="84">
        <f>'FY14-15'!D55-'FY13-14'!D55</f>
        <v>410343199</v>
      </c>
      <c r="D11" s="84">
        <f>'FY14-15'!E55-'FY13-14'!E55</f>
        <v>-398497432</v>
      </c>
      <c r="E11" s="84">
        <f>'FY14-15'!F55-'FY13-14'!F55</f>
        <v>11845767</v>
      </c>
      <c r="F11" s="85">
        <v>0</v>
      </c>
      <c r="G11" s="85">
        <f>'FY14-15'!G55-'FY13-14'!G55</f>
        <v>-76936141</v>
      </c>
      <c r="H11" s="84">
        <f t="shared" si="0"/>
        <v>-76936141</v>
      </c>
      <c r="I11" s="84">
        <f>'FY14-15'!J55-'FY13-14'!J55</f>
        <v>88360716</v>
      </c>
      <c r="J11" s="85">
        <f>'FY14-15'!H55-'FY13-14'!H55</f>
        <v>90586911</v>
      </c>
      <c r="K11" s="85">
        <f>'FY14-15'!I55-'FY13-14'!I55</f>
        <v>-2226195</v>
      </c>
      <c r="L11" s="84">
        <f>'FY14-15'!K55-'FY13-14'!K55</f>
        <v>-17816803</v>
      </c>
      <c r="M11" s="84">
        <f>'FY14-15'!L55-'FY13-14'!L55</f>
        <v>5453539</v>
      </c>
      <c r="N11" s="54"/>
    </row>
    <row r="12" spans="1:14" x14ac:dyDescent="0.25">
      <c r="A12" s="56" t="s">
        <v>124</v>
      </c>
      <c r="B12" s="55"/>
      <c r="C12" s="84">
        <f>'FY15-16'!D55-'FY14-15'!D55</f>
        <v>-282500659</v>
      </c>
      <c r="D12" s="84">
        <f>'FY15-16'!E55-'FY14-15'!E55</f>
        <v>337503253</v>
      </c>
      <c r="E12" s="84">
        <f>'FY15-16'!F55-'FY14-15'!F55</f>
        <v>55002594</v>
      </c>
      <c r="F12" s="85">
        <v>0</v>
      </c>
      <c r="G12" s="85">
        <f>'FY15-16'!G55-'FY14-15'!G55</f>
        <v>3747123</v>
      </c>
      <c r="H12" s="84">
        <f t="shared" si="0"/>
        <v>3747123</v>
      </c>
      <c r="I12" s="84">
        <f>'FY15-16'!J55-'FY14-15'!J55</f>
        <v>-41078516</v>
      </c>
      <c r="J12" s="85">
        <f>'FY15-16'!H55-'FY14-15'!H55</f>
        <v>54678253</v>
      </c>
      <c r="K12" s="85">
        <f>'FY15-16'!I55-'FY14-15'!I55</f>
        <v>-95756769</v>
      </c>
      <c r="L12" s="84">
        <f>'FY15-16'!K55-'FY14-15'!K55</f>
        <v>-18474545</v>
      </c>
      <c r="M12" s="84">
        <f>'FY15-16'!L55-'FY14-15'!L55</f>
        <v>-803344</v>
      </c>
      <c r="N12" s="54"/>
    </row>
    <row r="13" spans="1:14" x14ac:dyDescent="0.25">
      <c r="A13" s="56" t="s">
        <v>125</v>
      </c>
      <c r="B13" s="55"/>
      <c r="C13" s="84">
        <f>'FY16-17'!D55-'FY15-16'!D55</f>
        <v>266769019</v>
      </c>
      <c r="D13" s="84">
        <f>'FY16-17'!E55-'FY15-16'!E55</f>
        <v>-358153522</v>
      </c>
      <c r="E13" s="84">
        <f>'FY16-17'!F55-'FY15-16'!F55</f>
        <v>-91384503</v>
      </c>
      <c r="F13" s="85">
        <v>0</v>
      </c>
      <c r="G13" s="85">
        <f>'FY16-17'!G55-'FY15-16'!G55</f>
        <v>-11129156</v>
      </c>
      <c r="H13" s="84">
        <f t="shared" si="0"/>
        <v>-11129156</v>
      </c>
      <c r="I13" s="84">
        <f>'FY16-17'!J55-'FY15-16'!J55</f>
        <v>63016291</v>
      </c>
      <c r="J13" s="85">
        <f>'FY16-17'!H55-'FY15-16'!H55</f>
        <v>74577261</v>
      </c>
      <c r="K13" s="85">
        <f>'FY16-17'!I55-'FY15-16'!I55</f>
        <v>-11560970</v>
      </c>
      <c r="L13" s="84">
        <f>'FY16-17'!K55-'FY15-16'!K55</f>
        <v>-3154562</v>
      </c>
      <c r="M13" s="84">
        <f>'FY16-17'!L55-'FY15-16'!L55</f>
        <v>-42651930</v>
      </c>
      <c r="N13" s="54"/>
    </row>
    <row r="14" spans="1:14" x14ac:dyDescent="0.25">
      <c r="A14" s="56" t="s">
        <v>126</v>
      </c>
      <c r="B14" s="55"/>
      <c r="C14" s="84">
        <f>'FY17-18'!D55-'FY16-17'!D55</f>
        <v>85160365</v>
      </c>
      <c r="D14" s="84">
        <f>'FY17-18'!E55-'FY16-17'!E55</f>
        <v>-23883733</v>
      </c>
      <c r="E14" s="84">
        <f>'FY17-18'!F55-'FY16-17'!F55</f>
        <v>61276632</v>
      </c>
      <c r="F14" s="85">
        <v>0</v>
      </c>
      <c r="G14" s="85">
        <f>'FY17-18'!G55-'FY16-17'!G55</f>
        <v>-2861274</v>
      </c>
      <c r="H14" s="84">
        <f t="shared" si="0"/>
        <v>-2861274</v>
      </c>
      <c r="I14" s="84">
        <f>'FY17-18'!J55-'FY16-17'!J55</f>
        <v>67555216</v>
      </c>
      <c r="J14" s="85">
        <f>'FY16-17'!H56-'FY15-16'!H56</f>
        <v>74577261</v>
      </c>
      <c r="K14" s="85">
        <f>'FY16-17'!I56-'FY15-16'!I56</f>
        <v>-11612270</v>
      </c>
      <c r="L14" s="84">
        <f>'FY17-18'!K55-'FY16-17'!K55</f>
        <v>0</v>
      </c>
      <c r="M14" s="84">
        <f>'FY17-18'!L55-'FY16-17'!L55</f>
        <v>125970574</v>
      </c>
      <c r="N14" s="54"/>
    </row>
    <row r="15" spans="1:14" x14ac:dyDescent="0.25">
      <c r="A15" s="56" t="s">
        <v>127</v>
      </c>
      <c r="B15" s="55"/>
      <c r="C15" s="84">
        <f>'FY18-19'!D$55-'FY17-18'!D$55</f>
        <v>10299249.852609038</v>
      </c>
      <c r="D15" s="84">
        <f>'FY18-19'!E$55-'FY17-18'!E$55</f>
        <v>-3306484</v>
      </c>
      <c r="E15" s="84">
        <f>'FY18-19'!F$55-'FY17-18'!F$55</f>
        <v>6992765.8526091576</v>
      </c>
      <c r="F15" s="85">
        <v>0</v>
      </c>
      <c r="G15" s="85">
        <f>'FY18-19'!G55-'FY17-18'!G55</f>
        <v>-795785</v>
      </c>
      <c r="H15" s="84">
        <f t="shared" si="0"/>
        <v>-795785</v>
      </c>
      <c r="I15" s="84">
        <f>'FY18-19'!J55-'FY17-18'!J55</f>
        <v>17112236</v>
      </c>
      <c r="J15" s="85">
        <f>'FY18-19'!H55-'FY17-18'!H55</f>
        <v>11081743</v>
      </c>
      <c r="K15" s="85">
        <f>'FY18-19'!I55-'FY17-18'!I55</f>
        <v>6030493</v>
      </c>
      <c r="L15" s="84">
        <f>'FY18-19'!K55-'FY17-18'!K55</f>
        <v>201800</v>
      </c>
      <c r="M15" s="84">
        <f>'FY18-19'!L$55-'FY17-18'!L$55</f>
        <v>23511016.852609158</v>
      </c>
      <c r="N15" s="54"/>
    </row>
    <row r="16" spans="1:14" x14ac:dyDescent="0.25">
      <c r="A16" s="56" t="s">
        <v>128</v>
      </c>
      <c r="B16" s="55"/>
      <c r="C16" s="84">
        <f>'FY19-20'!D$55-'FY18-19'!D$55</f>
        <v>47309120.147390962</v>
      </c>
      <c r="D16" s="84">
        <f>'FY19-20'!E$55-'FY18-19'!E$55</f>
        <v>5636282</v>
      </c>
      <c r="E16" s="84">
        <f>'FY19-20'!F$55-'FY18-19'!F$55</f>
        <v>52945402.147390842</v>
      </c>
      <c r="F16" s="85">
        <v>0</v>
      </c>
      <c r="G16" s="85">
        <f>'FY19-20'!G55-'FY18-19'!G55</f>
        <v>-4780048</v>
      </c>
      <c r="H16" s="84">
        <f t="shared" si="0"/>
        <v>-4780048</v>
      </c>
      <c r="I16" s="84">
        <f>'FY19-20'!J55-'FY18-19'!J55</f>
        <v>70391594</v>
      </c>
      <c r="J16" s="85"/>
      <c r="K16" s="85"/>
      <c r="L16" s="84">
        <f>'FY19-20'!K55-'FY18-19'!K55</f>
        <v>-9887501</v>
      </c>
      <c r="M16" s="84">
        <f>'FY19-20'!L$55-'FY18-19'!L$55</f>
        <v>108669447.14739084</v>
      </c>
      <c r="N16" s="54"/>
    </row>
    <row r="17" spans="1:14" x14ac:dyDescent="0.25">
      <c r="A17" s="56" t="s">
        <v>129</v>
      </c>
      <c r="B17" s="55"/>
      <c r="C17" s="84">
        <f>'FY20-21'!D$57-'FY19-20'!D$55</f>
        <v>-93574814</v>
      </c>
      <c r="D17" s="84">
        <f>'FY20-21'!E$57-'FY19-20'!E$55</f>
        <v>-9837813</v>
      </c>
      <c r="E17" s="84">
        <f>'FY20-21'!F$57-'FY19-20'!F$55</f>
        <v>-103412627</v>
      </c>
      <c r="F17" s="85">
        <f>'FY20-21'!G57</f>
        <v>100621117.41</v>
      </c>
      <c r="G17" s="85">
        <f>'FY20-21'!H57-'FY19-20'!G55</f>
        <v>3787488</v>
      </c>
      <c r="H17" s="84">
        <f t="shared" si="0"/>
        <v>104408605.41</v>
      </c>
      <c r="I17" s="84">
        <f>'FY20-21'!K57-'FY19-20'!J55</f>
        <v>35916016.230000019</v>
      </c>
      <c r="J17" s="85"/>
      <c r="K17" s="85"/>
      <c r="L17" s="84">
        <f>'FY20-21'!L57-'FY19-20'!K55</f>
        <v>0</v>
      </c>
      <c r="M17" s="84">
        <f>'FY20-21'!N57-'FY19-20'!L55</f>
        <v>36911994.640000343</v>
      </c>
      <c r="N17" s="54"/>
    </row>
    <row r="18" spans="1:14" x14ac:dyDescent="0.25">
      <c r="A18" s="56" t="s">
        <v>133</v>
      </c>
      <c r="B18" s="55"/>
      <c r="C18" s="84">
        <f>'FY21-22'!D57-'FY20-21'!D57</f>
        <v>202192837.70000005</v>
      </c>
      <c r="D18" s="84">
        <f>'FY21-22'!E57-'FY20-21'!E57</f>
        <v>4020827.6999999881</v>
      </c>
      <c r="E18" s="84">
        <f>'FY21-22'!F57-'FY20-21'!F57</f>
        <v>206213665.4000001</v>
      </c>
      <c r="F18" s="85">
        <v>-100621117</v>
      </c>
      <c r="G18" s="85">
        <f>'FY21-22'!G57-'FY20-21'!H57</f>
        <v>1200154</v>
      </c>
      <c r="H18" s="84">
        <f t="shared" si="0"/>
        <v>-99420963</v>
      </c>
      <c r="I18" s="84">
        <f>'FY21-22'!J57-'FY20-21'!K57</f>
        <v>70356702.769999981</v>
      </c>
      <c r="J18" s="84">
        <f>'FY21-22'!J57-'FY20-21'!K57</f>
        <v>70356702.769999981</v>
      </c>
      <c r="K18" s="84">
        <f>'FY21-22'!K57-'FY20-21'!L57</f>
        <v>1077487</v>
      </c>
      <c r="L18" s="84">
        <f>'FY21-22'!K57-'FY20-21'!L57</f>
        <v>1077487</v>
      </c>
      <c r="M18" s="84">
        <f>'FY21-22'!L57-'FY20-21'!N57</f>
        <v>178226891.75999975</v>
      </c>
      <c r="N18" s="54"/>
    </row>
    <row r="19" spans="1:14" s="32" customFormat="1" x14ac:dyDescent="0.25">
      <c r="A19" s="57" t="s">
        <v>134</v>
      </c>
      <c r="B19" s="58"/>
      <c r="C19" s="36">
        <f>'FY21-22'!D57</f>
        <v>1170666970.7</v>
      </c>
      <c r="D19" s="36">
        <f>'FY21-22'!E57</f>
        <v>148150722.69999999</v>
      </c>
      <c r="E19" s="36">
        <f>'FY21-22'!F57</f>
        <v>1318817693.4000001</v>
      </c>
      <c r="F19" s="81">
        <v>0</v>
      </c>
      <c r="G19" s="81">
        <f>'FY21-22'!G57</f>
        <v>22967410</v>
      </c>
      <c r="H19" s="36">
        <f t="shared" si="0"/>
        <v>22967410</v>
      </c>
      <c r="I19" s="36">
        <f>'FY21-22'!J57</f>
        <v>1650962760</v>
      </c>
      <c r="J19" s="81">
        <f>'FY18-19'!H55</f>
        <v>1394760265</v>
      </c>
      <c r="K19" s="81">
        <f>'FY18-19'!I55</f>
        <v>79538182</v>
      </c>
      <c r="L19" s="36">
        <f>'FY21-22'!K57</f>
        <v>71295283</v>
      </c>
      <c r="M19" s="36">
        <f>'FY21-22'!L57</f>
        <v>3064043146.4000001</v>
      </c>
      <c r="N19" s="72"/>
    </row>
    <row r="20" spans="1:14" s="32" customFormat="1" x14ac:dyDescent="0.25">
      <c r="A20" s="57" t="s">
        <v>65</v>
      </c>
      <c r="B20" s="58"/>
      <c r="C20" s="36">
        <f>SUM(C6:C18)</f>
        <v>-306018836.29999995</v>
      </c>
      <c r="D20" s="36">
        <f t="shared" ref="C20:I20" si="1">SUM(D6:D18)</f>
        <v>9861444.6999999881</v>
      </c>
      <c r="E20" s="36">
        <f t="shared" si="1"/>
        <v>-296157391.5999999</v>
      </c>
      <c r="F20" s="81">
        <f t="shared" si="1"/>
        <v>293192837.40999997</v>
      </c>
      <c r="G20" s="81">
        <f t="shared" si="1"/>
        <v>-694902635</v>
      </c>
      <c r="H20" s="36">
        <f t="shared" si="1"/>
        <v>-401709797.59000003</v>
      </c>
      <c r="I20" s="36">
        <f t="shared" si="1"/>
        <v>878983574</v>
      </c>
      <c r="J20" s="81">
        <f t="shared" ref="J20:K20" si="2">SUM(J6:J15)</f>
        <v>785076555</v>
      </c>
      <c r="K20" s="81">
        <f t="shared" si="2"/>
        <v>-87347519</v>
      </c>
      <c r="L20" s="36">
        <f>SUM(L6:L18)</f>
        <v>-21797622</v>
      </c>
      <c r="M20" s="36">
        <f>SUM(M6:M18)</f>
        <v>159318762.4000001</v>
      </c>
      <c r="N20" s="72"/>
    </row>
    <row r="21" spans="1:14" s="32" customFormat="1" x14ac:dyDescent="0.25">
      <c r="A21" s="61" t="s">
        <v>66</v>
      </c>
      <c r="B21" s="62"/>
      <c r="C21" s="70">
        <f>C20/C5</f>
        <v>-0.20723354612698594</v>
      </c>
      <c r="D21" s="70">
        <f>D20/D5</f>
        <v>7.1310262390696613E-2</v>
      </c>
      <c r="E21" s="70">
        <f>E20/E5</f>
        <v>-0.18338201892445907</v>
      </c>
      <c r="F21" s="70"/>
      <c r="G21" s="70"/>
      <c r="H21" s="70">
        <f t="shared" ref="H21:M21" si="3">H20/H5</f>
        <v>-0.9459179584462184</v>
      </c>
      <c r="I21" s="70">
        <f t="shared" si="3"/>
        <v>1.1386104573031843</v>
      </c>
      <c r="J21" s="82">
        <f t="shared" si="3"/>
        <v>1.2528175352968065</v>
      </c>
      <c r="K21" s="82">
        <f t="shared" si="3"/>
        <v>-0.60102706228907632</v>
      </c>
      <c r="L21" s="70">
        <f t="shared" si="3"/>
        <v>-0.2341491223203315</v>
      </c>
      <c r="M21" s="70">
        <f t="shared" si="3"/>
        <v>5.4848151266113407E-2</v>
      </c>
    </row>
    <row r="23" spans="1:14" s="32" customFormat="1" x14ac:dyDescent="0.25">
      <c r="A23" s="59"/>
      <c r="B23" s="63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1:14" s="32" customFormat="1" ht="45" x14ac:dyDescent="0.25">
      <c r="A24" s="67" t="s">
        <v>140</v>
      </c>
      <c r="B24" s="69"/>
      <c r="C24" s="68" t="s">
        <v>57</v>
      </c>
      <c r="D24" s="68" t="s">
        <v>58</v>
      </c>
      <c r="E24" s="66" t="s">
        <v>67</v>
      </c>
      <c r="F24" s="91" t="s">
        <v>117</v>
      </c>
      <c r="G24" s="91" t="s">
        <v>74</v>
      </c>
      <c r="H24" s="68" t="s">
        <v>59</v>
      </c>
      <c r="I24" s="68" t="s">
        <v>138</v>
      </c>
      <c r="J24" s="73" t="s">
        <v>88</v>
      </c>
      <c r="K24" s="73" t="s">
        <v>68</v>
      </c>
      <c r="L24" s="68" t="s">
        <v>61</v>
      </c>
      <c r="M24" s="68" t="s">
        <v>62</v>
      </c>
      <c r="N24" s="72"/>
    </row>
    <row r="25" spans="1:14" s="32" customFormat="1" x14ac:dyDescent="0.25">
      <c r="A25" s="86" t="s">
        <v>64</v>
      </c>
      <c r="B25" s="87"/>
      <c r="C25" s="88">
        <f>'FY08-09'!D56</f>
        <v>1433332760</v>
      </c>
      <c r="D25" s="88">
        <f>'FY08-09'!E56</f>
        <v>138250931</v>
      </c>
      <c r="E25" s="88">
        <f>C25+D25</f>
        <v>1571583691</v>
      </c>
      <c r="F25" s="89">
        <v>0</v>
      </c>
      <c r="G25" s="89">
        <f>'FY08-09'!G56</f>
        <v>110422653</v>
      </c>
      <c r="H25" s="88">
        <f>'FY08-09'!G56</f>
        <v>110422653</v>
      </c>
      <c r="I25" s="88">
        <f>'FY08-09'!J56</f>
        <v>721868856</v>
      </c>
      <c r="J25" s="89">
        <f>'FY08-09'!H56</f>
        <v>626648760</v>
      </c>
      <c r="K25" s="89">
        <f>'FY08-09'!I56</f>
        <v>95220096</v>
      </c>
      <c r="L25" s="88">
        <f>'FY08-09'!K56</f>
        <v>32153026</v>
      </c>
      <c r="M25" s="88">
        <f>'FY08-09'!L56</f>
        <v>2436028226</v>
      </c>
      <c r="N25" s="72"/>
    </row>
    <row r="26" spans="1:14" x14ac:dyDescent="0.25">
      <c r="A26" s="56" t="s">
        <v>118</v>
      </c>
      <c r="B26" s="55"/>
      <c r="C26" s="84">
        <f>'FY09-10'!D56-'FY08-09'!D56</f>
        <v>-360451671</v>
      </c>
      <c r="D26" s="84">
        <f>'FY09-10'!E56-'FY08-09'!E56</f>
        <v>-1586797</v>
      </c>
      <c r="E26" s="84">
        <f>'FY09-10'!F56-'FY08-09'!F56</f>
        <v>-362038468</v>
      </c>
      <c r="F26" s="85">
        <f>'FY09-10'!G56</f>
        <v>189700000</v>
      </c>
      <c r="G26" s="85">
        <f>'FY09-10'!H56-'FY08-09'!G56</f>
        <v>-12569244</v>
      </c>
      <c r="H26" s="84">
        <f t="shared" ref="H26:H39" si="4">F26+G26</f>
        <v>177130756</v>
      </c>
      <c r="I26" s="84">
        <f>'FY09-10'!L56-'FY08-09'!J56</f>
        <v>48349334</v>
      </c>
      <c r="J26" s="85">
        <f>'FY09-10'!J56-'FY08-09'!H56</f>
        <v>51208213</v>
      </c>
      <c r="K26" s="85">
        <f>'FY09-10'!K56-'FY08-09'!I56</f>
        <v>-2858879</v>
      </c>
      <c r="L26" s="90">
        <f>'FY09-10'!M56-'FY08-09'!K56</f>
        <v>3000000</v>
      </c>
      <c r="M26" s="90">
        <f>'FY09-10'!N56-'FY08-09'!L56</f>
        <v>-133558378</v>
      </c>
      <c r="N26" s="54"/>
    </row>
    <row r="27" spans="1:14" x14ac:dyDescent="0.25">
      <c r="A27" s="56" t="s">
        <v>119</v>
      </c>
      <c r="B27" s="55"/>
      <c r="C27" s="84">
        <f>'FY10-11'!D56-'FY09-10'!D56</f>
        <v>-191004342</v>
      </c>
      <c r="D27" s="84">
        <f>'FY10-11'!E56-'FY09-10'!E56</f>
        <v>-5754512</v>
      </c>
      <c r="E27" s="84">
        <f>'FY10-11'!F56-'FY09-10'!F56</f>
        <v>-196758854</v>
      </c>
      <c r="F27" s="85">
        <f>'FY10-11'!G56-'FY09-10'!G56</f>
        <v>103492837</v>
      </c>
      <c r="G27" s="85">
        <f>'FY10-11'!H56-'FY09-10'!H56</f>
        <v>-4485543</v>
      </c>
      <c r="H27" s="84">
        <f t="shared" si="4"/>
        <v>99007294</v>
      </c>
      <c r="I27" s="84">
        <f>'FY10-11'!L56-'FY09-10'!L56</f>
        <v>83748469</v>
      </c>
      <c r="J27" s="85">
        <f>'FY10-11'!J56-'FY09-10'!J56</f>
        <v>90167836</v>
      </c>
      <c r="K27" s="85">
        <f>'FY10-11'!K56-'FY09-10'!K56</f>
        <v>-6419367</v>
      </c>
      <c r="L27" s="90">
        <f>'FY10-11'!M56-'FY09-10'!M56</f>
        <v>10046265</v>
      </c>
      <c r="M27" s="90">
        <f>'FY10-11'!N56-'FY09-10'!N56</f>
        <v>-3956826</v>
      </c>
      <c r="N27" s="54"/>
    </row>
    <row r="28" spans="1:14" x14ac:dyDescent="0.25">
      <c r="A28" s="56" t="s">
        <v>120</v>
      </c>
      <c r="B28" s="55"/>
      <c r="C28" s="84">
        <f>'FY11-12'!D56-'FY10-11'!D56</f>
        <v>60375478</v>
      </c>
      <c r="D28" s="84">
        <f>'FY11-12'!E56-'FY10-11'!E56</f>
        <v>-6655518</v>
      </c>
      <c r="E28" s="84">
        <f>'FY11-12'!F56-'FY10-11'!F56</f>
        <v>53719960</v>
      </c>
      <c r="F28" s="85">
        <v>0</v>
      </c>
      <c r="G28" s="85">
        <f>'FY11-12'!G56-'FY10-11'!I56</f>
        <v>-301900759</v>
      </c>
      <c r="H28" s="84">
        <f t="shared" si="4"/>
        <v>-301900759</v>
      </c>
      <c r="I28" s="84">
        <f>'FY11-12'!J56-'FY10-11'!L56</f>
        <v>225755942</v>
      </c>
      <c r="J28" s="85">
        <f>'FY11-12'!H56-'FY10-11'!J56</f>
        <v>144517794</v>
      </c>
      <c r="K28" s="85">
        <f>'FY11-12'!I56-'FY10-11'!K56</f>
        <v>81238148</v>
      </c>
      <c r="L28" s="90">
        <f>'FY11-12'!K56-'FY10-11'!M56</f>
        <v>-9202724</v>
      </c>
      <c r="M28" s="90">
        <f>'FY11-12'!L56-'FY10-11'!N56</f>
        <v>-31627581</v>
      </c>
      <c r="N28" s="54"/>
    </row>
    <row r="29" spans="1:14" x14ac:dyDescent="0.25">
      <c r="A29" s="56" t="s">
        <v>121</v>
      </c>
      <c r="B29" s="55"/>
      <c r="C29" s="84">
        <f>'FY12-13'!D56-'FY11-12'!D56</f>
        <v>-119012942</v>
      </c>
      <c r="D29" s="84">
        <f>'FY12-13'!E56-'FY11-12'!E56</f>
        <v>-2017325</v>
      </c>
      <c r="E29" s="84">
        <f>'FY12-13'!F56-'FY11-12'!F56</f>
        <v>-121030267</v>
      </c>
      <c r="F29" s="85">
        <v>0</v>
      </c>
      <c r="G29" s="85">
        <f>'FY12-13'!G56-'FY11-12'!G56</f>
        <v>-7640909</v>
      </c>
      <c r="H29" s="84">
        <f t="shared" si="4"/>
        <v>-7640909</v>
      </c>
      <c r="I29" s="84">
        <f>'FY12-13'!J56-'FY11-12'!J56</f>
        <v>24094537</v>
      </c>
      <c r="J29" s="85">
        <f>'FY12-13'!H56-'FY11-12'!H56</f>
        <v>110922329</v>
      </c>
      <c r="K29" s="85">
        <f>'FY12-13'!I56-'FY11-12'!I56</f>
        <v>-86827792</v>
      </c>
      <c r="L29" s="90">
        <f>'FY12-13'!K56-'FY11-12'!K56</f>
        <v>274457</v>
      </c>
      <c r="M29" s="90">
        <f>'FY12-13'!L56-'FY11-12'!L56</f>
        <v>-104302182</v>
      </c>
      <c r="N29" s="54"/>
    </row>
    <row r="30" spans="1:14" x14ac:dyDescent="0.25">
      <c r="A30" s="56" t="s">
        <v>122</v>
      </c>
      <c r="B30" s="55"/>
      <c r="C30" s="84">
        <f>'FY13-14'!D56-'FY12-13'!D56</f>
        <v>-401066969</v>
      </c>
      <c r="D30" s="84">
        <f>'FY13-14'!E56-'FY12-13'!E56</f>
        <v>326516434</v>
      </c>
      <c r="E30" s="84">
        <f>'FY13-14'!F56-'FY12-13'!F56</f>
        <v>-74550535</v>
      </c>
      <c r="F30" s="85">
        <v>0</v>
      </c>
      <c r="G30" s="85">
        <f>'FY13-14'!G56-'FY12-13'!G56</f>
        <v>-63770417</v>
      </c>
      <c r="H30" s="84">
        <f t="shared" si="4"/>
        <v>-63770417</v>
      </c>
      <c r="I30" s="84">
        <f>'FY13-14'!J56-'FY12-13'!J56</f>
        <v>152137428</v>
      </c>
      <c r="J30" s="85">
        <f>'FY13-14'!H56-'FY12-13'!H56</f>
        <v>82758954</v>
      </c>
      <c r="K30" s="85">
        <f>'FY13-14'!I56-'FY12-13'!I56</f>
        <v>69378474</v>
      </c>
      <c r="L30" s="90">
        <f>'FY13-14'!K56-'FY12-13'!K56</f>
        <v>-2200000</v>
      </c>
      <c r="M30" s="90">
        <f>'FY13-14'!L56-'FY12-13'!L56</f>
        <v>11616476</v>
      </c>
      <c r="N30" s="54"/>
    </row>
    <row r="31" spans="1:14" x14ac:dyDescent="0.25">
      <c r="A31" s="56" t="s">
        <v>123</v>
      </c>
      <c r="B31" s="55"/>
      <c r="C31" s="84">
        <f>'FY14-15'!D56-'FY13-14'!D56</f>
        <v>316599063</v>
      </c>
      <c r="D31" s="84">
        <f>'FY14-15'!E56-'FY13-14'!E56</f>
        <v>-332735981</v>
      </c>
      <c r="E31" s="84">
        <f>'FY14-15'!F56-'FY13-14'!F56</f>
        <v>-16136918</v>
      </c>
      <c r="F31" s="85">
        <v>0</v>
      </c>
      <c r="G31" s="85">
        <f>'FY14-15'!G56-'FY13-14'!G56</f>
        <v>19825990</v>
      </c>
      <c r="H31" s="84">
        <f t="shared" si="4"/>
        <v>19825990</v>
      </c>
      <c r="I31" s="84">
        <f>'FY14-15'!J56-'FY13-14'!J56</f>
        <v>111697204</v>
      </c>
      <c r="J31" s="85">
        <f>'FY14-15'!H56-'FY13-14'!H56</f>
        <v>90586911</v>
      </c>
      <c r="K31" s="85">
        <f>'FY14-15'!I56-'FY13-14'!I56</f>
        <v>21110293</v>
      </c>
      <c r="L31" s="90">
        <f>'FY14-15'!K56-'FY13-14'!K56</f>
        <v>0</v>
      </c>
      <c r="M31" s="90">
        <f>'FY14-15'!L56-'FY13-14'!L56</f>
        <v>115386276</v>
      </c>
      <c r="N31" s="54"/>
    </row>
    <row r="32" spans="1:14" x14ac:dyDescent="0.25">
      <c r="A32" s="56" t="s">
        <v>124</v>
      </c>
      <c r="B32" s="55"/>
      <c r="C32" s="84">
        <f>'FY15-16'!D56-'FY14-15'!D56</f>
        <v>-317220286</v>
      </c>
      <c r="D32" s="84">
        <f>'FY15-16'!E56-'FY14-15'!E56</f>
        <v>350258897</v>
      </c>
      <c r="E32" s="84">
        <f>'FY15-16'!F56-'FY14-15'!F56</f>
        <v>33038611</v>
      </c>
      <c r="F32" s="85">
        <v>0</v>
      </c>
      <c r="G32" s="85">
        <f>'FY15-16'!G56-'FY14-15'!G56</f>
        <v>4045488</v>
      </c>
      <c r="H32" s="84">
        <f t="shared" si="4"/>
        <v>4045488</v>
      </c>
      <c r="I32" s="84">
        <f>'FY15-16'!J56-'FY14-15'!J56</f>
        <v>-41078516</v>
      </c>
      <c r="J32" s="85">
        <f>'FY15-16'!H56-'FY14-15'!H56</f>
        <v>54678253</v>
      </c>
      <c r="K32" s="85">
        <f>'FY15-16'!I56-'FY14-15'!I56</f>
        <v>-95756769</v>
      </c>
      <c r="L32" s="90">
        <f>'FY15-16'!K56-'FY14-15'!K56</f>
        <v>-3363873</v>
      </c>
      <c r="M32" s="90">
        <f>'FY15-16'!L56-'FY14-15'!L56</f>
        <v>-7358290</v>
      </c>
      <c r="N32" s="54"/>
    </row>
    <row r="33" spans="1:14" x14ac:dyDescent="0.25">
      <c r="A33" s="56" t="s">
        <v>125</v>
      </c>
      <c r="B33" s="55"/>
      <c r="C33" s="84">
        <f>'FY16-17'!D56-'FY15-16'!D56</f>
        <v>315521034</v>
      </c>
      <c r="D33" s="84">
        <f>'FY16-17'!E56-'FY15-16'!E56</f>
        <v>-351076236</v>
      </c>
      <c r="E33" s="84">
        <f>'FY16-17'!F56-'FY15-16'!F56</f>
        <v>-35555202</v>
      </c>
      <c r="F33" s="85">
        <v>0</v>
      </c>
      <c r="G33" s="85">
        <f>'FY16-17'!G56-'FY15-16'!G56</f>
        <v>-14429156</v>
      </c>
      <c r="H33" s="84">
        <f t="shared" si="4"/>
        <v>-14429156</v>
      </c>
      <c r="I33" s="84">
        <f>'FY16-17'!J56-'FY15-16'!J56</f>
        <v>62964991</v>
      </c>
      <c r="J33" s="85">
        <f>'FY16-17'!H56-'FY15-16'!H56</f>
        <v>74577261</v>
      </c>
      <c r="K33" s="85">
        <f>'FY16-17'!I56-'FY15-16'!I56</f>
        <v>-11612270</v>
      </c>
      <c r="L33" s="84">
        <f>'FY16-17'!K56-'FY15-16'!K56</f>
        <v>2172314</v>
      </c>
      <c r="M33" s="84">
        <f>'FY16-17'!L56-'FY15-16'!L56</f>
        <v>15152947</v>
      </c>
      <c r="N33" s="54"/>
    </row>
    <row r="34" spans="1:14" x14ac:dyDescent="0.25">
      <c r="A34" s="56" t="s">
        <v>126</v>
      </c>
      <c r="B34" s="55"/>
      <c r="C34" s="84">
        <f>'FY17-18'!D56-'FY16-17'!D56</f>
        <v>937203</v>
      </c>
      <c r="D34" s="84">
        <f>'FY17-18'!E56-'FY16-17'!E56</f>
        <v>-21520217</v>
      </c>
      <c r="E34" s="84">
        <f>'FY17-18'!F56-'FY16-17'!F56</f>
        <v>-20583014</v>
      </c>
      <c r="F34" s="85">
        <v>0</v>
      </c>
      <c r="G34" s="85">
        <f>'FY17-18'!G56-'FY16-17'!G56</f>
        <v>193663</v>
      </c>
      <c r="H34" s="105">
        <f t="shared" si="4"/>
        <v>193663</v>
      </c>
      <c r="I34" s="84">
        <f>'FY17-18'!J56-'FY16-17'!J56</f>
        <v>67555216</v>
      </c>
      <c r="J34" s="85">
        <f>'FY17-18'!H56-'FY16-17'!H56</f>
        <v>57612211</v>
      </c>
      <c r="K34" s="85">
        <f>'FY17-18'!I56-'FY16-17'!I56</f>
        <v>9943005</v>
      </c>
      <c r="L34" s="84">
        <f>'FY17-18'!K56-'FY16-17'!K56</f>
        <v>0</v>
      </c>
      <c r="M34" s="84">
        <f>'FY17-18'!L56-'FY16-17'!L56</f>
        <v>47165865</v>
      </c>
      <c r="N34" s="54"/>
    </row>
    <row r="35" spans="1:14" x14ac:dyDescent="0.25">
      <c r="A35" s="56" t="s">
        <v>127</v>
      </c>
      <c r="B35" s="55"/>
      <c r="C35" s="84">
        <f>'FY18-19'!D56-'FY17-18'!D56</f>
        <v>4999999.8526090384</v>
      </c>
      <c r="D35" s="84">
        <f>'FY18-19'!E56-'FY17-18'!E56</f>
        <v>-3328289</v>
      </c>
      <c r="E35" s="84">
        <f>'FY18-19'!F56-'FY17-18'!F56</f>
        <v>1671710.8526090384</v>
      </c>
      <c r="F35" s="85">
        <v>0</v>
      </c>
      <c r="G35" s="85">
        <f>'FY18-19'!G56-'FY17-18'!G56</f>
        <v>-795785</v>
      </c>
      <c r="H35" s="105">
        <f t="shared" si="4"/>
        <v>-795785</v>
      </c>
      <c r="I35" s="84">
        <f>'FY18-19'!J56-'FY17-18'!J56</f>
        <v>17183536</v>
      </c>
      <c r="J35" s="85">
        <f>'FY18-19'!H56-'FY17-18'!H56</f>
        <v>11081743</v>
      </c>
      <c r="K35" s="85">
        <f>'FY18-19'!I56-'FY17-18'!I56</f>
        <v>6101793</v>
      </c>
      <c r="L35" s="84">
        <f>'FY18-19'!K56-'FY17-18'!K56</f>
        <v>0</v>
      </c>
      <c r="M35" s="84">
        <f>'FY18-19'!L56-'FY17-18'!L56</f>
        <v>18059461.852609158</v>
      </c>
      <c r="N35" s="54"/>
    </row>
    <row r="36" spans="1:14" x14ac:dyDescent="0.25">
      <c r="A36" s="56" t="s">
        <v>128</v>
      </c>
      <c r="B36" s="55"/>
      <c r="C36" s="84">
        <f>'FY19-20'!D56-'FY18-19'!D56</f>
        <v>26073506.147390962</v>
      </c>
      <c r="D36" s="84">
        <f>'FY19-20'!E56-'FY18-19'!E56</f>
        <v>4153895</v>
      </c>
      <c r="E36" s="84">
        <f>'FY19-20'!F56-'FY18-19'!F56</f>
        <v>30227401.147390962</v>
      </c>
      <c r="F36" s="85">
        <v>0</v>
      </c>
      <c r="G36" s="85">
        <f>'FY19-20'!G56-'FY18-19'!G56</f>
        <v>-4780048</v>
      </c>
      <c r="H36" s="105">
        <f t="shared" si="4"/>
        <v>-4780048</v>
      </c>
      <c r="I36" s="84">
        <f>'FY19-20'!J56-'FY18-19'!J56</f>
        <v>70413044</v>
      </c>
      <c r="J36" s="85"/>
      <c r="K36" s="85"/>
      <c r="L36" s="84">
        <f>'FY19-20'!K56-'FY18-19'!K56</f>
        <v>0</v>
      </c>
      <c r="M36" s="84">
        <f>'FY19-20'!L56-'FY18-19'!L576</f>
        <v>2458466392</v>
      </c>
      <c r="N36" s="54"/>
    </row>
    <row r="37" spans="1:14" x14ac:dyDescent="0.25">
      <c r="A37" s="56" t="s">
        <v>129</v>
      </c>
      <c r="B37" s="55"/>
      <c r="C37" s="84">
        <f>'FY20-21'!D58-'FY19-20'!D56</f>
        <v>-105861723</v>
      </c>
      <c r="D37" s="84">
        <f>'FY20-21'!E58-'FY19-20'!E56</f>
        <v>-8016676</v>
      </c>
      <c r="E37" s="84">
        <f>'FY20-21'!F58-'FY19-20'!F56</f>
        <v>-113878399</v>
      </c>
      <c r="F37" s="85">
        <f>'FY20-21'!G58</f>
        <v>100621117.41</v>
      </c>
      <c r="G37" s="85">
        <f>'FY20-21'!H58-'FY19-20'!G56</f>
        <v>3787488</v>
      </c>
      <c r="H37" s="135">
        <f t="shared" si="4"/>
        <v>104408605.41</v>
      </c>
      <c r="I37" s="84">
        <f>'FY20-21'!K58-'FY19-20'!J56</f>
        <v>35916016.230000019</v>
      </c>
      <c r="J37" s="85"/>
      <c r="K37" s="85"/>
      <c r="L37" s="84">
        <f>'FY20-21'!L58-'FY19-20'!K56</f>
        <v>0</v>
      </c>
      <c r="M37" s="84">
        <f>'FY20-21'!N58-'FY19-20'!L56</f>
        <v>26446222.639999866</v>
      </c>
      <c r="N37" s="54"/>
    </row>
    <row r="38" spans="1:14" x14ac:dyDescent="0.25">
      <c r="A38" s="56" t="s">
        <v>133</v>
      </c>
      <c r="B38" s="55"/>
      <c r="C38" s="84">
        <f>'FY21-22'!D58-'FY20-21'!D58</f>
        <v>175569455.70000005</v>
      </c>
      <c r="D38" s="84">
        <f>'FY21-22'!E58-'FY20-21'!E58</f>
        <v>3196038.6999999881</v>
      </c>
      <c r="E38" s="84">
        <f>'FY21-22'!F58-'FY20-21'!F58</f>
        <v>178765494.4000001</v>
      </c>
      <c r="F38" s="85">
        <v>-100621117</v>
      </c>
      <c r="G38" s="85">
        <f>'FY21-22'!G58-'FY20-21'!H58</f>
        <v>1200154</v>
      </c>
      <c r="H38" s="135">
        <f t="shared" si="4"/>
        <v>-99420963</v>
      </c>
      <c r="I38" s="84">
        <f>'FY21-22'!I58-'FY20-21'!J58</f>
        <v>7649571</v>
      </c>
      <c r="J38" s="84">
        <f>'FY21-22'!J58-'FY20-21'!K58</f>
        <v>70356702.769999981</v>
      </c>
      <c r="K38" s="84">
        <f>'FY21-22'!K58-'FY20-21'!L58</f>
        <v>1000000</v>
      </c>
      <c r="L38" s="84">
        <f>'FY21-22'!K58-'FY20-21'!L58</f>
        <v>1000000</v>
      </c>
      <c r="M38" s="84">
        <f>'FY21-22'!L58-'FY20-21'!N58</f>
        <v>150701233.76000023</v>
      </c>
      <c r="N38" s="54"/>
    </row>
    <row r="39" spans="1:14" s="32" customFormat="1" x14ac:dyDescent="0.25">
      <c r="A39" s="136" t="s">
        <v>135</v>
      </c>
      <c r="B39" s="55"/>
      <c r="C39" s="137">
        <f>'FY21-22'!D58</f>
        <v>838790566.70000005</v>
      </c>
      <c r="D39" s="137">
        <f>'FY21-22'!E58</f>
        <v>89684644.699999988</v>
      </c>
      <c r="E39" s="137">
        <f>'FY21-22'!F58</f>
        <v>928475211.4000001</v>
      </c>
      <c r="F39" s="81">
        <v>0</v>
      </c>
      <c r="G39" s="81">
        <f>'FY21-22'!G58</f>
        <v>22296412</v>
      </c>
      <c r="H39" s="137">
        <f t="shared" si="4"/>
        <v>22296412</v>
      </c>
      <c r="I39" s="137">
        <f>'FY21-22'!J58</f>
        <v>1650962760</v>
      </c>
      <c r="J39" s="137">
        <f>'FY18-19'!H56</f>
        <v>1394760265</v>
      </c>
      <c r="K39" s="137">
        <f>'FY18-19'!I56</f>
        <v>79516732</v>
      </c>
      <c r="L39" s="137">
        <f>'FY21-22'!K58</f>
        <v>33879465</v>
      </c>
      <c r="M39" s="137">
        <f>'FY21-22'!L58</f>
        <v>2635613848.4000001</v>
      </c>
      <c r="N39" s="72"/>
    </row>
    <row r="40" spans="1:14" s="32" customFormat="1" x14ac:dyDescent="0.25">
      <c r="A40" s="57" t="s">
        <v>65</v>
      </c>
      <c r="B40" s="58"/>
      <c r="C40" s="36">
        <f t="shared" ref="C40:I40" si="5">SUM(C26:C38)</f>
        <v>-594542193.29999995</v>
      </c>
      <c r="D40" s="36">
        <f t="shared" si="5"/>
        <v>-48566286.300000012</v>
      </c>
      <c r="E40" s="36">
        <f t="shared" si="5"/>
        <v>-643108479.5999999</v>
      </c>
      <c r="F40" s="81">
        <f t="shared" si="5"/>
        <v>293192837.40999997</v>
      </c>
      <c r="G40" s="81">
        <f t="shared" si="5"/>
        <v>-381319078</v>
      </c>
      <c r="H40" s="36">
        <f t="shared" si="5"/>
        <v>-88126240.590000004</v>
      </c>
      <c r="I40" s="36">
        <f t="shared" si="5"/>
        <v>866386772.23000002</v>
      </c>
      <c r="J40" s="81">
        <f>SUM(J26:J35)</f>
        <v>768111505</v>
      </c>
      <c r="K40" s="81">
        <f>SUM(K26:K35)</f>
        <v>-15703364</v>
      </c>
      <c r="L40" s="36">
        <f>SUM(L26:L38)</f>
        <v>1726439</v>
      </c>
      <c r="M40" s="36">
        <f>SUM(M26:M38)</f>
        <v>2562191617.2526093</v>
      </c>
      <c r="N40" s="72"/>
    </row>
    <row r="41" spans="1:14" s="32" customFormat="1" x14ac:dyDescent="0.25">
      <c r="A41" s="61" t="s">
        <v>66</v>
      </c>
      <c r="B41" s="62"/>
      <c r="C41" s="70">
        <f>C40/C25</f>
        <v>-0.4147970449653296</v>
      </c>
      <c r="D41" s="70">
        <f>D40/D25</f>
        <v>-0.3512908444717816</v>
      </c>
      <c r="E41" s="70">
        <f>E40/E25</f>
        <v>-0.40921045648595999</v>
      </c>
      <c r="F41" s="70"/>
      <c r="G41" s="70"/>
      <c r="H41" s="70">
        <f t="shared" ref="H41:M41" si="6">H40/H25</f>
        <v>-0.79808117443075743</v>
      </c>
      <c r="I41" s="70">
        <f t="shared" si="6"/>
        <v>1.2001996831263766</v>
      </c>
      <c r="J41" s="82">
        <f t="shared" si="6"/>
        <v>1.2257448734120211</v>
      </c>
      <c r="K41" s="82">
        <f t="shared" si="6"/>
        <v>-0.16491648989725866</v>
      </c>
      <c r="L41" s="70">
        <f t="shared" si="6"/>
        <v>5.3694448541173077E-2</v>
      </c>
      <c r="M41" s="70">
        <f t="shared" si="6"/>
        <v>1.0517906114165891</v>
      </c>
    </row>
    <row r="60" spans="4:5" x14ac:dyDescent="0.25">
      <c r="D60" s="64"/>
      <c r="E60" s="64"/>
    </row>
  </sheetData>
  <pageMargins left="0.25" right="0.25" top="0.75" bottom="0.75" header="0.3" footer="0.3"/>
  <pageSetup scale="6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8"/>
  <sheetViews>
    <sheetView workbookViewId="0"/>
  </sheetViews>
  <sheetFormatPr defaultRowHeight="15" x14ac:dyDescent="0.25"/>
  <cols>
    <col min="2" max="2" width="22.85546875" customWidth="1"/>
    <col min="3" max="3" width="1.42578125" customWidth="1"/>
    <col min="4" max="4" width="18.7109375" bestFit="1" customWidth="1"/>
    <col min="5" max="5" width="15.28515625" customWidth="1"/>
    <col min="6" max="6" width="16.28515625" style="25" customWidth="1"/>
    <col min="7" max="9" width="15.28515625" customWidth="1"/>
    <col min="10" max="10" width="16.28515625" style="25" customWidth="1"/>
    <col min="11" max="11" width="15.28515625" customWidth="1"/>
    <col min="12" max="12" width="16.28515625" style="25" customWidth="1"/>
    <col min="13" max="13" width="1.42578125" customWidth="1"/>
  </cols>
  <sheetData>
    <row r="1" spans="1:17" s="99" customFormat="1" ht="18.75" x14ac:dyDescent="0.3">
      <c r="A1" s="99" t="s">
        <v>94</v>
      </c>
      <c r="F1" s="100"/>
      <c r="J1" s="100"/>
      <c r="L1" s="100"/>
    </row>
    <row r="2" spans="1:17" s="99" customFormat="1" ht="18.75" x14ac:dyDescent="0.3">
      <c r="A2" s="99" t="s">
        <v>97</v>
      </c>
    </row>
    <row r="3" spans="1:17" s="104" customFormat="1" ht="18.75" x14ac:dyDescent="0.3">
      <c r="A3" s="102"/>
      <c r="B3" s="101"/>
      <c r="C3" s="101"/>
      <c r="D3" s="103"/>
      <c r="E3" s="103"/>
      <c r="F3" s="103"/>
      <c r="G3" s="103"/>
      <c r="H3" s="103"/>
      <c r="I3" s="103"/>
      <c r="J3" s="103"/>
      <c r="K3" s="103"/>
      <c r="L3" s="103"/>
      <c r="M3" s="101"/>
    </row>
    <row r="4" spans="1:17" x14ac:dyDescent="0.25">
      <c r="A4" s="1"/>
      <c r="B4" s="2"/>
      <c r="C4" s="9"/>
      <c r="D4" s="25"/>
      <c r="E4" s="25"/>
      <c r="G4" s="25"/>
      <c r="H4" s="25"/>
      <c r="I4" s="25"/>
      <c r="K4" s="25"/>
      <c r="M4" s="9"/>
    </row>
    <row r="5" spans="1:17" ht="32.25" customHeight="1" x14ac:dyDescent="0.25">
      <c r="A5" s="10" t="s">
        <v>0</v>
      </c>
      <c r="B5" s="10" t="s">
        <v>1</v>
      </c>
      <c r="C5" s="40"/>
      <c r="D5" s="66" t="s">
        <v>57</v>
      </c>
      <c r="E5" s="66" t="s">
        <v>58</v>
      </c>
      <c r="F5" s="97" t="s">
        <v>67</v>
      </c>
      <c r="G5" s="66" t="s">
        <v>59</v>
      </c>
      <c r="H5" s="73" t="s">
        <v>88</v>
      </c>
      <c r="I5" s="73" t="s">
        <v>68</v>
      </c>
      <c r="J5" s="66" t="s">
        <v>60</v>
      </c>
      <c r="K5" s="66" t="s">
        <v>61</v>
      </c>
      <c r="L5" s="66" t="s">
        <v>62</v>
      </c>
      <c r="M5" s="72"/>
    </row>
    <row r="6" spans="1:17" s="32" customFormat="1" x14ac:dyDescent="0.25">
      <c r="A6" s="47" t="s">
        <v>2</v>
      </c>
      <c r="B6" s="47" t="s">
        <v>3</v>
      </c>
      <c r="C6" s="40"/>
      <c r="D6" s="115">
        <f>'FY17-18'!D6-'FY08-09'!D6</f>
        <v>-37465100</v>
      </c>
      <c r="E6" s="115">
        <f>'FY17-18'!E6-'FY08-09'!E6</f>
        <v>-13582500</v>
      </c>
      <c r="F6" s="116">
        <f>'FY17-18'!F6-'FY08-09'!F6</f>
        <v>-51047600</v>
      </c>
      <c r="G6" s="115">
        <f>'FY17-18'!G6-'FY08-09'!G6</f>
        <v>-11926493</v>
      </c>
      <c r="H6" s="117">
        <f>'FY17-18'!H6-'FY08-09'!H6</f>
        <v>0</v>
      </c>
      <c r="I6" s="117">
        <f>'FY17-18'!I6-'FY08-09'!I6</f>
        <v>163919</v>
      </c>
      <c r="J6" s="115">
        <f>'FY16-17'!J6-'FY08-09'!J6</f>
        <v>163919</v>
      </c>
      <c r="K6" s="115">
        <f>'FY17-18'!K6-'FY08-09'!K6</f>
        <v>108441</v>
      </c>
      <c r="L6" s="115">
        <f t="shared" ref="L6:L22" si="0">F6+G6+J6+K6</f>
        <v>-62701733</v>
      </c>
      <c r="M6" s="92"/>
    </row>
    <row r="7" spans="1:17" s="32" customFormat="1" x14ac:dyDescent="0.25">
      <c r="A7" s="49" t="s">
        <v>4</v>
      </c>
      <c r="B7" s="49" t="s">
        <v>4</v>
      </c>
      <c r="C7" s="40"/>
      <c r="D7" s="115">
        <f>'FY17-18'!D7-'FY08-09'!D7</f>
        <v>266431249</v>
      </c>
      <c r="E7" s="115">
        <f>'FY17-18'!E7-'FY08-09'!E7</f>
        <v>57958234</v>
      </c>
      <c r="F7" s="116">
        <f>'FY17-18'!F7-'FY08-09'!F7</f>
        <v>324389483</v>
      </c>
      <c r="G7" s="115">
        <f>'FY17-18'!G7-'FY08-09'!G7</f>
        <v>670998</v>
      </c>
      <c r="H7" s="117">
        <f>'FY17-18'!H7-'FY08-09'!H7</f>
        <v>0</v>
      </c>
      <c r="I7" s="117">
        <f>'FY17-18'!I7-'FY08-09'!I7</f>
        <v>92750</v>
      </c>
      <c r="J7" s="115">
        <f>'FY16-17'!J7-'FY08-09'!J7</f>
        <v>92750</v>
      </c>
      <c r="K7" s="115">
        <f>'FY17-18'!K7-'FY08-09'!K7</f>
        <v>47024032</v>
      </c>
      <c r="L7" s="115">
        <f t="shared" si="0"/>
        <v>372177263</v>
      </c>
      <c r="M7" s="93"/>
    </row>
    <row r="8" spans="1:17" s="32" customFormat="1" x14ac:dyDescent="0.25">
      <c r="A8" s="51" t="s">
        <v>5</v>
      </c>
      <c r="B8" s="51" t="s">
        <v>5</v>
      </c>
      <c r="C8" s="40"/>
      <c r="D8" s="115">
        <f>'FY17-18'!D8-'FY08-09'!D8</f>
        <v>-900653</v>
      </c>
      <c r="E8" s="115">
        <f>'FY17-18'!E8-'FY08-09'!E8</f>
        <v>-8115</v>
      </c>
      <c r="F8" s="116">
        <f>'FY17-18'!F8-'FY08-09'!F8</f>
        <v>-908768</v>
      </c>
      <c r="G8" s="115">
        <f>'FY17-18'!G8-'FY08-09'!G8</f>
        <v>-475000</v>
      </c>
      <c r="H8" s="117">
        <f>'FY17-18'!H8-'FY08-09'!H8</f>
        <v>0</v>
      </c>
      <c r="I8" s="117">
        <f>'FY17-18'!I8-'FY08-09'!I8</f>
        <v>4000000</v>
      </c>
      <c r="J8" s="115">
        <f>'FY16-17'!J8-'FY08-09'!J8</f>
        <v>4000000</v>
      </c>
      <c r="K8" s="115">
        <f>'FY17-18'!K8-'FY08-09'!K8</f>
        <v>0</v>
      </c>
      <c r="L8" s="115">
        <f t="shared" si="0"/>
        <v>2616232</v>
      </c>
      <c r="M8" s="94"/>
    </row>
    <row r="9" spans="1:17" x14ac:dyDescent="0.25">
      <c r="A9" s="16" t="s">
        <v>6</v>
      </c>
      <c r="B9" s="16" t="s">
        <v>7</v>
      </c>
      <c r="C9" s="40"/>
      <c r="D9" s="118">
        <f>'FY17-18'!D9-'FY08-09'!D9</f>
        <v>-6481180</v>
      </c>
      <c r="E9" s="118">
        <f>'FY17-18'!E9-'FY08-09'!E9</f>
        <v>502817</v>
      </c>
      <c r="F9" s="119">
        <f>'FY17-18'!F9-'FY08-09'!F9</f>
        <v>-5978363</v>
      </c>
      <c r="G9" s="118">
        <f>'FY17-18'!G9-'FY08-09'!G9</f>
        <v>0</v>
      </c>
      <c r="H9" s="120">
        <f>'FY17-18'!H9-'FY08-09'!H9</f>
        <v>11807486</v>
      </c>
      <c r="I9" s="120">
        <f>'FY17-18'!I9-'FY08-09'!I9</f>
        <v>454592</v>
      </c>
      <c r="J9" s="118">
        <f>'FY16-17'!J9-'FY08-09'!J9</f>
        <v>15551640</v>
      </c>
      <c r="K9" s="118">
        <f>'FY17-18'!K9-'FY08-09'!K9</f>
        <v>0</v>
      </c>
      <c r="L9" s="118">
        <f t="shared" si="0"/>
        <v>9573277</v>
      </c>
      <c r="M9" s="95"/>
    </row>
    <row r="10" spans="1:17" x14ac:dyDescent="0.25">
      <c r="A10" s="15"/>
      <c r="B10" s="16" t="s">
        <v>8</v>
      </c>
      <c r="C10" s="40"/>
      <c r="D10" s="121">
        <f>'FY17-18'!D10-'FY08-09'!D10</f>
        <v>-4508236</v>
      </c>
      <c r="E10" s="121">
        <f>'FY17-18'!E10-'FY08-09'!E10</f>
        <v>-21767</v>
      </c>
      <c r="F10" s="122">
        <f>'FY17-18'!F10-'FY08-09'!F10</f>
        <v>-4530003</v>
      </c>
      <c r="G10" s="121">
        <f>'FY17-18'!G10-'FY08-09'!G10</f>
        <v>0</v>
      </c>
      <c r="H10" s="123">
        <f>'FY17-18'!H10-'FY08-09'!H10</f>
        <v>16241763</v>
      </c>
      <c r="I10" s="123">
        <f>'FY17-18'!I10-'FY08-09'!I10</f>
        <v>-375000</v>
      </c>
      <c r="J10" s="121">
        <f>'FY16-17'!J10-'FY08-09'!J10</f>
        <v>17410383</v>
      </c>
      <c r="K10" s="121">
        <f>'FY17-18'!K10-'FY08-09'!K10</f>
        <v>0</v>
      </c>
      <c r="L10" s="121">
        <f t="shared" si="0"/>
        <v>12880380</v>
      </c>
      <c r="M10" s="95"/>
    </row>
    <row r="11" spans="1:17" x14ac:dyDescent="0.25">
      <c r="A11" s="15"/>
      <c r="B11" s="16" t="s">
        <v>9</v>
      </c>
      <c r="C11" s="40"/>
      <c r="D11" s="121">
        <f>'FY17-18'!D11-'FY08-09'!D11</f>
        <v>6056373</v>
      </c>
      <c r="E11" s="121">
        <f>'FY17-18'!E11-'FY08-09'!E11</f>
        <v>347497</v>
      </c>
      <c r="F11" s="122">
        <f>'FY17-18'!F11-'FY08-09'!F11</f>
        <v>6403870</v>
      </c>
      <c r="G11" s="121">
        <f>'FY17-18'!G11-'FY08-09'!G11</f>
        <v>0</v>
      </c>
      <c r="H11" s="123">
        <f>'FY17-18'!H11-'FY08-09'!H11</f>
        <v>4396323</v>
      </c>
      <c r="I11" s="123">
        <f>'FY17-18'!I11-'FY08-09'!I11</f>
        <v>0</v>
      </c>
      <c r="J11" s="121">
        <f>'FY16-17'!J11-'FY08-09'!J11</f>
        <v>4096323</v>
      </c>
      <c r="K11" s="121">
        <f>'FY17-18'!K11-'FY08-09'!K11</f>
        <v>0</v>
      </c>
      <c r="L11" s="121">
        <f t="shared" si="0"/>
        <v>10500193</v>
      </c>
      <c r="M11" s="95"/>
    </row>
    <row r="12" spans="1:17" x14ac:dyDescent="0.25">
      <c r="A12" s="15"/>
      <c r="B12" s="16" t="s">
        <v>10</v>
      </c>
      <c r="C12" s="40"/>
      <c r="D12" s="121">
        <f>'FY17-18'!D12-'FY08-09'!D12</f>
        <v>-16144217</v>
      </c>
      <c r="E12" s="121">
        <f>'FY17-18'!E12-'FY08-09'!E12</f>
        <v>-135094</v>
      </c>
      <c r="F12" s="122">
        <f>'FY17-18'!F12-'FY08-09'!F12</f>
        <v>-16279311</v>
      </c>
      <c r="G12" s="121">
        <f>'FY17-18'!G12-'FY08-09'!G12</f>
        <v>0</v>
      </c>
      <c r="H12" s="123">
        <f>'FY17-18'!H12-'FY08-09'!H12</f>
        <v>26413720</v>
      </c>
      <c r="I12" s="123">
        <f>'FY17-18'!I12-'FY08-09'!I12</f>
        <v>-1427300</v>
      </c>
      <c r="J12" s="121">
        <f>'FY16-17'!J12-'FY08-09'!J12</f>
        <v>28556740</v>
      </c>
      <c r="K12" s="121">
        <f>'FY17-18'!K12-'FY08-09'!K12</f>
        <v>0</v>
      </c>
      <c r="L12" s="121">
        <f t="shared" si="0"/>
        <v>12277429</v>
      </c>
      <c r="M12" s="95"/>
    </row>
    <row r="13" spans="1:17" x14ac:dyDescent="0.25">
      <c r="A13" s="15"/>
      <c r="B13" s="16" t="s">
        <v>11</v>
      </c>
      <c r="C13" s="40"/>
      <c r="D13" s="121">
        <f>'FY17-18'!D13-'FY08-09'!D13</f>
        <v>-1442037</v>
      </c>
      <c r="E13" s="121">
        <f>'FY17-18'!E13-'FY08-09'!E13</f>
        <v>9362</v>
      </c>
      <c r="F13" s="122">
        <f>'FY17-18'!F13-'FY08-09'!F13</f>
        <v>-1432675</v>
      </c>
      <c r="G13" s="121">
        <f>'FY17-18'!G13-'FY08-09'!G13</f>
        <v>0</v>
      </c>
      <c r="H13" s="123">
        <f>'FY17-18'!H13-'FY08-09'!H13</f>
        <v>4338480</v>
      </c>
      <c r="I13" s="123">
        <f>'FY17-18'!I13-'FY08-09'!I13</f>
        <v>20000</v>
      </c>
      <c r="J13" s="121">
        <f>'FY16-17'!J13-'FY08-09'!J13</f>
        <v>4208480</v>
      </c>
      <c r="K13" s="121">
        <f>'FY17-18'!K13-'FY08-09'!K13</f>
        <v>0</v>
      </c>
      <c r="L13" s="121">
        <f t="shared" si="0"/>
        <v>2775805</v>
      </c>
      <c r="M13" s="95"/>
      <c r="Q13" t="s">
        <v>92</v>
      </c>
    </row>
    <row r="14" spans="1:17" x14ac:dyDescent="0.25">
      <c r="A14" s="15"/>
      <c r="B14" s="16" t="s">
        <v>12</v>
      </c>
      <c r="C14" s="40"/>
      <c r="D14" s="121">
        <f>'FY17-18'!D14-'FY08-09'!D14</f>
        <v>2562766</v>
      </c>
      <c r="E14" s="121">
        <f>'FY17-18'!E14-'FY08-09'!E14</f>
        <v>-100000</v>
      </c>
      <c r="F14" s="122">
        <f>'FY17-18'!F14-'FY08-09'!F14</f>
        <v>2462766</v>
      </c>
      <c r="G14" s="121">
        <f>'FY17-18'!G14-'FY08-09'!G14</f>
        <v>0</v>
      </c>
      <c r="H14" s="123">
        <f>'FY17-18'!H14-'FY08-09'!H14</f>
        <v>0</v>
      </c>
      <c r="I14" s="123">
        <f>'FY17-18'!I14-'FY08-09'!I14</f>
        <v>0</v>
      </c>
      <c r="J14" s="121">
        <f>'FY16-17'!J14-'FY08-09'!J14</f>
        <v>0</v>
      </c>
      <c r="K14" s="121">
        <f>'FY17-18'!K14-'FY08-09'!K14</f>
        <v>0</v>
      </c>
      <c r="L14" s="121">
        <f t="shared" si="0"/>
        <v>2462766</v>
      </c>
      <c r="M14" s="95"/>
    </row>
    <row r="15" spans="1:17" x14ac:dyDescent="0.25">
      <c r="A15" s="15"/>
      <c r="B15" s="16" t="s">
        <v>13</v>
      </c>
      <c r="C15" s="40"/>
      <c r="D15" s="121">
        <f>'FY17-18'!D15-'FY08-09'!D15</f>
        <v>1286145</v>
      </c>
      <c r="E15" s="121">
        <f>'FY17-18'!E15-'FY08-09'!E15</f>
        <v>0</v>
      </c>
      <c r="F15" s="122">
        <f>'FY17-18'!F15-'FY08-09'!F15</f>
        <v>1286145</v>
      </c>
      <c r="G15" s="121">
        <f>'FY17-18'!G15-'FY08-09'!G15</f>
        <v>0</v>
      </c>
      <c r="H15" s="123">
        <f>'FY17-18'!H15-'FY08-09'!H15</f>
        <v>0</v>
      </c>
      <c r="I15" s="123">
        <f>'FY17-18'!I15-'FY08-09'!I15</f>
        <v>0</v>
      </c>
      <c r="J15" s="121">
        <f>'FY16-17'!J15-'FY08-09'!J15</f>
        <v>0</v>
      </c>
      <c r="K15" s="121">
        <f>'FY17-18'!K15-'FY08-09'!K15</f>
        <v>0</v>
      </c>
      <c r="L15" s="121">
        <f t="shared" si="0"/>
        <v>1286145</v>
      </c>
      <c r="M15" s="95"/>
    </row>
    <row r="16" spans="1:17" x14ac:dyDescent="0.25">
      <c r="A16" s="15"/>
      <c r="B16" s="16" t="s">
        <v>14</v>
      </c>
      <c r="C16" s="40"/>
      <c r="D16" s="121">
        <f>'FY17-18'!D16-'FY08-09'!D16</f>
        <v>2916068</v>
      </c>
      <c r="E16" s="121">
        <f>'FY17-18'!E16-'FY08-09'!E16</f>
        <v>394429</v>
      </c>
      <c r="F16" s="122">
        <f>'FY17-18'!F16-'FY08-09'!F16</f>
        <v>3310497</v>
      </c>
      <c r="G16" s="121">
        <f>'FY17-18'!G16-'FY08-09'!G16</f>
        <v>0</v>
      </c>
      <c r="H16" s="123">
        <f>'FY17-18'!H16-'FY08-09'!H16</f>
        <v>7386411</v>
      </c>
      <c r="I16" s="123">
        <f>'FY17-18'!I16-'FY08-09'!I16</f>
        <v>-18815</v>
      </c>
      <c r="J16" s="121">
        <f>'FY16-17'!J16-'FY08-09'!J16</f>
        <v>8117596</v>
      </c>
      <c r="K16" s="121">
        <f>'FY17-18'!K16-'FY08-09'!K16</f>
        <v>0</v>
      </c>
      <c r="L16" s="121">
        <f t="shared" si="0"/>
        <v>11428093</v>
      </c>
      <c r="M16" s="95"/>
    </row>
    <row r="17" spans="1:13" x14ac:dyDescent="0.25">
      <c r="A17" s="15"/>
      <c r="B17" s="16" t="s">
        <v>15</v>
      </c>
      <c r="C17" s="40"/>
      <c r="D17" s="121">
        <f>'FY17-18'!D17-'FY08-09'!D17</f>
        <v>-67875322</v>
      </c>
      <c r="E17" s="121">
        <f>'FY17-18'!E17-'FY08-09'!E17</f>
        <v>-2823784</v>
      </c>
      <c r="F17" s="122">
        <f>'FY17-18'!F17-'FY08-09'!F17</f>
        <v>-70699106</v>
      </c>
      <c r="G17" s="121">
        <f>'FY17-18'!G17-'FY08-09'!G17</f>
        <v>0</v>
      </c>
      <c r="H17" s="123">
        <f>'FY17-18'!H17-'FY08-09'!H17</f>
        <v>-6880500</v>
      </c>
      <c r="I17" s="123">
        <f>'FY17-18'!I17-'FY08-09'!I17</f>
        <v>-897500</v>
      </c>
      <c r="J17" s="121">
        <f>'FY16-17'!J17-'FY08-09'!J17</f>
        <v>-6276494</v>
      </c>
      <c r="K17" s="121">
        <f>'FY17-18'!K17-'FY08-09'!K17</f>
        <v>0</v>
      </c>
      <c r="L17" s="121">
        <f t="shared" si="0"/>
        <v>-76975600</v>
      </c>
      <c r="M17" s="95"/>
    </row>
    <row r="18" spans="1:13" x14ac:dyDescent="0.25">
      <c r="A18" s="15"/>
      <c r="B18" s="16" t="s">
        <v>16</v>
      </c>
      <c r="C18" s="40"/>
      <c r="D18" s="121">
        <f>'FY17-18'!D18-'FY08-09'!D18</f>
        <v>-1598288</v>
      </c>
      <c r="E18" s="121">
        <f>'FY17-18'!E18-'FY08-09'!E18</f>
        <v>-56082</v>
      </c>
      <c r="F18" s="122">
        <f>'FY17-18'!F18-'FY08-09'!F18</f>
        <v>-1654370</v>
      </c>
      <c r="G18" s="121">
        <f>'FY17-18'!G18-'FY08-09'!G18</f>
        <v>0</v>
      </c>
      <c r="H18" s="123">
        <f>'FY17-18'!H18-'FY08-09'!H18</f>
        <v>3188246</v>
      </c>
      <c r="I18" s="123">
        <f>'FY17-18'!I18-'FY08-09'!I18</f>
        <v>-338398</v>
      </c>
      <c r="J18" s="121">
        <f>'FY16-17'!J18-'FY08-09'!J18</f>
        <v>2952848</v>
      </c>
      <c r="K18" s="121">
        <f>'FY17-18'!K18-'FY08-09'!K18</f>
        <v>0</v>
      </c>
      <c r="L18" s="121">
        <f t="shared" si="0"/>
        <v>1298478</v>
      </c>
      <c r="M18" s="95"/>
    </row>
    <row r="19" spans="1:13" x14ac:dyDescent="0.25">
      <c r="A19" s="15"/>
      <c r="B19" s="16" t="s">
        <v>17</v>
      </c>
      <c r="C19" s="40"/>
      <c r="D19" s="121">
        <f>'FY17-18'!D19-'FY08-09'!D19</f>
        <v>5398002</v>
      </c>
      <c r="E19" s="121">
        <f>'FY17-18'!E19-'FY08-09'!E19</f>
        <v>230236</v>
      </c>
      <c r="F19" s="122">
        <f>'FY17-18'!F19-'FY08-09'!F19</f>
        <v>5628238</v>
      </c>
      <c r="G19" s="121">
        <f>'FY17-18'!G19-'FY08-09'!G19</f>
        <v>0</v>
      </c>
      <c r="H19" s="123">
        <f>'FY17-18'!H19-'FY08-09'!H19</f>
        <v>7597799</v>
      </c>
      <c r="I19" s="123">
        <f>'FY17-18'!I19-'FY08-09'!I19</f>
        <v>2201</v>
      </c>
      <c r="J19" s="121">
        <f>'FY16-17'!J19-'FY08-09'!J19</f>
        <v>5800000</v>
      </c>
      <c r="K19" s="121">
        <f>'FY17-18'!K19-'FY08-09'!K19</f>
        <v>0</v>
      </c>
      <c r="L19" s="121">
        <f t="shared" si="0"/>
        <v>11428238</v>
      </c>
      <c r="M19" s="95"/>
    </row>
    <row r="20" spans="1:13" x14ac:dyDescent="0.25">
      <c r="A20" s="15"/>
      <c r="B20" s="16" t="s">
        <v>18</v>
      </c>
      <c r="C20" s="40"/>
      <c r="D20" s="121">
        <f>'FY17-18'!D20-'FY08-09'!D20</f>
        <v>122722</v>
      </c>
      <c r="E20" s="121">
        <f>'FY17-18'!E20-'FY08-09'!E20</f>
        <v>107140</v>
      </c>
      <c r="F20" s="122">
        <f>'FY17-18'!F20-'FY08-09'!F20</f>
        <v>229862</v>
      </c>
      <c r="G20" s="121">
        <f>'FY17-18'!G20-'FY08-09'!G20</f>
        <v>0</v>
      </c>
      <c r="H20" s="123">
        <f>'FY17-18'!H20-'FY08-09'!H20</f>
        <v>3883416</v>
      </c>
      <c r="I20" s="123">
        <f>'FY17-18'!I20-'FY08-09'!I20</f>
        <v>75000</v>
      </c>
      <c r="J20" s="121">
        <f>'FY16-17'!J20-'FY08-09'!J20</f>
        <v>4600847</v>
      </c>
      <c r="K20" s="121">
        <f>'FY17-18'!K20-'FY08-09'!K20</f>
        <v>0</v>
      </c>
      <c r="L20" s="121">
        <f t="shared" si="0"/>
        <v>4830709</v>
      </c>
      <c r="M20" s="95"/>
    </row>
    <row r="21" spans="1:13" x14ac:dyDescent="0.25">
      <c r="A21" s="15"/>
      <c r="B21" s="16" t="s">
        <v>19</v>
      </c>
      <c r="C21" s="40"/>
      <c r="D21" s="121">
        <f>'FY17-18'!D21-'FY08-09'!D21</f>
        <v>4742125</v>
      </c>
      <c r="E21" s="121">
        <f>'FY17-18'!E21-'FY08-09'!E21</f>
        <v>617333</v>
      </c>
      <c r="F21" s="122">
        <f>'FY17-18'!F21-'FY08-09'!F21</f>
        <v>5359458</v>
      </c>
      <c r="G21" s="121">
        <f>'FY17-18'!G21-'FY08-09'!G21</f>
        <v>0</v>
      </c>
      <c r="H21" s="123">
        <f>'FY17-18'!H21-'FY08-09'!H21</f>
        <v>11397069</v>
      </c>
      <c r="I21" s="123">
        <f>'FY17-18'!I21-'FY08-09'!I21</f>
        <v>-86792</v>
      </c>
      <c r="J21" s="121">
        <f>'FY16-17'!J21-'FY08-09'!J21</f>
        <v>11910277</v>
      </c>
      <c r="K21" s="121">
        <f>'FY17-18'!K21-'FY08-09'!K21</f>
        <v>0</v>
      </c>
      <c r="L21" s="121">
        <f t="shared" si="0"/>
        <v>17269735</v>
      </c>
      <c r="M21" s="95"/>
    </row>
    <row r="22" spans="1:13" x14ac:dyDescent="0.25">
      <c r="A22" s="15"/>
      <c r="B22" s="16" t="s">
        <v>20</v>
      </c>
      <c r="C22" s="40"/>
      <c r="D22" s="121">
        <f>'FY17-18'!D22-'FY08-09'!D22</f>
        <v>-170116</v>
      </c>
      <c r="E22" s="121">
        <f>'FY17-18'!E22-'FY08-09'!E22</f>
        <v>185270</v>
      </c>
      <c r="F22" s="122">
        <f>'FY17-18'!F22-'FY08-09'!F22</f>
        <v>15154</v>
      </c>
      <c r="G22" s="121">
        <f>'FY17-18'!G22-'FY08-09'!G22</f>
        <v>0</v>
      </c>
      <c r="H22" s="123">
        <f>'FY17-18'!H22-'FY08-09'!H22</f>
        <v>6121760</v>
      </c>
      <c r="I22" s="123">
        <f>'FY17-18'!I22-'FY08-09'!I22</f>
        <v>-24704</v>
      </c>
      <c r="J22" s="121">
        <f>'FY16-17'!J22-'FY08-09'!J22</f>
        <v>5293112</v>
      </c>
      <c r="K22" s="121">
        <f>'FY17-18'!K22-'FY08-09'!K22</f>
        <v>0</v>
      </c>
      <c r="L22" s="121">
        <f t="shared" si="0"/>
        <v>5308266</v>
      </c>
      <c r="M22" s="95"/>
    </row>
    <row r="23" spans="1:13" x14ac:dyDescent="0.25">
      <c r="A23" s="17" t="s">
        <v>21</v>
      </c>
      <c r="B23" s="18"/>
      <c r="C23" s="40"/>
      <c r="D23" s="115">
        <f t="shared" ref="D23:I23" si="1">SUM(D9:D22)</f>
        <v>-75135195</v>
      </c>
      <c r="E23" s="115">
        <f t="shared" si="1"/>
        <v>-742643</v>
      </c>
      <c r="F23" s="116">
        <f t="shared" si="1"/>
        <v>-75877838</v>
      </c>
      <c r="G23" s="115">
        <f t="shared" si="1"/>
        <v>0</v>
      </c>
      <c r="H23" s="117">
        <f t="shared" si="1"/>
        <v>95891973</v>
      </c>
      <c r="I23" s="117">
        <f t="shared" si="1"/>
        <v>-2616716</v>
      </c>
      <c r="J23" s="115">
        <f>SUM(J9:J22)</f>
        <v>102221752</v>
      </c>
      <c r="K23" s="115">
        <f>SUM(K9:K22)</f>
        <v>0</v>
      </c>
      <c r="L23" s="115">
        <f>SUM(L9:L22)</f>
        <v>26343914</v>
      </c>
      <c r="M23" s="96"/>
    </row>
    <row r="24" spans="1:13" x14ac:dyDescent="0.25">
      <c r="A24" s="14" t="s">
        <v>22</v>
      </c>
      <c r="B24" s="14" t="s">
        <v>23</v>
      </c>
      <c r="C24" s="40"/>
      <c r="D24" s="121">
        <f>'FY17-18'!D24-'FY08-09'!D24</f>
        <v>-13290934</v>
      </c>
      <c r="E24" s="121">
        <f>'FY17-18'!E24-'FY08-09'!E24</f>
        <v>0</v>
      </c>
      <c r="F24" s="122">
        <f>'FY17-18'!F24-'FY08-09'!F24</f>
        <v>-13290934</v>
      </c>
      <c r="G24" s="121">
        <f>'FY17-18'!G24-'FY08-09'!G24</f>
        <v>-67842647</v>
      </c>
      <c r="H24" s="123">
        <f>'FY17-18'!H24-'FY08-09'!H24</f>
        <v>0</v>
      </c>
      <c r="I24" s="123">
        <f>'FY17-18'!I24-'FY08-09'!I24</f>
        <v>-1636520</v>
      </c>
      <c r="J24" s="121">
        <f>'FY16-17'!J24-'FY08-09'!J24</f>
        <v>-1636520</v>
      </c>
      <c r="K24" s="121">
        <f>'FY17-18'!K24-'FY08-09'!K24</f>
        <v>-6925284</v>
      </c>
      <c r="L24" s="121">
        <f t="shared" ref="L24:L35" si="2">F24+G24+J24+K24</f>
        <v>-89695385</v>
      </c>
      <c r="M24" s="95"/>
    </row>
    <row r="25" spans="1:13" x14ac:dyDescent="0.25">
      <c r="A25" s="15"/>
      <c r="B25" s="16" t="s">
        <v>24</v>
      </c>
      <c r="C25" s="40"/>
      <c r="D25" s="121">
        <f>'FY17-18'!D25-'FY08-09'!D25</f>
        <v>-14404067</v>
      </c>
      <c r="E25" s="121">
        <f>'FY17-18'!E25-'FY08-09'!E25</f>
        <v>0</v>
      </c>
      <c r="F25" s="122">
        <f>'FY17-18'!F25-'FY08-09'!F25</f>
        <v>-14404067</v>
      </c>
      <c r="G25" s="121">
        <f>'FY17-18'!G25-'FY08-09'!G25</f>
        <v>-40336977</v>
      </c>
      <c r="H25" s="123">
        <f>'FY17-18'!H25-'FY08-09'!H25</f>
        <v>0</v>
      </c>
      <c r="I25" s="123">
        <f>'FY17-18'!I25-'FY08-09'!I25</f>
        <v>-1330426</v>
      </c>
      <c r="J25" s="121">
        <f>'FY16-17'!J25-'FY08-09'!J25</f>
        <v>-1330426</v>
      </c>
      <c r="K25" s="121">
        <f>'FY17-18'!K25-'FY08-09'!K25</f>
        <v>-4547674</v>
      </c>
      <c r="L25" s="121">
        <f t="shared" si="2"/>
        <v>-60619144</v>
      </c>
      <c r="M25" s="95"/>
    </row>
    <row r="26" spans="1:13" x14ac:dyDescent="0.25">
      <c r="A26" s="15"/>
      <c r="B26" s="16" t="s">
        <v>25</v>
      </c>
      <c r="C26" s="40"/>
      <c r="D26" s="121">
        <f>'FY17-18'!D26-'FY08-09'!D26</f>
        <v>-19138796</v>
      </c>
      <c r="E26" s="121">
        <f>'FY17-18'!E26-'FY08-09'!E26</f>
        <v>-1959477</v>
      </c>
      <c r="F26" s="122">
        <f>'FY17-18'!F26-'FY08-09'!F26</f>
        <v>-21098273</v>
      </c>
      <c r="G26" s="121">
        <f>'FY17-18'!G26-'FY08-09'!G26</f>
        <v>0</v>
      </c>
      <c r="H26" s="123">
        <f>'FY17-18'!H26-'FY08-09'!H26</f>
        <v>0</v>
      </c>
      <c r="I26" s="123">
        <f>'FY17-18'!I26-'FY08-09'!I26</f>
        <v>540000</v>
      </c>
      <c r="J26" s="121">
        <f>'FY16-17'!J26-'FY08-09'!J26</f>
        <v>540000</v>
      </c>
      <c r="K26" s="121">
        <f>'FY17-18'!K26-'FY08-09'!K26</f>
        <v>0</v>
      </c>
      <c r="L26" s="121">
        <f t="shared" si="2"/>
        <v>-20558273</v>
      </c>
      <c r="M26" s="95"/>
    </row>
    <row r="27" spans="1:13" x14ac:dyDescent="0.25">
      <c r="A27" s="15"/>
      <c r="B27" s="16" t="s">
        <v>26</v>
      </c>
      <c r="C27" s="40"/>
      <c r="D27" s="121">
        <f>'FY17-18'!D27-'FY08-09'!D27</f>
        <v>-7818838</v>
      </c>
      <c r="E27" s="121">
        <f>'FY17-18'!E27-'FY08-09'!E27</f>
        <v>-56170</v>
      </c>
      <c r="F27" s="122">
        <f>'FY17-18'!F27-'FY08-09'!F27</f>
        <v>-7875008</v>
      </c>
      <c r="G27" s="121">
        <f>'FY17-18'!G27-'FY08-09'!G27</f>
        <v>0</v>
      </c>
      <c r="H27" s="123">
        <f>'FY17-18'!H27-'FY08-09'!H27</f>
        <v>8569336</v>
      </c>
      <c r="I27" s="123">
        <f>'FY17-18'!I27-'FY08-09'!I27</f>
        <v>-228913</v>
      </c>
      <c r="J27" s="121">
        <f>'FY16-17'!J27-'FY08-09'!J27</f>
        <v>3876423</v>
      </c>
      <c r="K27" s="121">
        <f>'FY17-18'!K27-'FY08-09'!K27</f>
        <v>0</v>
      </c>
      <c r="L27" s="121">
        <f t="shared" si="2"/>
        <v>-3998585</v>
      </c>
      <c r="M27" s="95"/>
    </row>
    <row r="28" spans="1:13" x14ac:dyDescent="0.25">
      <c r="A28" s="15"/>
      <c r="B28" s="16" t="s">
        <v>27</v>
      </c>
      <c r="C28" s="40"/>
      <c r="D28" s="121">
        <f>'FY17-18'!D28-'FY08-09'!D28</f>
        <v>-119169808</v>
      </c>
      <c r="E28" s="121">
        <f>'FY17-18'!E28-'FY08-09'!E28</f>
        <v>-2106267</v>
      </c>
      <c r="F28" s="122">
        <f>'FY17-18'!F28-'FY08-09'!F28</f>
        <v>-121276075</v>
      </c>
      <c r="G28" s="121">
        <f>'FY17-18'!G28-'FY08-09'!G28</f>
        <v>-3211495</v>
      </c>
      <c r="H28" s="123">
        <f>'FY17-18'!H28-'FY08-09'!H28</f>
        <v>236290689</v>
      </c>
      <c r="I28" s="123">
        <f>'FY17-18'!I28-'FY08-09'!I28</f>
        <v>-13011207</v>
      </c>
      <c r="J28" s="121">
        <f>'FY16-17'!J28-'FY08-09'!J28</f>
        <v>208109482</v>
      </c>
      <c r="K28" s="121">
        <f>'FY17-18'!K28-'FY08-09'!K28</f>
        <v>0</v>
      </c>
      <c r="L28" s="121">
        <f t="shared" si="2"/>
        <v>83621912</v>
      </c>
      <c r="M28" s="95"/>
    </row>
    <row r="29" spans="1:13" x14ac:dyDescent="0.25">
      <c r="A29" s="15"/>
      <c r="B29" s="16" t="s">
        <v>28</v>
      </c>
      <c r="C29" s="40"/>
      <c r="D29" s="121">
        <f>'FY17-18'!D29-'FY08-09'!D29</f>
        <v>-10192973</v>
      </c>
      <c r="E29" s="121">
        <f>'FY17-18'!E29-'FY08-09'!E29</f>
        <v>-470000</v>
      </c>
      <c r="F29" s="122">
        <f>'FY17-18'!F29-'FY08-09'!F29</f>
        <v>-10662973</v>
      </c>
      <c r="G29" s="121">
        <f>'FY17-18'!G29-'FY08-09'!G29</f>
        <v>0</v>
      </c>
      <c r="H29" s="123">
        <f>'FY17-18'!H29-'FY08-09'!H29</f>
        <v>0</v>
      </c>
      <c r="I29" s="123">
        <f>'FY17-18'!I29-'FY08-09'!I29</f>
        <v>0</v>
      </c>
      <c r="J29" s="121">
        <f>'FY16-17'!J29-'FY08-09'!J29</f>
        <v>0</v>
      </c>
      <c r="K29" s="121">
        <f>'FY17-18'!K29-'FY08-09'!K29</f>
        <v>0</v>
      </c>
      <c r="L29" s="121">
        <f t="shared" si="2"/>
        <v>-10662973</v>
      </c>
      <c r="M29" s="95"/>
    </row>
    <row r="30" spans="1:13" x14ac:dyDescent="0.25">
      <c r="A30" s="15"/>
      <c r="B30" s="16" t="s">
        <v>29</v>
      </c>
      <c r="C30" s="40"/>
      <c r="D30" s="121">
        <f>'FY17-18'!D30-'FY08-09'!D30</f>
        <v>-4039576</v>
      </c>
      <c r="E30" s="121">
        <f>'FY17-18'!E30-'FY08-09'!E30</f>
        <v>-52278</v>
      </c>
      <c r="F30" s="122">
        <f>'FY17-18'!F30-'FY08-09'!F30</f>
        <v>-4091854</v>
      </c>
      <c r="G30" s="121">
        <f>'FY17-18'!G30-'FY08-09'!G30</f>
        <v>0</v>
      </c>
      <c r="H30" s="123">
        <f>'FY17-18'!H30-'FY08-09'!H30</f>
        <v>4307894</v>
      </c>
      <c r="I30" s="123">
        <f>'FY17-18'!I30-'FY08-09'!I30</f>
        <v>-51000</v>
      </c>
      <c r="J30" s="121">
        <f>'FY16-17'!J30-'FY08-09'!J30</f>
        <v>2456894</v>
      </c>
      <c r="K30" s="121">
        <f>'FY17-18'!K30-'FY08-09'!K30</f>
        <v>0</v>
      </c>
      <c r="L30" s="121">
        <f t="shared" si="2"/>
        <v>-1634960</v>
      </c>
      <c r="M30" s="95"/>
    </row>
    <row r="31" spans="1:13" x14ac:dyDescent="0.25">
      <c r="A31" s="15"/>
      <c r="B31" s="16" t="s">
        <v>30</v>
      </c>
      <c r="C31" s="40"/>
      <c r="D31" s="121">
        <f>'FY17-18'!D31-'FY08-09'!D31</f>
        <v>-42110551</v>
      </c>
      <c r="E31" s="121">
        <f>'FY17-18'!E31-'FY08-09'!E31</f>
        <v>-18360572</v>
      </c>
      <c r="F31" s="122">
        <f>'FY17-18'!F31-'FY08-09'!F31</f>
        <v>-60471123</v>
      </c>
      <c r="G31" s="121">
        <f>'FY17-18'!G31-'FY08-09'!G31</f>
        <v>-39169464</v>
      </c>
      <c r="H31" s="123">
        <f>'FY17-18'!H31-'FY08-09'!H31</f>
        <v>39442150</v>
      </c>
      <c r="I31" s="123">
        <f>'FY17-18'!I31-'FY08-09'!I31</f>
        <v>-745634</v>
      </c>
      <c r="J31" s="121">
        <f>'FY16-17'!J31-'FY08-09'!J31</f>
        <v>38189597</v>
      </c>
      <c r="K31" s="121">
        <f>'FY17-18'!K31-'FY08-09'!K31</f>
        <v>0</v>
      </c>
      <c r="L31" s="121">
        <f t="shared" si="2"/>
        <v>-61450990</v>
      </c>
      <c r="M31" s="95"/>
    </row>
    <row r="32" spans="1:13" x14ac:dyDescent="0.25">
      <c r="A32" s="15"/>
      <c r="B32" s="16" t="s">
        <v>31</v>
      </c>
      <c r="C32" s="40"/>
      <c r="D32" s="121">
        <f>'FY17-18'!D32-'FY08-09'!D32</f>
        <v>-18020028</v>
      </c>
      <c r="E32" s="121">
        <f>'FY17-18'!E32-'FY08-09'!E32</f>
        <v>-2744330</v>
      </c>
      <c r="F32" s="122">
        <f>'FY17-18'!F32-'FY08-09'!F32</f>
        <v>-20764358</v>
      </c>
      <c r="G32" s="121">
        <f>'FY17-18'!G32-'FY08-09'!G32</f>
        <v>-233825128</v>
      </c>
      <c r="H32" s="123">
        <f>'FY17-18'!H32-'FY08-09'!H32</f>
        <v>11163369</v>
      </c>
      <c r="I32" s="123">
        <f>'FY17-18'!I32-'FY08-09'!I32</f>
        <v>-43788394</v>
      </c>
      <c r="J32" s="121">
        <f>'FY16-17'!J32-'FY08-09'!J32</f>
        <v>-32925025</v>
      </c>
      <c r="K32" s="121">
        <f>'FY17-18'!K32-'FY08-09'!K32</f>
        <v>-49466921</v>
      </c>
      <c r="L32" s="121">
        <f t="shared" si="2"/>
        <v>-336981432</v>
      </c>
      <c r="M32" s="95"/>
    </row>
    <row r="33" spans="1:13" x14ac:dyDescent="0.25">
      <c r="A33" s="15"/>
      <c r="B33" s="16" t="s">
        <v>32</v>
      </c>
      <c r="C33" s="40"/>
      <c r="D33" s="121">
        <f>'FY17-18'!D33-'FY08-09'!D33</f>
        <v>-10459489</v>
      </c>
      <c r="E33" s="121">
        <f>'FY17-18'!E33-'FY08-09'!E33</f>
        <v>-332207</v>
      </c>
      <c r="F33" s="122">
        <f>'FY17-18'!F33-'FY08-09'!F33</f>
        <v>-10791696</v>
      </c>
      <c r="G33" s="121">
        <f>'FY17-18'!G33-'FY08-09'!G33</f>
        <v>0</v>
      </c>
      <c r="H33" s="123">
        <f>'FY17-18'!H33-'FY08-09'!H33</f>
        <v>12219326</v>
      </c>
      <c r="I33" s="123">
        <f>'FY17-18'!I33-'FY08-09'!I33</f>
        <v>298097</v>
      </c>
      <c r="J33" s="121">
        <f>'FY16-17'!J33-'FY08-09'!J33</f>
        <v>11635423</v>
      </c>
      <c r="K33" s="121">
        <f>'FY17-18'!K33-'FY08-09'!K33</f>
        <v>0</v>
      </c>
      <c r="L33" s="121">
        <f t="shared" si="2"/>
        <v>843727</v>
      </c>
      <c r="M33" s="95"/>
    </row>
    <row r="34" spans="1:13" x14ac:dyDescent="0.25">
      <c r="A34" s="15"/>
      <c r="B34" s="16" t="s">
        <v>33</v>
      </c>
      <c r="C34" s="40"/>
      <c r="D34" s="121">
        <f>'FY17-18'!D34-'FY08-09'!D34</f>
        <v>-10070297</v>
      </c>
      <c r="E34" s="121">
        <f>'FY17-18'!E34-'FY08-09'!E34</f>
        <v>-492457</v>
      </c>
      <c r="F34" s="122">
        <f>'FY17-18'!F34-'FY08-09'!F34</f>
        <v>-10562754</v>
      </c>
      <c r="G34" s="121">
        <f>'FY17-18'!G34-'FY08-09'!G34</f>
        <v>0</v>
      </c>
      <c r="H34" s="123">
        <f>'FY17-18'!H34-'FY08-09'!H34</f>
        <v>-9930012</v>
      </c>
      <c r="I34" s="123">
        <f>'FY17-18'!I34-'FY08-09'!I34</f>
        <v>-139000</v>
      </c>
      <c r="J34" s="121">
        <f>'FY16-17'!J34-'FY08-09'!J34</f>
        <v>-10069012</v>
      </c>
      <c r="K34" s="121">
        <f>'FY17-18'!K34-'FY08-09'!K34</f>
        <v>0</v>
      </c>
      <c r="L34" s="121">
        <f t="shared" si="2"/>
        <v>-20631766</v>
      </c>
      <c r="M34" s="95"/>
    </row>
    <row r="35" spans="1:13" x14ac:dyDescent="0.25">
      <c r="A35" s="15"/>
      <c r="B35" s="16" t="s">
        <v>34</v>
      </c>
      <c r="C35" s="40"/>
      <c r="D35" s="121">
        <f>'FY17-18'!D35-'FY08-09'!D35</f>
        <v>-26122</v>
      </c>
      <c r="E35" s="121">
        <f>'FY17-18'!E35-'FY08-09'!E35</f>
        <v>-19716</v>
      </c>
      <c r="F35" s="122">
        <f>'FY17-18'!F35-'FY08-09'!F35</f>
        <v>-45838</v>
      </c>
      <c r="G35" s="121">
        <f>'FY17-18'!G35-'FY08-09'!G35</f>
        <v>0</v>
      </c>
      <c r="H35" s="123">
        <f>'FY17-18'!H35-'FY08-09'!H35</f>
        <v>0</v>
      </c>
      <c r="I35" s="123">
        <f>'FY17-18'!I35-'FY08-09'!I35</f>
        <v>20000</v>
      </c>
      <c r="J35" s="121">
        <f>'FY16-17'!J35-'FY08-09'!J35</f>
        <v>20000</v>
      </c>
      <c r="K35" s="121">
        <f>'FY17-18'!K35-'FY08-09'!K35</f>
        <v>0</v>
      </c>
      <c r="L35" s="121">
        <f t="shared" si="2"/>
        <v>-25838</v>
      </c>
      <c r="M35" s="95"/>
    </row>
    <row r="36" spans="1:13" ht="14.25" customHeight="1" x14ac:dyDescent="0.25">
      <c r="A36" s="17" t="s">
        <v>35</v>
      </c>
      <c r="B36" s="18"/>
      <c r="C36" s="40"/>
      <c r="D36" s="115">
        <f t="shared" ref="D36:I36" si="3">SUM(D24:D35)</f>
        <v>-268741479</v>
      </c>
      <c r="E36" s="115">
        <f t="shared" si="3"/>
        <v>-26593474</v>
      </c>
      <c r="F36" s="116">
        <f t="shared" si="3"/>
        <v>-295334953</v>
      </c>
      <c r="G36" s="115">
        <f t="shared" si="3"/>
        <v>-384385711</v>
      </c>
      <c r="H36" s="117">
        <f t="shared" si="3"/>
        <v>302062752</v>
      </c>
      <c r="I36" s="117">
        <f t="shared" si="3"/>
        <v>-60072997</v>
      </c>
      <c r="J36" s="115">
        <f>SUM(J24:J35)</f>
        <v>218866836</v>
      </c>
      <c r="K36" s="115">
        <f>SUM(K24:K35)</f>
        <v>-60939879</v>
      </c>
      <c r="L36" s="115">
        <f>SUM(L24:L35)</f>
        <v>-521793707</v>
      </c>
      <c r="M36" s="96"/>
    </row>
    <row r="37" spans="1:13" x14ac:dyDescent="0.25">
      <c r="A37" s="14" t="s">
        <v>36</v>
      </c>
      <c r="B37" s="14" t="s">
        <v>37</v>
      </c>
      <c r="C37" s="40"/>
      <c r="D37" s="121">
        <f>'FY17-18'!D37-'FY08-09'!D37</f>
        <v>-694286</v>
      </c>
      <c r="E37" s="121">
        <f>'FY17-18'!E37-'FY08-09'!E37</f>
        <v>-11642</v>
      </c>
      <c r="F37" s="122">
        <f>'FY17-18'!F37-'FY08-09'!F37</f>
        <v>-705928</v>
      </c>
      <c r="G37" s="121">
        <f>'FY17-18'!G37-'FY08-09'!G37</f>
        <v>0</v>
      </c>
      <c r="H37" s="123">
        <f>'FY17-18'!H37-'FY08-09'!H37</f>
        <v>0</v>
      </c>
      <c r="I37" s="123">
        <f>'FY17-18'!I37-'FY08-09'!I37</f>
        <v>0</v>
      </c>
      <c r="J37" s="121">
        <f>'FY16-17'!J37-'FY08-09'!J37</f>
        <v>0</v>
      </c>
      <c r="K37" s="121">
        <f>'FY17-18'!K37-'FY08-09'!K37</f>
        <v>617998</v>
      </c>
      <c r="L37" s="121">
        <f t="shared" ref="L37:L42" si="4">F37+G37+J37+K37</f>
        <v>-87930</v>
      </c>
      <c r="M37" s="95"/>
    </row>
    <row r="38" spans="1:13" x14ac:dyDescent="0.25">
      <c r="A38" s="15"/>
      <c r="B38" s="16" t="s">
        <v>38</v>
      </c>
      <c r="C38" s="40"/>
      <c r="D38" s="121">
        <f>'FY17-18'!D38-'FY08-09'!D38</f>
        <v>-33599802</v>
      </c>
      <c r="E38" s="121">
        <f>'FY17-18'!E38-'FY08-09'!E38</f>
        <v>-388431</v>
      </c>
      <c r="F38" s="122">
        <f>'FY17-18'!F38-'FY08-09'!F38</f>
        <v>-33988233</v>
      </c>
      <c r="G38" s="121">
        <f>'FY17-18'!G38-'FY08-09'!G38</f>
        <v>1230599</v>
      </c>
      <c r="H38" s="123">
        <f>'FY17-18'!H38-'FY08-09'!H38</f>
        <v>18750909</v>
      </c>
      <c r="I38" s="123">
        <f>'FY17-18'!I38-'FY08-09'!I38</f>
        <v>-1346362</v>
      </c>
      <c r="J38" s="121">
        <f>'FY16-17'!J38-'FY08-09'!J38</f>
        <v>15314879</v>
      </c>
      <c r="K38" s="121">
        <f>'FY17-18'!K38-'FY08-09'!K38</f>
        <v>0</v>
      </c>
      <c r="L38" s="121">
        <f t="shared" si="4"/>
        <v>-17442755</v>
      </c>
      <c r="M38" s="95"/>
    </row>
    <row r="39" spans="1:13" x14ac:dyDescent="0.25">
      <c r="A39" s="15"/>
      <c r="B39" s="16" t="s">
        <v>39</v>
      </c>
      <c r="C39" s="40"/>
      <c r="D39" s="121">
        <f>'FY17-18'!D39-'FY08-09'!D39</f>
        <v>-3436689</v>
      </c>
      <c r="E39" s="121">
        <f>'FY17-18'!E39-'FY08-09'!E39</f>
        <v>-42408</v>
      </c>
      <c r="F39" s="122">
        <f>'FY17-18'!F39-'FY08-09'!F39</f>
        <v>-3479097</v>
      </c>
      <c r="G39" s="121">
        <f>'FY17-18'!G39-'FY08-09'!G39</f>
        <v>0</v>
      </c>
      <c r="H39" s="123">
        <f>'FY17-18'!H39-'FY08-09'!H39</f>
        <v>5984291</v>
      </c>
      <c r="I39" s="123">
        <f>'FY17-18'!I39-'FY08-09'!I39</f>
        <v>49014</v>
      </c>
      <c r="J39" s="121">
        <f>'FY16-17'!J39-'FY08-09'!J39</f>
        <v>5566077</v>
      </c>
      <c r="K39" s="121">
        <f>'FY17-18'!K39-'FY08-09'!K39</f>
        <v>0</v>
      </c>
      <c r="L39" s="121">
        <f t="shared" si="4"/>
        <v>2086980</v>
      </c>
      <c r="M39" s="95"/>
    </row>
    <row r="40" spans="1:13" x14ac:dyDescent="0.25">
      <c r="A40" s="15"/>
      <c r="B40" s="16" t="s">
        <v>40</v>
      </c>
      <c r="C40" s="40"/>
      <c r="D40" s="121">
        <f>'FY17-18'!D40-'FY08-09'!D40</f>
        <v>-9445049</v>
      </c>
      <c r="E40" s="121">
        <f>'FY17-18'!E40-'FY08-09'!E40</f>
        <v>-111027</v>
      </c>
      <c r="F40" s="122">
        <f>'FY17-18'!F40-'FY08-09'!F40</f>
        <v>-9556076</v>
      </c>
      <c r="G40" s="121">
        <f>'FY17-18'!G40-'FY08-09'!G40</f>
        <v>0</v>
      </c>
      <c r="H40" s="123">
        <f>'FY17-18'!H40-'FY08-09'!H40</f>
        <v>8374432</v>
      </c>
      <c r="I40" s="123">
        <f>'FY17-18'!I40-'FY08-09'!I40</f>
        <v>-925203</v>
      </c>
      <c r="J40" s="121">
        <f>'FY16-17'!J40-'FY08-09'!J40</f>
        <v>7445333</v>
      </c>
      <c r="K40" s="121">
        <f>'FY17-18'!K40-'FY08-09'!K40</f>
        <v>0</v>
      </c>
      <c r="L40" s="121">
        <f t="shared" si="4"/>
        <v>-2110743</v>
      </c>
      <c r="M40" s="95"/>
    </row>
    <row r="41" spans="1:13" x14ac:dyDescent="0.25">
      <c r="A41" s="15"/>
      <c r="B41" s="16" t="s">
        <v>41</v>
      </c>
      <c r="C41" s="40"/>
      <c r="D41" s="121">
        <f>'FY17-18'!D41-'FY08-09'!D41</f>
        <v>-2870766</v>
      </c>
      <c r="E41" s="121">
        <f>'FY17-18'!E41-'FY08-09'!E41</f>
        <v>-389736</v>
      </c>
      <c r="F41" s="122">
        <f>'FY17-18'!F41-'FY08-09'!F41</f>
        <v>-3260502</v>
      </c>
      <c r="G41" s="121">
        <f>'FY17-18'!G41-'FY08-09'!G41</f>
        <v>0</v>
      </c>
      <c r="H41" s="123">
        <f>'FY17-18'!H41-'FY08-09'!H41</f>
        <v>5256892</v>
      </c>
      <c r="I41" s="123">
        <f>'FY17-18'!I41-'FY08-09'!I41</f>
        <v>-243204</v>
      </c>
      <c r="J41" s="121">
        <f>'FY16-17'!J41-'FY08-09'!J41</f>
        <v>4713688</v>
      </c>
      <c r="K41" s="121">
        <f>'FY17-18'!K41-'FY08-09'!K41</f>
        <v>0</v>
      </c>
      <c r="L41" s="121">
        <f t="shared" si="4"/>
        <v>1453186</v>
      </c>
      <c r="M41" s="95"/>
    </row>
    <row r="42" spans="1:13" x14ac:dyDescent="0.25">
      <c r="A42" s="15"/>
      <c r="B42" s="16" t="s">
        <v>42</v>
      </c>
      <c r="C42" s="40"/>
      <c r="D42" s="121">
        <f>'FY17-18'!D42-'FY08-09'!D42</f>
        <v>-715147</v>
      </c>
      <c r="E42" s="121">
        <f>'FY17-18'!E42-'FY08-09'!E42</f>
        <v>0</v>
      </c>
      <c r="F42" s="122">
        <f>'FY17-18'!F42-'FY08-09'!F42</f>
        <v>-715147</v>
      </c>
      <c r="G42" s="121">
        <f>'FY17-18'!G42-'FY08-09'!G42</f>
        <v>0</v>
      </c>
      <c r="H42" s="123">
        <f>'FY17-18'!H42-'FY08-09'!H42</f>
        <v>0</v>
      </c>
      <c r="I42" s="123">
        <f>'FY17-18'!I42-'FY08-09'!I42</f>
        <v>0</v>
      </c>
      <c r="J42" s="121">
        <f>'FY16-17'!J42-'FY08-09'!J42</f>
        <v>0</v>
      </c>
      <c r="K42" s="121">
        <f>'FY17-18'!K42-'FY08-09'!K42</f>
        <v>0</v>
      </c>
      <c r="L42" s="121">
        <f t="shared" si="4"/>
        <v>-715147</v>
      </c>
      <c r="M42" s="95"/>
    </row>
    <row r="43" spans="1:13" x14ac:dyDescent="0.25">
      <c r="A43" s="17" t="s">
        <v>43</v>
      </c>
      <c r="B43" s="18"/>
      <c r="C43" s="40"/>
      <c r="D43" s="124">
        <f t="shared" ref="D43:I43" si="5">SUM(D37:D42)</f>
        <v>-50761739</v>
      </c>
      <c r="E43" s="124">
        <f t="shared" si="5"/>
        <v>-943244</v>
      </c>
      <c r="F43" s="125">
        <f t="shared" si="5"/>
        <v>-51704983</v>
      </c>
      <c r="G43" s="124">
        <f t="shared" si="5"/>
        <v>1230599</v>
      </c>
      <c r="H43" s="126">
        <f t="shared" si="5"/>
        <v>38366524</v>
      </c>
      <c r="I43" s="126">
        <f t="shared" si="5"/>
        <v>-2465755</v>
      </c>
      <c r="J43" s="124">
        <f>SUM(J37:J42)</f>
        <v>33039977</v>
      </c>
      <c r="K43" s="124">
        <f>SUM(K37:K42)</f>
        <v>617998</v>
      </c>
      <c r="L43" s="124">
        <f>SUM(L37:L42)</f>
        <v>-16816409</v>
      </c>
      <c r="M43" s="96"/>
    </row>
    <row r="44" spans="1:13" x14ac:dyDescent="0.25">
      <c r="A44" s="14" t="s">
        <v>44</v>
      </c>
      <c r="B44" s="14" t="s">
        <v>45</v>
      </c>
      <c r="C44" s="40"/>
      <c r="D44" s="121">
        <f>'FY17-18'!D44-'FY08-09'!D44</f>
        <v>-18144423</v>
      </c>
      <c r="E44" s="121">
        <f>'FY17-18'!E44-'FY08-09'!E44</f>
        <v>-218547</v>
      </c>
      <c r="F44" s="122">
        <f>'FY17-18'!F44-'FY08-09'!F44</f>
        <v>-18362970</v>
      </c>
      <c r="G44" s="121">
        <f>'FY17-18'!G44-'FY08-09'!G44</f>
        <v>0</v>
      </c>
      <c r="H44" s="123">
        <f>'FY17-18'!H44-'FY08-09'!H44</f>
        <v>7735235</v>
      </c>
      <c r="I44" s="123">
        <f>'FY17-18'!I44-'FY08-09'!I44</f>
        <v>-677759</v>
      </c>
      <c r="J44" s="121">
        <f>'FY16-17'!J44-'FY08-09'!J44</f>
        <v>7057476</v>
      </c>
      <c r="K44" s="121">
        <f>'FY17-18'!K44-'FY08-09'!K44</f>
        <v>0</v>
      </c>
      <c r="L44" s="121">
        <f t="shared" ref="L44:L53" si="6">F44+G44+J44+K44</f>
        <v>-11305494</v>
      </c>
      <c r="M44" s="95"/>
    </row>
    <row r="45" spans="1:13" x14ac:dyDescent="0.25">
      <c r="A45" s="15"/>
      <c r="B45" s="16" t="s">
        <v>46</v>
      </c>
      <c r="C45" s="40"/>
      <c r="D45" s="121">
        <f>'FY17-18'!D45-'FY08-09'!D45</f>
        <v>-33293621</v>
      </c>
      <c r="E45" s="121">
        <f>'FY17-18'!E45-'FY08-09'!E45</f>
        <v>-413650</v>
      </c>
      <c r="F45" s="122">
        <f>'FY17-18'!F45-'FY08-09'!F45</f>
        <v>-33707271</v>
      </c>
      <c r="G45" s="121">
        <f>'FY17-18'!G45-'FY08-09'!G45</f>
        <v>0</v>
      </c>
      <c r="H45" s="123">
        <f>'FY17-18'!H45-'FY08-09'!H45</f>
        <v>69016000</v>
      </c>
      <c r="I45" s="123">
        <f>'FY17-18'!I45-'FY08-09'!I45</f>
        <v>-6970969</v>
      </c>
      <c r="J45" s="121">
        <f>'FY16-17'!J45-'FY08-09'!J45</f>
        <v>48177031</v>
      </c>
      <c r="K45" s="121">
        <f>'FY17-18'!K45-'FY08-09'!K45</f>
        <v>0</v>
      </c>
      <c r="L45" s="121">
        <f t="shared" si="6"/>
        <v>14469760</v>
      </c>
      <c r="M45" s="95"/>
    </row>
    <row r="46" spans="1:13" x14ac:dyDescent="0.25">
      <c r="A46" s="15"/>
      <c r="B46" s="16" t="s">
        <v>47</v>
      </c>
      <c r="C46" s="40"/>
      <c r="D46" s="121">
        <f>'FY17-18'!D46-'FY08-09'!D46</f>
        <v>-26450280</v>
      </c>
      <c r="E46" s="121">
        <f>'FY17-18'!E46-'FY08-09'!E46</f>
        <v>495732</v>
      </c>
      <c r="F46" s="122">
        <f>'FY17-18'!F46-'FY08-09'!F46</f>
        <v>-25954548</v>
      </c>
      <c r="G46" s="121">
        <f>'FY17-18'!G46-'FY08-09'!G46</f>
        <v>0</v>
      </c>
      <c r="H46" s="123">
        <f>'FY17-18'!H46-'FY08-09'!H46</f>
        <v>22343000</v>
      </c>
      <c r="I46" s="123">
        <f>'FY17-18'!I46-'FY08-09'!I46</f>
        <v>-686368</v>
      </c>
      <c r="J46" s="121">
        <f>'FY16-17'!J46-'FY08-09'!J46</f>
        <v>20656632</v>
      </c>
      <c r="K46" s="121">
        <f>'FY17-18'!K46-'FY08-09'!K46</f>
        <v>0</v>
      </c>
      <c r="L46" s="121">
        <f t="shared" si="6"/>
        <v>-5297916</v>
      </c>
      <c r="M46" s="95"/>
    </row>
    <row r="47" spans="1:13" x14ac:dyDescent="0.25">
      <c r="A47" s="15"/>
      <c r="B47" s="16" t="s">
        <v>48</v>
      </c>
      <c r="C47" s="40"/>
      <c r="D47" s="121">
        <f>'FY17-18'!D47-'FY08-09'!D47</f>
        <v>-20583178</v>
      </c>
      <c r="E47" s="121">
        <f>'FY17-18'!E47-'FY08-09'!E47</f>
        <v>-234213</v>
      </c>
      <c r="F47" s="122">
        <f>'FY17-18'!F47-'FY08-09'!F47</f>
        <v>-20817391</v>
      </c>
      <c r="G47" s="121">
        <f>'FY17-18'!G47-'FY08-09'!G47</f>
        <v>0</v>
      </c>
      <c r="H47" s="123">
        <f>'FY17-18'!H47-'FY08-09'!H47</f>
        <v>18969798</v>
      </c>
      <c r="I47" s="123">
        <f>'FY17-18'!I47-'FY08-09'!I47</f>
        <v>-1033590</v>
      </c>
      <c r="J47" s="121">
        <f>'FY16-17'!J47-'FY08-09'!J47</f>
        <v>15186208</v>
      </c>
      <c r="K47" s="121">
        <f>'FY17-18'!K47-'FY08-09'!K47</f>
        <v>0</v>
      </c>
      <c r="L47" s="121">
        <f t="shared" si="6"/>
        <v>-5631183</v>
      </c>
      <c r="M47" s="95"/>
    </row>
    <row r="48" spans="1:13" x14ac:dyDescent="0.25">
      <c r="A48" s="15"/>
      <c r="B48" s="16" t="s">
        <v>49</v>
      </c>
      <c r="C48" s="40"/>
      <c r="D48" s="121">
        <f>'FY17-18'!D48-'FY08-09'!D48</f>
        <v>-28249318</v>
      </c>
      <c r="E48" s="121">
        <f>'FY17-18'!E48-'FY08-09'!E48</f>
        <v>-273235</v>
      </c>
      <c r="F48" s="122">
        <f>'FY17-18'!F48-'FY08-09'!F48</f>
        <v>-28522553</v>
      </c>
      <c r="G48" s="121">
        <f>'FY17-18'!G48-'FY08-09'!G48</f>
        <v>0</v>
      </c>
      <c r="H48" s="123">
        <f>'FY17-18'!H48-'FY08-09'!H48</f>
        <v>29748245</v>
      </c>
      <c r="I48" s="123">
        <f>'FY17-18'!I48-'FY08-09'!I48</f>
        <v>-2218132</v>
      </c>
      <c r="J48" s="121">
        <f>'FY16-17'!J48-'FY08-09'!J48</f>
        <v>19730113</v>
      </c>
      <c r="K48" s="121">
        <f>'FY17-18'!K48-'FY08-09'!K48</f>
        <v>0</v>
      </c>
      <c r="L48" s="121">
        <f t="shared" si="6"/>
        <v>-8792440</v>
      </c>
      <c r="M48" s="95"/>
    </row>
    <row r="49" spans="1:14" x14ac:dyDescent="0.25">
      <c r="A49" s="15"/>
      <c r="B49" s="16" t="s">
        <v>50</v>
      </c>
      <c r="C49" s="40"/>
      <c r="D49" s="121">
        <f>'FY17-18'!D49-'FY08-09'!D49</f>
        <v>-49349127</v>
      </c>
      <c r="E49" s="121">
        <f>'FY17-18'!E49-'FY08-09'!E49</f>
        <v>-432976</v>
      </c>
      <c r="F49" s="122">
        <f>'FY17-18'!F49-'FY08-09'!F49</f>
        <v>-49782103</v>
      </c>
      <c r="G49" s="121">
        <f>'FY17-18'!G49-'FY08-09'!G49</f>
        <v>0</v>
      </c>
      <c r="H49" s="123">
        <f>'FY17-18'!H49-'FY08-09'!H49</f>
        <v>45777288</v>
      </c>
      <c r="I49" s="123">
        <f>'FY17-18'!I49-'FY08-09'!I49</f>
        <v>-3697869</v>
      </c>
      <c r="J49" s="121">
        <f>'FY16-17'!J49-'FY08-09'!J49</f>
        <v>37979419</v>
      </c>
      <c r="K49" s="121">
        <f>'FY17-18'!K49-'FY08-09'!K49</f>
        <v>0</v>
      </c>
      <c r="L49" s="121">
        <f t="shared" si="6"/>
        <v>-11802684</v>
      </c>
      <c r="M49" s="95"/>
    </row>
    <row r="50" spans="1:14" x14ac:dyDescent="0.25">
      <c r="A50" s="15"/>
      <c r="B50" s="16" t="s">
        <v>51</v>
      </c>
      <c r="C50" s="40"/>
      <c r="D50" s="121">
        <f>'FY17-18'!D50-'FY08-09'!D50</f>
        <v>-8145078</v>
      </c>
      <c r="E50" s="121">
        <f>'FY17-18'!E50-'FY08-09'!E50</f>
        <v>0</v>
      </c>
      <c r="F50" s="122">
        <f>'FY17-18'!F50-'FY08-09'!F50</f>
        <v>-8145078</v>
      </c>
      <c r="G50" s="121">
        <f>'FY17-18'!G50-'FY08-09'!G50</f>
        <v>-36000</v>
      </c>
      <c r="H50" s="123">
        <f>'FY17-18'!H50-'FY08-09'!H50</f>
        <v>0</v>
      </c>
      <c r="I50" s="123">
        <f>'FY17-18'!I50-'FY08-09'!I50</f>
        <v>1264000</v>
      </c>
      <c r="J50" s="121">
        <f>'FY16-17'!J50-'FY08-09'!J50</f>
        <v>1264000</v>
      </c>
      <c r="K50" s="121">
        <f>'FY17-18'!K50-'FY08-09'!K50</f>
        <v>0</v>
      </c>
      <c r="L50" s="121">
        <f t="shared" si="6"/>
        <v>-6917078</v>
      </c>
      <c r="M50" s="95"/>
    </row>
    <row r="51" spans="1:14" x14ac:dyDescent="0.25">
      <c r="A51" s="15"/>
      <c r="B51" s="16" t="s">
        <v>52</v>
      </c>
      <c r="C51" s="40"/>
      <c r="D51" s="121">
        <f>'FY17-18'!D51-'FY08-09'!D51</f>
        <v>-46367892</v>
      </c>
      <c r="E51" s="121">
        <f>'FY17-18'!E51-'FY08-09'!E51</f>
        <v>-632738</v>
      </c>
      <c r="F51" s="122">
        <f>'FY17-18'!F51-'FY08-09'!F51</f>
        <v>-47000630</v>
      </c>
      <c r="G51" s="121">
        <f>'FY17-18'!G51-'FY08-09'!G51</f>
        <v>-6200000</v>
      </c>
      <c r="H51" s="123">
        <f>'FY17-18'!H51-'FY08-09'!H51</f>
        <v>76798108</v>
      </c>
      <c r="I51" s="123">
        <f>'FY17-18'!I51-'FY08-09'!I51</f>
        <v>-841130</v>
      </c>
      <c r="J51" s="121">
        <f>'FY16-17'!J51-'FY08-09'!J51</f>
        <v>63956978</v>
      </c>
      <c r="K51" s="121">
        <f>'FY17-18'!K51-'FY08-09'!K51</f>
        <v>0</v>
      </c>
      <c r="L51" s="121">
        <f t="shared" si="6"/>
        <v>10756348</v>
      </c>
      <c r="M51" s="95"/>
    </row>
    <row r="52" spans="1:14" x14ac:dyDescent="0.25">
      <c r="A52" s="15"/>
      <c r="B52" s="16" t="s">
        <v>53</v>
      </c>
      <c r="C52" s="40"/>
      <c r="D52" s="121">
        <f>'FY17-18'!D52-'FY08-09'!D52</f>
        <v>-30767452</v>
      </c>
      <c r="E52" s="121">
        <f>'FY17-18'!E52-'FY08-09'!E52</f>
        <v>-494739</v>
      </c>
      <c r="F52" s="122">
        <f>'FY17-18'!F52-'FY08-09'!F52</f>
        <v>-31262191</v>
      </c>
      <c r="G52" s="121">
        <f>'FY17-18'!G52-'FY08-09'!G52</f>
        <v>0</v>
      </c>
      <c r="H52" s="123">
        <f>'FY17-18'!H52-'FY08-09'!H52</f>
        <v>35873650</v>
      </c>
      <c r="I52" s="123">
        <f>'FY17-18'!I52-'FY08-09'!I52</f>
        <v>-683055</v>
      </c>
      <c r="J52" s="121">
        <f>'FY16-17'!J52-'FY08-09'!J52</f>
        <v>26190595</v>
      </c>
      <c r="K52" s="121">
        <f>'FY17-18'!K52-'FY08-09'!K52</f>
        <v>0</v>
      </c>
      <c r="L52" s="121">
        <f t="shared" si="6"/>
        <v>-5071596</v>
      </c>
      <c r="M52" s="95"/>
    </row>
    <row r="53" spans="1:14" x14ac:dyDescent="0.25">
      <c r="A53" s="15"/>
      <c r="B53" s="16" t="s">
        <v>54</v>
      </c>
      <c r="C53" s="40"/>
      <c r="D53" s="121">
        <f>'FY17-18'!D53-'FY08-09'!D53</f>
        <v>-44321944</v>
      </c>
      <c r="E53" s="121">
        <f>'FY17-18'!E53-'FY08-09'!E53</f>
        <v>-535260</v>
      </c>
      <c r="F53" s="122">
        <f>'FY17-18'!F53-'FY08-09'!F53</f>
        <v>-44857204</v>
      </c>
      <c r="G53" s="121">
        <f>'FY17-18'!G53-'FY08-09'!G53</f>
        <v>0</v>
      </c>
      <c r="H53" s="123">
        <f>'FY17-18'!H53-'FY08-09'!H53</f>
        <v>14447189</v>
      </c>
      <c r="I53" s="123">
        <f>'FY17-18'!I53-'FY08-09'!I53</f>
        <v>4620934</v>
      </c>
      <c r="J53" s="121">
        <f>'FY16-17'!J53-'FY08-09'!J53</f>
        <v>19068123</v>
      </c>
      <c r="K53" s="121">
        <f>'FY17-18'!K53-'FY08-09'!K53</f>
        <v>0</v>
      </c>
      <c r="L53" s="121">
        <f t="shared" si="6"/>
        <v>-25789081</v>
      </c>
      <c r="M53" s="95"/>
    </row>
    <row r="54" spans="1:14" x14ac:dyDescent="0.25">
      <c r="A54" s="12" t="s">
        <v>55</v>
      </c>
      <c r="B54" s="13"/>
      <c r="C54" s="40"/>
      <c r="D54" s="115">
        <f t="shared" ref="D54:I54" si="7">SUM(D44:D53)</f>
        <v>-305672313</v>
      </c>
      <c r="E54" s="115">
        <f t="shared" si="7"/>
        <v>-2739626</v>
      </c>
      <c r="F54" s="116">
        <f t="shared" si="7"/>
        <v>-308411939</v>
      </c>
      <c r="G54" s="115">
        <f t="shared" si="7"/>
        <v>-6236000</v>
      </c>
      <c r="H54" s="117">
        <f t="shared" si="7"/>
        <v>320708513</v>
      </c>
      <c r="I54" s="117">
        <f t="shared" si="7"/>
        <v>-10923938</v>
      </c>
      <c r="J54" s="115">
        <f>SUM(J44:J53)</f>
        <v>259266575</v>
      </c>
      <c r="K54" s="115">
        <f>SUM(K44:K53)</f>
        <v>0</v>
      </c>
      <c r="L54" s="115">
        <f>SUM(L44:L53)</f>
        <v>-55381364</v>
      </c>
      <c r="M54" s="96"/>
    </row>
    <row r="55" spans="1:14" x14ac:dyDescent="0.25">
      <c r="A55" s="12" t="s">
        <v>56</v>
      </c>
      <c r="B55" s="13"/>
      <c r="C55" s="40"/>
      <c r="D55" s="115">
        <f>'FY16-17'!D55-'FY08-09'!D55</f>
        <v>-557405595</v>
      </c>
      <c r="E55" s="115">
        <f>'FY16-17'!E55-'FY08-09'!E55</f>
        <v>37232365</v>
      </c>
      <c r="F55" s="116">
        <f>'FY16-17'!F55-'FY08-09'!F55</f>
        <v>-520173230</v>
      </c>
      <c r="G55" s="115">
        <f>'FY16-17'!G55-'FY08-09'!G55</f>
        <v>-398260333</v>
      </c>
      <c r="H55" s="117">
        <f>'FY16-17'!H55-'FY08-09'!H55</f>
        <v>699417551</v>
      </c>
      <c r="I55" s="117">
        <f>'FY16-17'!I55-'FY08-09'!I55</f>
        <v>-81765742</v>
      </c>
      <c r="J55" s="115">
        <f>'FY16-17'!J55-'FY08-09'!J55</f>
        <v>617651809</v>
      </c>
      <c r="K55" s="115">
        <f>'FY16-17'!K55-'FY08-09'!K55</f>
        <v>-13189408</v>
      </c>
      <c r="L55" s="115">
        <f>F55+G55+J55+K55</f>
        <v>-313971162</v>
      </c>
      <c r="M55" s="96"/>
    </row>
    <row r="56" spans="1:14" s="32" customFormat="1" x14ac:dyDescent="0.25">
      <c r="A56" s="38" t="s">
        <v>63</v>
      </c>
      <c r="B56" s="38"/>
      <c r="C56" s="40"/>
      <c r="D56" s="115">
        <f>'FY16-17'!D56-'FY08-09'!D56</f>
        <v>-696260635</v>
      </c>
      <c r="E56" s="115">
        <f>'FY16-17'!E56-'FY08-09'!E56</f>
        <v>-23051038</v>
      </c>
      <c r="F56" s="116">
        <f>'FY16-17'!F56-'FY08-09'!F56</f>
        <v>-719311673</v>
      </c>
      <c r="G56" s="115">
        <f>'FY16-17'!G56-'FY08-09'!G56</f>
        <v>-87731713</v>
      </c>
      <c r="H56" s="117">
        <f>'FY16-17'!H56-'FY08-09'!H56</f>
        <v>699417551</v>
      </c>
      <c r="I56" s="117">
        <f>'FY16-17'!I56-'FY08-09'!I56</f>
        <v>-31748162</v>
      </c>
      <c r="J56" s="115">
        <f>'FY16-17'!J56-'FY08-09'!J56</f>
        <v>667669389</v>
      </c>
      <c r="K56" s="115">
        <f>'FY16-17'!K56-'FY08-09'!K56</f>
        <v>726439</v>
      </c>
      <c r="L56" s="115">
        <f>F56+G56+J56+K56</f>
        <v>-138647558</v>
      </c>
      <c r="M56" s="40"/>
      <c r="N56" s="31"/>
    </row>
    <row r="57" spans="1:14" x14ac:dyDescent="0.25">
      <c r="A57" s="7"/>
      <c r="B57" s="7"/>
      <c r="C57" s="7"/>
      <c r="M57" s="7"/>
    </row>
    <row r="58" spans="1:14" x14ac:dyDescent="0.25">
      <c r="A58" s="7"/>
      <c r="B58" s="7"/>
      <c r="C58" s="7"/>
      <c r="M58" s="7"/>
    </row>
  </sheetData>
  <pageMargins left="0.25" right="0.25" top="0.75" bottom="0.75" header="0.3" footer="0.3"/>
  <pageSetup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7" sqref="G17"/>
    </sheetView>
  </sheetViews>
  <sheetFormatPr defaultRowHeight="15" x14ac:dyDescent="0.25"/>
  <cols>
    <col min="2" max="2" width="22.85546875" customWidth="1"/>
    <col min="3" max="3" width="1.42578125" customWidth="1"/>
    <col min="4" max="4" width="18.7109375" bestFit="1" customWidth="1"/>
    <col min="5" max="5" width="15.28515625" customWidth="1"/>
    <col min="6" max="7" width="16.28515625" style="25" customWidth="1"/>
    <col min="8" max="8" width="15.28515625" customWidth="1"/>
    <col min="9" max="9" width="16.28515625" style="25" customWidth="1"/>
    <col min="10" max="10" width="15.28515625" customWidth="1"/>
    <col min="11" max="11" width="16.28515625" style="25" customWidth="1"/>
    <col min="12" max="12" width="1.42578125" customWidth="1"/>
    <col min="14" max="14" width="12.85546875" bestFit="1" customWidth="1"/>
  </cols>
  <sheetData>
    <row r="1" spans="1:16" s="99" customFormat="1" ht="18.75" x14ac:dyDescent="0.3">
      <c r="A1" s="99" t="s">
        <v>94</v>
      </c>
      <c r="F1" s="100"/>
      <c r="G1" s="100"/>
      <c r="I1" s="100"/>
      <c r="K1" s="100"/>
    </row>
    <row r="2" spans="1:16" s="99" customFormat="1" ht="18.75" x14ac:dyDescent="0.3">
      <c r="A2" s="99" t="s">
        <v>130</v>
      </c>
    </row>
    <row r="3" spans="1:16" s="104" customFormat="1" ht="18.75" x14ac:dyDescent="0.3">
      <c r="A3" s="102"/>
      <c r="B3" s="101"/>
      <c r="C3" s="101"/>
      <c r="D3" s="103"/>
      <c r="E3" s="103"/>
      <c r="F3" s="103"/>
      <c r="G3" s="103"/>
      <c r="H3" s="103"/>
      <c r="I3" s="103"/>
      <c r="J3" s="103"/>
      <c r="K3" s="103"/>
      <c r="L3" s="101"/>
    </row>
    <row r="4" spans="1:16" x14ac:dyDescent="0.25">
      <c r="A4" s="1"/>
      <c r="B4" s="2"/>
      <c r="C4" s="9"/>
      <c r="D4" s="25"/>
      <c r="E4" s="25"/>
      <c r="H4" s="25"/>
      <c r="J4" s="25"/>
      <c r="L4" s="9"/>
    </row>
    <row r="5" spans="1:16" ht="32.25" customHeight="1" x14ac:dyDescent="0.25">
      <c r="A5" s="10" t="s">
        <v>0</v>
      </c>
      <c r="B5" s="10" t="s">
        <v>1</v>
      </c>
      <c r="C5" s="40"/>
      <c r="D5" s="66" t="s">
        <v>57</v>
      </c>
      <c r="E5" s="66" t="s">
        <v>58</v>
      </c>
      <c r="F5" s="97" t="s">
        <v>67</v>
      </c>
      <c r="G5" s="97" t="s">
        <v>113</v>
      </c>
      <c r="H5" s="66" t="s">
        <v>59</v>
      </c>
      <c r="I5" s="66" t="s">
        <v>60</v>
      </c>
      <c r="J5" s="66" t="s">
        <v>61</v>
      </c>
      <c r="K5" s="66" t="s">
        <v>62</v>
      </c>
      <c r="L5" s="72"/>
    </row>
    <row r="6" spans="1:16" s="32" customFormat="1" x14ac:dyDescent="0.25">
      <c r="A6" s="47" t="s">
        <v>2</v>
      </c>
      <c r="B6" s="47" t="s">
        <v>3</v>
      </c>
      <c r="C6" s="40"/>
      <c r="D6" s="115">
        <f>'FY20-21'!$D6-'FY08-09'!$D6</f>
        <v>-37308418</v>
      </c>
      <c r="E6" s="116">
        <f>'FY20-21'!$E6-'FY08-09'!$E6</f>
        <v>-13762500</v>
      </c>
      <c r="F6" s="116">
        <f>'FY20-21'!$F6-'FY08-09'!$F6</f>
        <v>-51070918</v>
      </c>
      <c r="G6" s="116">
        <f>'FY20-21'!G6</f>
        <v>3250000</v>
      </c>
      <c r="H6" s="115">
        <f>'FY20-21'!H6-'FY08-09'!G6</f>
        <v>-13607789</v>
      </c>
      <c r="I6" s="115">
        <f>'FY20-21'!K6-'FY08-09'!J6</f>
        <v>363919</v>
      </c>
      <c r="J6" s="115">
        <f>'FY20-21'!K6-'FY08-09'!K6</f>
        <v>-9133574</v>
      </c>
      <c r="K6" s="115">
        <f t="shared" ref="K6:K24" si="0">F6+G6+H6+I6+J6</f>
        <v>-70198362</v>
      </c>
      <c r="L6" s="92"/>
    </row>
    <row r="7" spans="1:16" s="32" customFormat="1" x14ac:dyDescent="0.25">
      <c r="A7" s="49" t="s">
        <v>4</v>
      </c>
      <c r="B7" s="49" t="s">
        <v>4</v>
      </c>
      <c r="C7" s="40"/>
      <c r="D7" s="115">
        <f>'FY20-21'!$D7-'FY08-09'!$D7</f>
        <v>305253022</v>
      </c>
      <c r="E7" s="116">
        <f>'FY20-21'!$E7-'FY08-09'!$E7</f>
        <v>57641289</v>
      </c>
      <c r="F7" s="116">
        <f>'FY20-21'!$F7-'FY08-09'!$F7</f>
        <v>362894311</v>
      </c>
      <c r="G7" s="75">
        <v>0</v>
      </c>
      <c r="H7" s="115">
        <f>'FY20-21'!H7-'FY08-09'!G7</f>
        <v>670998</v>
      </c>
      <c r="I7" s="115">
        <f>'FY20-21'!K7-'FY08-09'!J7</f>
        <v>0</v>
      </c>
      <c r="J7" s="115">
        <f>'FY20-21'!K7-'FY08-09'!K7</f>
        <v>0</v>
      </c>
      <c r="K7" s="115">
        <f t="shared" si="0"/>
        <v>363565309</v>
      </c>
      <c r="L7" s="93"/>
    </row>
    <row r="8" spans="1:16" s="32" customFormat="1" x14ac:dyDescent="0.25">
      <c r="A8" s="51" t="s">
        <v>5</v>
      </c>
      <c r="B8" s="51" t="s">
        <v>5</v>
      </c>
      <c r="C8" s="40"/>
      <c r="D8" s="115">
        <f>'FY20-21'!$D8-'FY08-09'!$D8</f>
        <v>751637</v>
      </c>
      <c r="E8" s="116">
        <f>'FY20-21'!$E8-'FY08-09'!$E8</f>
        <v>-14762</v>
      </c>
      <c r="F8" s="116">
        <f>'FY20-21'!$F8-'FY08-09'!$F8</f>
        <v>736875</v>
      </c>
      <c r="G8" s="75">
        <v>0</v>
      </c>
      <c r="H8" s="115">
        <f>'FY20-21'!H8-'FY08-09'!G8</f>
        <v>-475000</v>
      </c>
      <c r="I8" s="115">
        <f>'FY20-21'!K8-'FY08-09'!J8</f>
        <v>8000000</v>
      </c>
      <c r="J8" s="115">
        <f>'FY20-21'!K8-'FY08-09'!K8</f>
        <v>5065333</v>
      </c>
      <c r="K8" s="115">
        <f t="shared" si="0"/>
        <v>13327208</v>
      </c>
      <c r="L8" s="94"/>
    </row>
    <row r="9" spans="1:16" x14ac:dyDescent="0.25">
      <c r="A9" s="16" t="s">
        <v>6</v>
      </c>
      <c r="B9" s="16" t="s">
        <v>7</v>
      </c>
      <c r="C9" s="40"/>
      <c r="D9" s="118">
        <f>'FY20-21'!$D9-'FY08-09'!$D9</f>
        <v>-8361264</v>
      </c>
      <c r="E9" s="119">
        <f>'FY20-21'!$E9-'FY08-09'!$E9</f>
        <v>374502</v>
      </c>
      <c r="F9" s="119">
        <f>'FY20-21'!$F9-'FY08-09'!$F9</f>
        <v>-7986762</v>
      </c>
      <c r="G9" s="119">
        <f>'FY20-21'!G9</f>
        <v>1650000</v>
      </c>
      <c r="H9" s="118">
        <f>'FY20-21'!H9-'FY08-09'!G9</f>
        <v>0</v>
      </c>
      <c r="I9" s="118">
        <f>'FY20-21'!K9-'FY08-09'!J9</f>
        <v>12262078</v>
      </c>
      <c r="J9" s="118">
        <f>'FY20-21'!L9-'FY08-09'!K9</f>
        <v>0</v>
      </c>
      <c r="K9" s="118">
        <f t="shared" si="0"/>
        <v>5925316</v>
      </c>
      <c r="L9" s="95"/>
    </row>
    <row r="10" spans="1:16" x14ac:dyDescent="0.25">
      <c r="A10" s="15"/>
      <c r="B10" s="16" t="s">
        <v>8</v>
      </c>
      <c r="C10" s="40"/>
      <c r="D10" s="121">
        <f>'FY20-21'!$D10-'FY08-09'!$D10</f>
        <v>-6732969</v>
      </c>
      <c r="E10" s="122">
        <f>'FY20-21'!$E10-'FY08-09'!$E10</f>
        <v>-86856</v>
      </c>
      <c r="F10" s="122">
        <f>'FY20-21'!$F10-'FY08-09'!$F10</f>
        <v>-6819825</v>
      </c>
      <c r="G10" s="122">
        <f>'FY20-21'!G10</f>
        <v>2265000</v>
      </c>
      <c r="H10" s="121">
        <f>'FY20-21'!H10-'FY08-09'!G10</f>
        <v>0</v>
      </c>
      <c r="I10" s="121">
        <f>'FY20-21'!K10-'FY08-09'!J10</f>
        <v>13336508</v>
      </c>
      <c r="J10" s="121">
        <f>'FY20-21'!L10-'FY08-09'!K10</f>
        <v>0</v>
      </c>
      <c r="K10" s="121">
        <f t="shared" si="0"/>
        <v>8781683</v>
      </c>
      <c r="L10" s="95"/>
    </row>
    <row r="11" spans="1:16" x14ac:dyDescent="0.25">
      <c r="A11" s="15"/>
      <c r="B11" s="16" t="s">
        <v>9</v>
      </c>
      <c r="C11" s="40"/>
      <c r="D11" s="121">
        <f>'FY20-21'!$D11-'FY08-09'!$D11</f>
        <v>4830710</v>
      </c>
      <c r="E11" s="122">
        <f>'FY20-21'!$E11-'FY08-09'!$E11</f>
        <v>270759</v>
      </c>
      <c r="F11" s="122">
        <f>'FY20-21'!$F11-'FY08-09'!$F11</f>
        <v>5101469</v>
      </c>
      <c r="G11" s="122">
        <f>'FY20-21'!G11</f>
        <v>536000</v>
      </c>
      <c r="H11" s="121">
        <f>'FY20-21'!H11-'FY08-09'!G11</f>
        <v>0</v>
      </c>
      <c r="I11" s="121">
        <f>'FY20-21'!K11-'FY08-09'!J11</f>
        <v>5350000</v>
      </c>
      <c r="J11" s="121">
        <f>'FY20-21'!L11-'FY08-09'!K11</f>
        <v>0</v>
      </c>
      <c r="K11" s="121">
        <f t="shared" si="0"/>
        <v>10987469</v>
      </c>
      <c r="L11" s="95"/>
    </row>
    <row r="12" spans="1:16" x14ac:dyDescent="0.25">
      <c r="A12" s="15"/>
      <c r="B12" s="16" t="s">
        <v>10</v>
      </c>
      <c r="C12" s="40"/>
      <c r="D12" s="121">
        <f>'FY20-21'!$D12-'FY08-09'!$D12</f>
        <v>-20832266</v>
      </c>
      <c r="E12" s="122">
        <f>'FY20-21'!$E12-'FY08-09'!$E12</f>
        <v>-440700</v>
      </c>
      <c r="F12" s="122">
        <f>'FY20-21'!$F12-'FY08-09'!$F12</f>
        <v>-21272966</v>
      </c>
      <c r="G12" s="122">
        <f>'FY20-21'!G12</f>
        <v>4180000</v>
      </c>
      <c r="H12" s="121">
        <f>'FY20-21'!H12-'FY08-09'!G12</f>
        <v>0</v>
      </c>
      <c r="I12" s="121">
        <f>'FY20-21'!K12-'FY08-09'!J12</f>
        <v>21617222</v>
      </c>
      <c r="J12" s="121">
        <f>'FY20-21'!L12-'FY08-09'!K12</f>
        <v>0</v>
      </c>
      <c r="K12" s="121">
        <f t="shared" si="0"/>
        <v>4524256</v>
      </c>
      <c r="L12" s="95"/>
    </row>
    <row r="13" spans="1:16" x14ac:dyDescent="0.25">
      <c r="A13" s="15"/>
      <c r="B13" s="16" t="s">
        <v>11</v>
      </c>
      <c r="C13" s="40"/>
      <c r="D13" s="121">
        <f>'FY20-21'!$D13-'FY08-09'!$D13</f>
        <v>-919200</v>
      </c>
      <c r="E13" s="122">
        <f>'FY20-21'!$E13-'FY08-09'!$E13</f>
        <v>22085</v>
      </c>
      <c r="F13" s="122">
        <f>'FY20-21'!$F13-'FY08-09'!$F13</f>
        <v>-897115</v>
      </c>
      <c r="G13" s="122">
        <f>'FY20-21'!G13</f>
        <v>390000</v>
      </c>
      <c r="H13" s="121">
        <f>'FY20-21'!H13-'FY08-09'!G13</f>
        <v>0</v>
      </c>
      <c r="I13" s="121">
        <f>'FY20-21'!K13-'FY08-09'!J13</f>
        <v>5750285</v>
      </c>
      <c r="J13" s="121">
        <f>'FY20-21'!L13-'FY08-09'!K13</f>
        <v>0</v>
      </c>
      <c r="K13" s="121">
        <f t="shared" si="0"/>
        <v>5243170</v>
      </c>
      <c r="L13" s="95"/>
      <c r="P13" t="s">
        <v>92</v>
      </c>
    </row>
    <row r="14" spans="1:16" x14ac:dyDescent="0.25">
      <c r="A14" s="15"/>
      <c r="B14" s="16" t="s">
        <v>12</v>
      </c>
      <c r="C14" s="40"/>
      <c r="D14" s="121">
        <f>'FY20-21'!$D14-'FY08-09'!$D14</f>
        <v>-234868</v>
      </c>
      <c r="E14" s="122">
        <f>'FY20-21'!$E14-'FY08-09'!$E14</f>
        <v>-10100000</v>
      </c>
      <c r="F14" s="122">
        <f>'FY20-21'!$F14-'FY08-09'!$F14</f>
        <v>-10334868</v>
      </c>
      <c r="G14" s="122">
        <f>'FY20-21'!G14</f>
        <v>0</v>
      </c>
      <c r="H14" s="121">
        <f>'FY20-21'!H14-'FY08-09'!G14</f>
        <v>0</v>
      </c>
      <c r="I14" s="121">
        <f>'FY20-21'!K14-'FY08-09'!J14</f>
        <v>0</v>
      </c>
      <c r="J14" s="121">
        <f>'FY20-21'!L14-'FY08-09'!K14</f>
        <v>0</v>
      </c>
      <c r="K14" s="121">
        <f t="shared" si="0"/>
        <v>-10334868</v>
      </c>
      <c r="L14" s="95"/>
    </row>
    <row r="15" spans="1:16" x14ac:dyDescent="0.25">
      <c r="A15" s="15"/>
      <c r="B15" s="16" t="s">
        <v>13</v>
      </c>
      <c r="C15" s="40"/>
      <c r="D15" s="121">
        <f>'FY20-21'!$D15-'FY08-09'!$D15</f>
        <v>1245091</v>
      </c>
      <c r="E15" s="122">
        <f>'FY20-21'!$E15-'FY08-09'!$E15</f>
        <v>0</v>
      </c>
      <c r="F15" s="122">
        <f>'FY20-21'!$F15-'FY08-09'!$F15</f>
        <v>1245091</v>
      </c>
      <c r="G15" s="122">
        <f>'FY20-21'!G15</f>
        <v>0</v>
      </c>
      <c r="H15" s="121">
        <f>'FY20-21'!H15-'FY08-09'!G15</f>
        <v>0</v>
      </c>
      <c r="I15" s="121">
        <f>'FY20-21'!K15-'FY08-09'!J15</f>
        <v>0</v>
      </c>
      <c r="J15" s="121">
        <f>'FY20-21'!L15-'FY08-09'!K15</f>
        <v>0</v>
      </c>
      <c r="K15" s="121">
        <f t="shared" si="0"/>
        <v>1245091</v>
      </c>
      <c r="L15" s="95"/>
    </row>
    <row r="16" spans="1:16" x14ac:dyDescent="0.25">
      <c r="A16" s="15"/>
      <c r="B16" s="16" t="s">
        <v>114</v>
      </c>
      <c r="C16" s="40"/>
      <c r="D16" s="121">
        <f>'FY20-21'!D16</f>
        <v>2870000</v>
      </c>
      <c r="E16" s="122">
        <f>'FY20-21'!E16</f>
        <v>0</v>
      </c>
      <c r="F16" s="122">
        <f>SUM(D16:E16)</f>
        <v>2870000</v>
      </c>
      <c r="G16" s="122">
        <f>'FY20-21'!G16</f>
        <v>0</v>
      </c>
      <c r="H16" s="121">
        <v>0</v>
      </c>
      <c r="I16" s="121">
        <v>0</v>
      </c>
      <c r="J16" s="121">
        <v>0</v>
      </c>
      <c r="K16" s="121">
        <f t="shared" si="0"/>
        <v>2870000</v>
      </c>
      <c r="L16" s="95"/>
    </row>
    <row r="17" spans="1:12" x14ac:dyDescent="0.25">
      <c r="A17" s="15"/>
      <c r="B17" s="16" t="s">
        <v>115</v>
      </c>
      <c r="C17" s="40"/>
      <c r="D17" s="121">
        <f>'FY20-21'!D17</f>
        <v>0</v>
      </c>
      <c r="E17" s="122">
        <f>'FY20-21'!E17</f>
        <v>10000000</v>
      </c>
      <c r="F17" s="122">
        <f>SUM(D17:E17)</f>
        <v>10000000</v>
      </c>
      <c r="G17" s="122">
        <f>'FY20-21'!G17</f>
        <v>0</v>
      </c>
      <c r="H17" s="121">
        <v>0</v>
      </c>
      <c r="I17" s="121">
        <v>0</v>
      </c>
      <c r="J17" s="121">
        <v>0</v>
      </c>
      <c r="K17" s="121">
        <f t="shared" si="0"/>
        <v>10000000</v>
      </c>
      <c r="L17" s="95"/>
    </row>
    <row r="18" spans="1:12" x14ac:dyDescent="0.25">
      <c r="A18" s="15"/>
      <c r="B18" s="16" t="s">
        <v>14</v>
      </c>
      <c r="C18" s="40"/>
      <c r="D18" s="121">
        <f>'FY20-21'!$D18-'FY08-09'!$D16</f>
        <v>2158923</v>
      </c>
      <c r="E18" s="122">
        <f>'FY20-21'!$E18-'FY08-09'!$E16</f>
        <v>325240</v>
      </c>
      <c r="F18" s="122">
        <f>'FY20-21'!$F18-'FY08-09'!$F16</f>
        <v>2484163</v>
      </c>
      <c r="G18" s="122">
        <f>'FY20-21'!G18</f>
        <v>521000</v>
      </c>
      <c r="H18" s="121">
        <f>'FY20-21'!H18-'FY08-09'!G16</f>
        <v>0</v>
      </c>
      <c r="I18" s="121">
        <f>'FY20-21'!K18-'FY08-09'!J16</f>
        <v>8316844.8000000007</v>
      </c>
      <c r="J18" s="121">
        <f>'FY20-21'!L18-'FY08-09'!K16</f>
        <v>0</v>
      </c>
      <c r="K18" s="121">
        <f t="shared" si="0"/>
        <v>11322007.800000001</v>
      </c>
      <c r="L18" s="95"/>
    </row>
    <row r="19" spans="1:12" x14ac:dyDescent="0.25">
      <c r="A19" s="15"/>
      <c r="B19" s="16" t="s">
        <v>15</v>
      </c>
      <c r="C19" s="40"/>
      <c r="D19" s="121">
        <f>'FY20-21'!$D19-'FY08-09'!$D17</f>
        <v>-72871609</v>
      </c>
      <c r="E19" s="122">
        <f>'FY20-21'!$E19-'FY08-09'!$E17</f>
        <v>-3106435</v>
      </c>
      <c r="F19" s="122">
        <f>'FY20-21'!$F19-'FY08-09'!$F17</f>
        <v>-75978044</v>
      </c>
      <c r="G19" s="122">
        <f>'FY20-21'!G19</f>
        <v>931000</v>
      </c>
      <c r="H19" s="121">
        <f>'FY20-21'!H19-'FY08-09'!G17</f>
        <v>0</v>
      </c>
      <c r="I19" s="121">
        <f>'FY20-21'!K19-'FY08-09'!J17</f>
        <v>-10776000</v>
      </c>
      <c r="J19" s="121">
        <f>'FY20-21'!L19-'FY08-09'!K17</f>
        <v>0</v>
      </c>
      <c r="K19" s="121">
        <f t="shared" si="0"/>
        <v>-85823044</v>
      </c>
      <c r="L19" s="95"/>
    </row>
    <row r="20" spans="1:12" x14ac:dyDescent="0.25">
      <c r="A20" s="15"/>
      <c r="B20" s="16" t="s">
        <v>16</v>
      </c>
      <c r="C20" s="40"/>
      <c r="D20" s="121">
        <f>'FY20-21'!$D20-'FY08-09'!$D18</f>
        <v>-1863399</v>
      </c>
      <c r="E20" s="122">
        <f>'FY20-21'!$E20-'FY08-09'!$E18</f>
        <v>-81195</v>
      </c>
      <c r="F20" s="122">
        <f>'FY20-21'!$F20-'FY08-09'!$F18</f>
        <v>-1944594</v>
      </c>
      <c r="G20" s="122">
        <f>'FY20-21'!G20</f>
        <v>645000</v>
      </c>
      <c r="H20" s="121">
        <f>'FY20-21'!H20-'FY08-09'!G18</f>
        <v>0</v>
      </c>
      <c r="I20" s="121">
        <f>'FY20-21'!K20-'FY08-09'!J18</f>
        <v>3179280</v>
      </c>
      <c r="J20" s="121">
        <f>'FY20-21'!L20-'FY08-09'!K18</f>
        <v>0</v>
      </c>
      <c r="K20" s="121">
        <f t="shared" si="0"/>
        <v>1879686</v>
      </c>
      <c r="L20" s="95"/>
    </row>
    <row r="21" spans="1:12" x14ac:dyDescent="0.25">
      <c r="A21" s="15"/>
      <c r="B21" s="16" t="s">
        <v>17</v>
      </c>
      <c r="C21" s="40"/>
      <c r="D21" s="121">
        <f>'FY20-21'!$D21-'FY08-09'!$D19</f>
        <v>5286527</v>
      </c>
      <c r="E21" s="122">
        <f>'FY20-21'!$E21-'FY08-09'!$E19</f>
        <v>191729</v>
      </c>
      <c r="F21" s="122">
        <f>'FY20-21'!$F21-'FY08-09'!$F19</f>
        <v>5478256</v>
      </c>
      <c r="G21" s="122">
        <f>'FY20-21'!G21</f>
        <v>960000</v>
      </c>
      <c r="H21" s="121">
        <f>'FY20-21'!H21-'FY08-09'!G19</f>
        <v>0</v>
      </c>
      <c r="I21" s="121">
        <f>'FY20-21'!K21-'FY08-09'!J19</f>
        <v>9790000</v>
      </c>
      <c r="J21" s="121">
        <f>'FY20-21'!L21-'FY08-09'!K19</f>
        <v>0</v>
      </c>
      <c r="K21" s="121">
        <f t="shared" si="0"/>
        <v>16228256</v>
      </c>
      <c r="L21" s="95"/>
    </row>
    <row r="22" spans="1:12" x14ac:dyDescent="0.25">
      <c r="A22" s="15"/>
      <c r="B22" s="16" t="s">
        <v>18</v>
      </c>
      <c r="C22" s="40"/>
      <c r="D22" s="121">
        <f>'FY20-21'!$D22-'FY08-09'!$D20</f>
        <v>1654527</v>
      </c>
      <c r="E22" s="122">
        <f>'FY20-21'!$E22-'FY08-09'!$E20</f>
        <v>171774</v>
      </c>
      <c r="F22" s="122">
        <f>'FY20-21'!$F22-'FY08-09'!$F20</f>
        <v>1826301</v>
      </c>
      <c r="G22" s="122">
        <f>'FY20-21'!G22</f>
        <v>900000</v>
      </c>
      <c r="H22" s="121">
        <f>'FY20-21'!H22-'FY08-09'!G20</f>
        <v>0</v>
      </c>
      <c r="I22" s="121">
        <f>'FY20-21'!K22-'FY08-09'!J20</f>
        <v>8053416</v>
      </c>
      <c r="J22" s="121">
        <f>'FY20-21'!L22-'FY08-09'!K20</f>
        <v>0</v>
      </c>
      <c r="K22" s="121">
        <f t="shared" si="0"/>
        <v>10779717</v>
      </c>
      <c r="L22" s="95"/>
    </row>
    <row r="23" spans="1:12" x14ac:dyDescent="0.25">
      <c r="A23" s="15"/>
      <c r="B23" s="16" t="s">
        <v>19</v>
      </c>
      <c r="C23" s="40"/>
      <c r="D23" s="121">
        <f>'FY20-21'!$D23-'FY08-09'!$D21</f>
        <v>3972028</v>
      </c>
      <c r="E23" s="122">
        <f>'FY20-21'!$E23-'FY08-09'!$E21</f>
        <v>585865</v>
      </c>
      <c r="F23" s="122">
        <f>'FY20-21'!$F23-'FY08-09'!$F21</f>
        <v>4557893</v>
      </c>
      <c r="G23" s="122">
        <f>'FY20-21'!G23</f>
        <v>2076000</v>
      </c>
      <c r="H23" s="121">
        <f>'FY20-21'!H23-'FY08-09'!G21</f>
        <v>0</v>
      </c>
      <c r="I23" s="121">
        <f>'FY20-21'!K23-'FY08-09'!J21</f>
        <v>13785431</v>
      </c>
      <c r="J23" s="121">
        <f>'FY20-21'!L23-'FY08-09'!K21</f>
        <v>0</v>
      </c>
      <c r="K23" s="121">
        <f t="shared" si="0"/>
        <v>20419324</v>
      </c>
      <c r="L23" s="95"/>
    </row>
    <row r="24" spans="1:12" x14ac:dyDescent="0.25">
      <c r="A24" s="15"/>
      <c r="B24" s="16" t="s">
        <v>20</v>
      </c>
      <c r="C24" s="40"/>
      <c r="D24" s="121">
        <f>'FY20-21'!$D24-'FY08-09'!$D22</f>
        <v>109456</v>
      </c>
      <c r="E24" s="122">
        <f>'FY20-21'!$E24-'FY08-09'!$E22</f>
        <v>295344</v>
      </c>
      <c r="F24" s="122">
        <f>'FY20-21'!$F24-'FY08-09'!$F22</f>
        <v>404800</v>
      </c>
      <c r="G24" s="122">
        <f>'FY20-21'!G24</f>
        <v>900000</v>
      </c>
      <c r="H24" s="121">
        <f>'FY20-21'!H24-'FY08-09'!G22</f>
        <v>0</v>
      </c>
      <c r="I24" s="121">
        <f>'FY20-21'!K24-'FY08-09'!J22</f>
        <v>7397056</v>
      </c>
      <c r="J24" s="121">
        <f>'FY20-21'!L24-'FY08-09'!K22</f>
        <v>0</v>
      </c>
      <c r="K24" s="121">
        <f t="shared" si="0"/>
        <v>8701856</v>
      </c>
      <c r="L24" s="95"/>
    </row>
    <row r="25" spans="1:12" x14ac:dyDescent="0.25">
      <c r="A25" s="17" t="s">
        <v>21</v>
      </c>
      <c r="B25" s="18"/>
      <c r="C25" s="40"/>
      <c r="D25" s="115">
        <f>SUM(D9:D24)</f>
        <v>-89688313</v>
      </c>
      <c r="E25" s="116">
        <f>SUM(E9:E24)</f>
        <v>-1577888</v>
      </c>
      <c r="F25" s="116">
        <f t="shared" ref="F25:H25" si="1">SUM(F9:F24)</f>
        <v>-91266201</v>
      </c>
      <c r="G25" s="116">
        <f>SUM(G9:G24)</f>
        <v>15954000</v>
      </c>
      <c r="H25" s="115">
        <f t="shared" si="1"/>
        <v>0</v>
      </c>
      <c r="I25" s="115">
        <f>SUM(I9:I24)</f>
        <v>98062120.799999997</v>
      </c>
      <c r="J25" s="115">
        <f>SUM(J9:J24)</f>
        <v>0</v>
      </c>
      <c r="K25" s="115">
        <f>SUM(K9:K24)</f>
        <v>22749919.799999997</v>
      </c>
      <c r="L25" s="96"/>
    </row>
    <row r="26" spans="1:12" x14ac:dyDescent="0.25">
      <c r="A26" s="14" t="s">
        <v>22</v>
      </c>
      <c r="B26" s="14" t="s">
        <v>23</v>
      </c>
      <c r="C26" s="40"/>
      <c r="D26" s="121">
        <f>'FY20-21'!$D26-'FY08-09'!$D24</f>
        <v>-13290934</v>
      </c>
      <c r="E26" s="122">
        <f>'FY20-21'!$E26-'FY08-09'!$E24</f>
        <v>0</v>
      </c>
      <c r="F26" s="122">
        <f>'FY20-21'!$F26-'FY08-09'!$F24</f>
        <v>-13290934</v>
      </c>
      <c r="G26" s="122">
        <f>'FY20-21'!G26</f>
        <v>0</v>
      </c>
      <c r="H26" s="121">
        <f>'FY20-21'!H26-'FY08-09'!G24</f>
        <v>-67842647</v>
      </c>
      <c r="I26" s="121">
        <f>'FY20-21'!K26-'FY08-09'!J24</f>
        <v>-1636520</v>
      </c>
      <c r="J26" s="121">
        <f>'FY20-21'!L26-'FY08-09'!K24</f>
        <v>-6925284</v>
      </c>
      <c r="K26" s="121">
        <f t="shared" ref="K26:K37" si="2">F26+G26+H26+I26+J26</f>
        <v>-89695385</v>
      </c>
      <c r="L26" s="95"/>
    </row>
    <row r="27" spans="1:12" x14ac:dyDescent="0.25">
      <c r="A27" s="15"/>
      <c r="B27" s="16" t="s">
        <v>24</v>
      </c>
      <c r="C27" s="40"/>
      <c r="D27" s="121">
        <f>'FY20-21'!$D27-'FY08-09'!$D25</f>
        <v>-14404067</v>
      </c>
      <c r="E27" s="122">
        <f>'FY20-21'!$E27-'FY08-09'!$E25</f>
        <v>0</v>
      </c>
      <c r="F27" s="122">
        <f>'FY20-21'!$F27-'FY08-09'!$F25</f>
        <v>-14404067</v>
      </c>
      <c r="G27" s="122">
        <f>'FY20-21'!G27</f>
        <v>0</v>
      </c>
      <c r="H27" s="121">
        <f>'FY20-21'!H27-'FY08-09'!G25</f>
        <v>-40336977</v>
      </c>
      <c r="I27" s="121">
        <f>'FY20-21'!K27-'FY08-09'!J25</f>
        <v>-1330426</v>
      </c>
      <c r="J27" s="121">
        <f>'FY20-21'!L27-'FY08-09'!K25</f>
        <v>-4547674</v>
      </c>
      <c r="K27" s="121">
        <f t="shared" si="2"/>
        <v>-60619144</v>
      </c>
      <c r="L27" s="95"/>
    </row>
    <row r="28" spans="1:12" x14ac:dyDescent="0.25">
      <c r="A28" s="15"/>
      <c r="B28" s="16" t="s">
        <v>25</v>
      </c>
      <c r="C28" s="40"/>
      <c r="D28" s="121">
        <f>'FY20-21'!$D28-'FY08-09'!$D26</f>
        <v>-16245528</v>
      </c>
      <c r="E28" s="122">
        <f>'FY20-21'!$E28-'FY08-09'!$E26</f>
        <v>-2591109</v>
      </c>
      <c r="F28" s="122">
        <f>'FY20-21'!$F28-'FY08-09'!$F26</f>
        <v>-18836637</v>
      </c>
      <c r="G28" s="122">
        <f>'FY20-21'!G28</f>
        <v>4036145.53</v>
      </c>
      <c r="H28" s="121">
        <f>'FY20-21'!H28-'FY08-09'!G26</f>
        <v>0</v>
      </c>
      <c r="I28" s="121">
        <f>'FY20-21'!K28-'FY08-09'!J26</f>
        <v>540000</v>
      </c>
      <c r="J28" s="121">
        <f>'FY20-21'!L28-'FY08-09'!K26</f>
        <v>0</v>
      </c>
      <c r="K28" s="121">
        <f t="shared" si="2"/>
        <v>-14260491.470000001</v>
      </c>
      <c r="L28" s="95"/>
    </row>
    <row r="29" spans="1:12" x14ac:dyDescent="0.25">
      <c r="A29" s="15"/>
      <c r="B29" s="16" t="s">
        <v>26</v>
      </c>
      <c r="C29" s="40"/>
      <c r="D29" s="121">
        <f>'FY20-21'!$D29-'FY08-09'!$D27</f>
        <v>-10202578</v>
      </c>
      <c r="E29" s="122">
        <f>'FY20-21'!$E29-'FY08-09'!$E27</f>
        <v>-102177</v>
      </c>
      <c r="F29" s="122">
        <f>'FY20-21'!$F29-'FY08-09'!$F27</f>
        <v>-10304755</v>
      </c>
      <c r="G29" s="122">
        <f>'FY20-21'!G29</f>
        <v>2576300</v>
      </c>
      <c r="H29" s="121">
        <f>'FY20-21'!H29-'FY08-09'!G27</f>
        <v>0</v>
      </c>
      <c r="I29" s="121">
        <f>'FY20-21'!K29-'FY08-09'!J27</f>
        <v>9240423</v>
      </c>
      <c r="J29" s="121">
        <f>'FY20-21'!L29-'FY08-09'!K27</f>
        <v>0</v>
      </c>
      <c r="K29" s="121">
        <f t="shared" si="2"/>
        <v>1511968</v>
      </c>
      <c r="L29" s="95"/>
    </row>
    <row r="30" spans="1:12" x14ac:dyDescent="0.25">
      <c r="A30" s="15"/>
      <c r="B30" s="16" t="s">
        <v>27</v>
      </c>
      <c r="C30" s="40"/>
      <c r="D30" s="121">
        <f>'FY20-21'!$D30-'FY08-09'!$D28</f>
        <v>-127137383</v>
      </c>
      <c r="E30" s="122">
        <f>'FY20-21'!$E30-'FY08-09'!$E28</f>
        <v>-3403815</v>
      </c>
      <c r="F30" s="122">
        <f>'FY20-21'!$F30-'FY08-09'!$F28</f>
        <v>-130541198</v>
      </c>
      <c r="G30" s="122">
        <f>'FY20-21'!G30</f>
        <v>5361800</v>
      </c>
      <c r="H30" s="121">
        <f>'FY20-21'!H30-'FY08-09'!G28</f>
        <v>-3120272</v>
      </c>
      <c r="I30" s="121">
        <f>'FY20-21'!K30-'FY08-09'!J28</f>
        <v>249279482</v>
      </c>
      <c r="J30" s="121">
        <f>'FY20-21'!L30-'FY08-09'!K28</f>
        <v>0</v>
      </c>
      <c r="K30" s="121">
        <f t="shared" si="2"/>
        <v>120979812</v>
      </c>
      <c r="L30" s="95"/>
    </row>
    <row r="31" spans="1:12" x14ac:dyDescent="0.25">
      <c r="A31" s="15"/>
      <c r="B31" s="16" t="s">
        <v>28</v>
      </c>
      <c r="C31" s="40"/>
      <c r="D31" s="121">
        <f>'FY20-21'!$D31-'FY08-09'!$D29</f>
        <v>-10192973</v>
      </c>
      <c r="E31" s="122">
        <f>'FY20-21'!$E31-'FY08-09'!$E29</f>
        <v>-470000</v>
      </c>
      <c r="F31" s="122">
        <f>'FY20-21'!$F31-'FY08-09'!$F29</f>
        <v>-10662973</v>
      </c>
      <c r="G31" s="122">
        <f>'FY20-21'!G31</f>
        <v>0</v>
      </c>
      <c r="H31" s="121">
        <f>'FY20-21'!H31-'FY08-09'!G29</f>
        <v>0</v>
      </c>
      <c r="I31" s="121">
        <f>'FY20-21'!K31-'FY08-09'!J29</f>
        <v>0</v>
      </c>
      <c r="J31" s="121">
        <f>'FY20-21'!L31-'FY08-09'!K29</f>
        <v>0</v>
      </c>
      <c r="K31" s="121">
        <f t="shared" si="2"/>
        <v>-10662973</v>
      </c>
      <c r="L31" s="95"/>
    </row>
    <row r="32" spans="1:12" x14ac:dyDescent="0.25">
      <c r="A32" s="15"/>
      <c r="B32" s="16" t="s">
        <v>29</v>
      </c>
      <c r="C32" s="40"/>
      <c r="D32" s="121">
        <f>'FY20-21'!$D32-'FY08-09'!$D30</f>
        <v>-6958572</v>
      </c>
      <c r="E32" s="122">
        <f>'FY20-21'!$E32-'FY08-09'!$E30</f>
        <v>-95099</v>
      </c>
      <c r="F32" s="122">
        <f>'FY20-21'!$F32-'FY08-09'!$F30</f>
        <v>-7053671</v>
      </c>
      <c r="G32" s="122">
        <f>'FY20-21'!G32</f>
        <v>1758165.1500000001</v>
      </c>
      <c r="H32" s="121">
        <f>'FY20-21'!H32-'FY08-09'!G30</f>
        <v>0</v>
      </c>
      <c r="I32" s="121">
        <f>'FY20-21'!K32-'FY08-09'!J30</f>
        <v>5556894</v>
      </c>
      <c r="J32" s="121">
        <f>'FY20-21'!L32-'FY08-09'!K30</f>
        <v>0</v>
      </c>
      <c r="K32" s="121">
        <f t="shared" si="2"/>
        <v>261388.15000000037</v>
      </c>
      <c r="L32" s="95"/>
    </row>
    <row r="33" spans="1:14" x14ac:dyDescent="0.25">
      <c r="A33" s="15"/>
      <c r="B33" s="16" t="s">
        <v>30</v>
      </c>
      <c r="C33" s="40"/>
      <c r="D33" s="121">
        <f>'FY20-21'!$D33-'FY08-09'!$D31</f>
        <v>-46645335</v>
      </c>
      <c r="E33" s="122">
        <f>'FY20-21'!$E33-'FY08-09'!$E31</f>
        <v>-19068778</v>
      </c>
      <c r="F33" s="122">
        <f>'FY20-21'!$F33-'FY08-09'!$F31</f>
        <v>-65714113</v>
      </c>
      <c r="G33" s="122">
        <f>'FY20-21'!G33</f>
        <v>5350000</v>
      </c>
      <c r="H33" s="121">
        <f>'FY20-21'!H33-'FY08-09'!G31</f>
        <v>-39169464</v>
      </c>
      <c r="I33" s="121">
        <f>'FY20-21'!K33-'FY08-09'!J31</f>
        <v>47436871</v>
      </c>
      <c r="J33" s="121">
        <f>'FY20-21'!L33-'FY08-09'!K31</f>
        <v>0</v>
      </c>
      <c r="K33" s="121">
        <f t="shared" si="2"/>
        <v>-52096706</v>
      </c>
      <c r="L33" s="95"/>
    </row>
    <row r="34" spans="1:14" x14ac:dyDescent="0.25">
      <c r="A34" s="15"/>
      <c r="B34" s="16" t="s">
        <v>31</v>
      </c>
      <c r="C34" s="40"/>
      <c r="D34" s="121">
        <f>'FY20-21'!$D34-'FY08-09'!$D32</f>
        <v>-24942328</v>
      </c>
      <c r="E34" s="122">
        <f>'FY20-21'!$E34-'FY08-09'!$E32</f>
        <v>-3265666</v>
      </c>
      <c r="F34" s="122">
        <f>'FY20-21'!$F34-'FY08-09'!$F32</f>
        <v>-28207994</v>
      </c>
      <c r="G34" s="122">
        <f>'FY20-21'!G34</f>
        <v>7277700</v>
      </c>
      <c r="H34" s="121">
        <f>'FY20-21'!H34-'FY08-09'!G32</f>
        <v>-233825128</v>
      </c>
      <c r="I34" s="121">
        <f>'FY20-21'!K34-'FY08-09'!J32</f>
        <v>-30397514</v>
      </c>
      <c r="J34" s="121">
        <f>'FY20-21'!L34-'FY08-09'!K32</f>
        <v>-49466921</v>
      </c>
      <c r="K34" s="121">
        <f t="shared" si="2"/>
        <v>-334619857</v>
      </c>
      <c r="L34" s="95"/>
    </row>
    <row r="35" spans="1:14" x14ac:dyDescent="0.25">
      <c r="A35" s="15"/>
      <c r="B35" s="16" t="s">
        <v>32</v>
      </c>
      <c r="C35" s="40"/>
      <c r="D35" s="121">
        <f>'FY20-21'!$D35-'FY08-09'!$D33</f>
        <v>-10051740</v>
      </c>
      <c r="E35" s="122">
        <f>'FY20-21'!$E35-'FY08-09'!$E33</f>
        <v>-440491</v>
      </c>
      <c r="F35" s="122">
        <f>'FY20-21'!$F35-'FY08-09'!$F33</f>
        <v>-10492231</v>
      </c>
      <c r="G35" s="122">
        <f>'FY20-21'!G35</f>
        <v>781100</v>
      </c>
      <c r="H35" s="121">
        <f>'FY20-21'!H35-'FY08-09'!G33</f>
        <v>0</v>
      </c>
      <c r="I35" s="121">
        <f>'FY20-21'!K35-'FY08-09'!J33</f>
        <v>39717423</v>
      </c>
      <c r="J35" s="121">
        <f>'FY20-21'!L35-'FY08-09'!K33</f>
        <v>0</v>
      </c>
      <c r="K35" s="121">
        <f t="shared" si="2"/>
        <v>30006292</v>
      </c>
      <c r="L35" s="95"/>
    </row>
    <row r="36" spans="1:14" x14ac:dyDescent="0.25">
      <c r="A36" s="15"/>
      <c r="B36" s="16" t="s">
        <v>33</v>
      </c>
      <c r="C36" s="40"/>
      <c r="D36" s="121">
        <f>'FY20-21'!$D36-'FY08-09'!$D34</f>
        <v>-10070297</v>
      </c>
      <c r="E36" s="122">
        <f>'FY20-21'!$E36-'FY08-09'!$E34</f>
        <v>-492457</v>
      </c>
      <c r="F36" s="122">
        <f>'FY20-21'!$F36-'FY08-09'!$F34</f>
        <v>-10562754</v>
      </c>
      <c r="G36" s="122">
        <f>'FY20-21'!G36</f>
        <v>0</v>
      </c>
      <c r="H36" s="121">
        <f>'FY20-21'!H36-'FY08-09'!G34</f>
        <v>0</v>
      </c>
      <c r="I36" s="121">
        <f>'FY20-21'!K36-'FY08-09'!J34</f>
        <v>-10069012</v>
      </c>
      <c r="J36" s="121">
        <f>'FY20-21'!L36-'FY08-09'!K34</f>
        <v>0</v>
      </c>
      <c r="K36" s="121">
        <f t="shared" si="2"/>
        <v>-20631766</v>
      </c>
      <c r="L36" s="95"/>
    </row>
    <row r="37" spans="1:14" x14ac:dyDescent="0.25">
      <c r="A37" s="15"/>
      <c r="B37" s="16" t="s">
        <v>34</v>
      </c>
      <c r="C37" s="40"/>
      <c r="D37" s="121">
        <f>'FY20-21'!$D37-'FY08-09'!$D35</f>
        <v>1602016</v>
      </c>
      <c r="E37" s="122">
        <f>'FY20-21'!$E37-'FY08-09'!$E35</f>
        <v>-35864</v>
      </c>
      <c r="F37" s="122">
        <f>'FY20-21'!$F37-'FY08-09'!$F35</f>
        <v>1566152</v>
      </c>
      <c r="G37" s="122">
        <f>'FY20-21'!G37</f>
        <v>2917239.73</v>
      </c>
      <c r="H37" s="121">
        <f>'FY20-21'!H37-'FY08-09'!G35</f>
        <v>0</v>
      </c>
      <c r="I37" s="121">
        <f>'FY20-21'!K37-'FY08-09'!J35</f>
        <v>20000</v>
      </c>
      <c r="J37" s="121">
        <f>'FY20-21'!L37-'FY08-09'!K35</f>
        <v>0</v>
      </c>
      <c r="K37" s="121">
        <f t="shared" si="2"/>
        <v>4503391.7300000004</v>
      </c>
      <c r="L37" s="95"/>
    </row>
    <row r="38" spans="1:14" ht="14.25" customHeight="1" x14ac:dyDescent="0.25">
      <c r="A38" s="17" t="s">
        <v>35</v>
      </c>
      <c r="B38" s="18"/>
      <c r="C38" s="40"/>
      <c r="D38" s="115">
        <f>SUM(D26:D37)</f>
        <v>-288539719</v>
      </c>
      <c r="E38" s="116">
        <f>SUM(E26:E37)</f>
        <v>-29965456</v>
      </c>
      <c r="F38" s="116">
        <f t="shared" ref="F38:H38" si="3">SUM(F26:F37)</f>
        <v>-318505175</v>
      </c>
      <c r="G38" s="116">
        <f>SUM(G26:G37)</f>
        <v>30058450.41</v>
      </c>
      <c r="H38" s="115">
        <f t="shared" si="3"/>
        <v>-384294488</v>
      </c>
      <c r="I38" s="115">
        <f>SUM(I26:I37)</f>
        <v>308357621</v>
      </c>
      <c r="J38" s="115">
        <f>SUM(J26:J37)</f>
        <v>-60939879</v>
      </c>
      <c r="K38" s="115">
        <f>SUM(K26:K37)</f>
        <v>-425323470.58999997</v>
      </c>
      <c r="L38" s="96"/>
    </row>
    <row r="39" spans="1:14" x14ac:dyDescent="0.25">
      <c r="A39" s="14" t="s">
        <v>36</v>
      </c>
      <c r="B39" s="14" t="s">
        <v>37</v>
      </c>
      <c r="C39" s="40"/>
      <c r="D39" s="121">
        <f>'FY20-21'!$D39-'FY08-09'!$D37</f>
        <v>771949</v>
      </c>
      <c r="E39" s="122">
        <f>'FY20-21'!$E39-'FY08-09'!$E37</f>
        <v>-21175</v>
      </c>
      <c r="F39" s="122">
        <f>'FY20-21'!$F39-'FY08-09'!$F37</f>
        <v>750774</v>
      </c>
      <c r="G39" s="122">
        <f>'FY20-21'!G39</f>
        <v>0</v>
      </c>
      <c r="H39" s="121">
        <f>'FY20-21'!H39-'FY08-09'!G37</f>
        <v>0</v>
      </c>
      <c r="I39" s="121">
        <f>'FY20-21'!K37-'FY08-09'!J37</f>
        <v>845561</v>
      </c>
      <c r="J39" s="121">
        <f>'FY19-20'!K37-'FY08-09'!K37</f>
        <v>617998</v>
      </c>
      <c r="K39" s="121">
        <f t="shared" ref="K39:K44" si="4">F39+G39+H39+I39+J39</f>
        <v>2214333</v>
      </c>
      <c r="L39" s="95"/>
    </row>
    <row r="40" spans="1:14" x14ac:dyDescent="0.25">
      <c r="A40" s="15"/>
      <c r="B40" s="16" t="s">
        <v>38</v>
      </c>
      <c r="C40" s="40"/>
      <c r="D40" s="121">
        <f>'FY20-21'!$D40-'FY08-09'!$D38</f>
        <v>-35702388</v>
      </c>
      <c r="E40" s="122">
        <f>'FY20-21'!$E40-'FY08-09'!$E38</f>
        <v>-697445</v>
      </c>
      <c r="F40" s="122">
        <f>'FY20-21'!$F40-'FY08-09'!$F38</f>
        <v>-36399833</v>
      </c>
      <c r="G40" s="122">
        <f>'FY20-21'!G40</f>
        <v>1668983</v>
      </c>
      <c r="H40" s="121">
        <f>'FY20-21'!H40-'FY08-09'!G38</f>
        <v>847327</v>
      </c>
      <c r="I40" s="121">
        <f>'FY20-21'!K38-'FY08-09'!J38</f>
        <v>584472036</v>
      </c>
      <c r="J40" s="121">
        <f>'FY19-20'!K38-'FY08-09'!K38</f>
        <v>0</v>
      </c>
      <c r="K40" s="121">
        <f t="shared" si="4"/>
        <v>550588513</v>
      </c>
      <c r="L40" s="95"/>
    </row>
    <row r="41" spans="1:14" x14ac:dyDescent="0.25">
      <c r="A41" s="15"/>
      <c r="B41" s="16" t="s">
        <v>39</v>
      </c>
      <c r="C41" s="40"/>
      <c r="D41" s="121">
        <f>'FY20-21'!$D41-'FY08-09'!$D39</f>
        <v>-3717698</v>
      </c>
      <c r="E41" s="122">
        <f>'FY20-21'!$E41-'FY08-09'!$E39</f>
        <v>-77141</v>
      </c>
      <c r="F41" s="122">
        <f>'FY20-21'!$F41-'FY08-09'!$F39</f>
        <v>-3794839</v>
      </c>
      <c r="G41" s="122">
        <f>'FY20-21'!G41</f>
        <v>417291</v>
      </c>
      <c r="H41" s="121">
        <f>'FY20-21'!H41-'FY08-09'!G39</f>
        <v>0</v>
      </c>
      <c r="I41" s="121">
        <f>'FY20-21'!K39-'FY08-09'!J39</f>
        <v>-3507770</v>
      </c>
      <c r="J41" s="121">
        <f>'FY19-20'!K39-'FY08-09'!K39</f>
        <v>0</v>
      </c>
      <c r="K41" s="121">
        <f t="shared" si="4"/>
        <v>-6885318</v>
      </c>
      <c r="L41" s="95"/>
    </row>
    <row r="42" spans="1:14" x14ac:dyDescent="0.25">
      <c r="A42" s="15"/>
      <c r="B42" s="16" t="s">
        <v>40</v>
      </c>
      <c r="C42" s="40"/>
      <c r="D42" s="121">
        <f>'FY20-21'!$D42-'FY08-09'!$D40</f>
        <v>-7456236</v>
      </c>
      <c r="E42" s="122">
        <f>'FY20-21'!$E42-'FY08-09'!$E40</f>
        <v>-201967</v>
      </c>
      <c r="F42" s="122">
        <f>'FY20-21'!$F42-'FY08-09'!$F40</f>
        <v>-7658203</v>
      </c>
      <c r="G42" s="122">
        <f>'FY20-21'!G42</f>
        <v>750736</v>
      </c>
      <c r="H42" s="121">
        <f>'FY20-21'!H42-'FY08-09'!G40</f>
        <v>0</v>
      </c>
      <c r="I42" s="121">
        <f>'FY20-21'!K40-'FY08-09'!J40</f>
        <v>55972512</v>
      </c>
      <c r="J42" s="121">
        <f>'FY19-20'!K40-'FY08-09'!K40</f>
        <v>0</v>
      </c>
      <c r="K42" s="121">
        <f t="shared" si="4"/>
        <v>49065045</v>
      </c>
      <c r="L42" s="95"/>
    </row>
    <row r="43" spans="1:14" x14ac:dyDescent="0.25">
      <c r="A43" s="15"/>
      <c r="B43" s="16" t="s">
        <v>41</v>
      </c>
      <c r="C43" s="40"/>
      <c r="D43" s="121">
        <f>'FY20-21'!$D43-'FY08-09'!$D41</f>
        <v>-3430696</v>
      </c>
      <c r="E43" s="122">
        <f>'FY20-21'!$E43-'FY08-09'!$E41</f>
        <v>-422283</v>
      </c>
      <c r="F43" s="122">
        <f>'FY20-21'!$F43-'FY08-09'!$F41</f>
        <v>-3852979</v>
      </c>
      <c r="G43" s="122">
        <f>'FY20-21'!G43</f>
        <v>594302</v>
      </c>
      <c r="H43" s="121">
        <f>'FY20-21'!H43-'FY08-09'!G41</f>
        <v>0</v>
      </c>
      <c r="I43" s="121">
        <f>'FY20-21'!K41-'FY08-09'!J41</f>
        <v>9422594</v>
      </c>
      <c r="J43" s="121">
        <f>'FY19-20'!K41-'FY08-09'!K41</f>
        <v>0</v>
      </c>
      <c r="K43" s="121">
        <f t="shared" si="4"/>
        <v>6163917</v>
      </c>
      <c r="L43" s="95"/>
    </row>
    <row r="44" spans="1:14" x14ac:dyDescent="0.25">
      <c r="A44" s="15"/>
      <c r="B44" s="16" t="s">
        <v>42</v>
      </c>
      <c r="C44" s="40"/>
      <c r="D44" s="121">
        <f>'FY20-21'!$D44-'FY08-09'!$D42</f>
        <v>725233</v>
      </c>
      <c r="E44" s="122">
        <f>'FY20-21'!$E44-'FY08-09'!$E42</f>
        <v>0</v>
      </c>
      <c r="F44" s="122">
        <f>'FY20-21'!$F44-'FY08-09'!$F42</f>
        <v>725233</v>
      </c>
      <c r="G44" s="122">
        <f>'FY20-21'!G44</f>
        <v>0</v>
      </c>
      <c r="H44" s="121">
        <f>'FY20-21'!H44-'FY08-09'!G42</f>
        <v>0</v>
      </c>
      <c r="I44" s="121">
        <f>'FY20-21'!K42-'FY08-09'!J42</f>
        <v>14947545.43</v>
      </c>
      <c r="J44" s="121">
        <f>'FY19-20'!K42-'FY08-09'!K42</f>
        <v>0</v>
      </c>
      <c r="K44" s="121">
        <f t="shared" si="4"/>
        <v>15672778.43</v>
      </c>
      <c r="L44" s="95"/>
    </row>
    <row r="45" spans="1:14" x14ac:dyDescent="0.25">
      <c r="A45" s="17" t="s">
        <v>43</v>
      </c>
      <c r="B45" s="18"/>
      <c r="C45" s="40"/>
      <c r="D45" s="124">
        <f>SUM(D39:D44)</f>
        <v>-48809836</v>
      </c>
      <c r="E45" s="125">
        <f>SUM(E39:E44)</f>
        <v>-1420011</v>
      </c>
      <c r="F45" s="125">
        <f t="shared" ref="F45:H45" si="5">SUM(F39:F44)</f>
        <v>-50229847</v>
      </c>
      <c r="G45" s="125">
        <f>SUM(G39:G44)</f>
        <v>3431312</v>
      </c>
      <c r="H45" s="124">
        <f t="shared" si="5"/>
        <v>847327</v>
      </c>
      <c r="I45" s="124">
        <f>SUM(I39:I44)</f>
        <v>662152478.42999995</v>
      </c>
      <c r="J45" s="124">
        <f>SUM(J39:J44)</f>
        <v>617998</v>
      </c>
      <c r="K45" s="124">
        <f>SUM(K39:K44)</f>
        <v>616819268.42999995</v>
      </c>
      <c r="L45" s="96"/>
    </row>
    <row r="46" spans="1:14" x14ac:dyDescent="0.25">
      <c r="A46" s="14" t="s">
        <v>44</v>
      </c>
      <c r="B46" s="14" t="s">
        <v>45</v>
      </c>
      <c r="C46" s="40"/>
      <c r="D46" s="121">
        <f>'FY20-21'!$D46-'FY08-09'!$D44</f>
        <v>-19897176</v>
      </c>
      <c r="E46" s="122">
        <f>'FY20-21'!$E46-'FY08-09'!$E44</f>
        <v>-397554</v>
      </c>
      <c r="F46" s="122">
        <f>'FY20-21'!$F46-'FY08-09'!$F44</f>
        <v>-20294730</v>
      </c>
      <c r="G46" s="122">
        <f>'FY20-21'!G46</f>
        <v>3115385</v>
      </c>
      <c r="H46" s="121">
        <f>'FY20-21'!H46-'FY08-09'!G44</f>
        <v>0</v>
      </c>
      <c r="I46" s="121">
        <f>'FY20-21'!K46-'FY08-09'!J44</f>
        <v>9557476</v>
      </c>
      <c r="J46" s="121">
        <f>'FY20-21'!L46-'FY08-09'!K44</f>
        <v>0</v>
      </c>
      <c r="K46" s="121">
        <f t="shared" ref="K46:K55" si="6">F46+G46+H46+I46+J46</f>
        <v>-7621869</v>
      </c>
      <c r="L46" s="95"/>
      <c r="N46" s="64"/>
    </row>
    <row r="47" spans="1:14" x14ac:dyDescent="0.25">
      <c r="A47" s="15"/>
      <c r="B47" s="16" t="s">
        <v>46</v>
      </c>
      <c r="C47" s="40"/>
      <c r="D47" s="121">
        <f>'FY20-21'!$D47-'FY08-09'!$D45</f>
        <v>-39794857</v>
      </c>
      <c r="E47" s="122">
        <f>'FY20-21'!$E47-'FY08-09'!$E45</f>
        <v>-752459</v>
      </c>
      <c r="F47" s="122">
        <f>'FY20-21'!$F47-'FY08-09'!$F45</f>
        <v>-40547316</v>
      </c>
      <c r="G47" s="122">
        <f>'FY20-21'!G47</f>
        <v>6396237</v>
      </c>
      <c r="H47" s="121">
        <f>'FY20-21'!H47-'FY08-09'!G45</f>
        <v>0</v>
      </c>
      <c r="I47" s="121">
        <f>'FY20-21'!K47-'FY08-09'!J45</f>
        <v>62045031</v>
      </c>
      <c r="J47" s="121">
        <f>'FY20-21'!L47-'FY08-09'!K45</f>
        <v>0</v>
      </c>
      <c r="K47" s="121">
        <f>F47+G47+H47+I47+J47</f>
        <v>27893952</v>
      </c>
      <c r="L47" s="95"/>
    </row>
    <row r="48" spans="1:14" x14ac:dyDescent="0.25">
      <c r="A48" s="15"/>
      <c r="B48" s="16" t="s">
        <v>47</v>
      </c>
      <c r="C48" s="40"/>
      <c r="D48" s="121">
        <f>'FY20-21'!$D48-'FY08-09'!$D46</f>
        <v>-31466411</v>
      </c>
      <c r="E48" s="122">
        <f>'FY20-21'!$E48-'FY08-09'!$E46</f>
        <v>681960</v>
      </c>
      <c r="F48" s="122">
        <f>'FY20-21'!$F48-'FY08-09'!$F46</f>
        <v>-30784451</v>
      </c>
      <c r="G48" s="122">
        <f>'FY20-21'!G48</f>
        <v>4760441</v>
      </c>
      <c r="H48" s="121">
        <f>'FY20-21'!H48-'FY08-09'!G46</f>
        <v>0</v>
      </c>
      <c r="I48" s="121">
        <f>'FY20-21'!K48-'FY08-09'!J46</f>
        <v>26156632</v>
      </c>
      <c r="J48" s="121">
        <f>'FY20-21'!L48-'FY08-09'!K46</f>
        <v>0</v>
      </c>
      <c r="K48" s="121">
        <f t="shared" si="6"/>
        <v>132622</v>
      </c>
      <c r="L48" s="95"/>
    </row>
    <row r="49" spans="1:14" x14ac:dyDescent="0.25">
      <c r="A49" s="15"/>
      <c r="B49" s="16" t="s">
        <v>48</v>
      </c>
      <c r="C49" s="40"/>
      <c r="D49" s="121">
        <f>'FY20-21'!$D49-'FY08-09'!$D47</f>
        <v>-23621301</v>
      </c>
      <c r="E49" s="122">
        <f>'FY20-21'!$E49-'FY08-09'!$E47</f>
        <v>-426053</v>
      </c>
      <c r="F49" s="122">
        <f>'FY20-21'!$F49-'FY08-09'!$F47</f>
        <v>-24047354</v>
      </c>
      <c r="G49" s="122">
        <f>'FY20-21'!G49</f>
        <v>2994071</v>
      </c>
      <c r="H49" s="121">
        <f>'FY20-21'!H49-'FY08-09'!G47</f>
        <v>0</v>
      </c>
      <c r="I49" s="121">
        <f>'FY20-21'!K49-'FY08-09'!J47</f>
        <v>20436208</v>
      </c>
      <c r="J49" s="121">
        <f>'FY20-21'!L49-'FY08-09'!K47</f>
        <v>0</v>
      </c>
      <c r="K49" s="121">
        <f t="shared" si="6"/>
        <v>-617075</v>
      </c>
      <c r="L49" s="95"/>
    </row>
    <row r="50" spans="1:14" x14ac:dyDescent="0.25">
      <c r="A50" s="15"/>
      <c r="B50" s="16" t="s">
        <v>49</v>
      </c>
      <c r="C50" s="40"/>
      <c r="D50" s="121">
        <f>'FY20-21'!$D50-'FY08-09'!$D48</f>
        <v>-31565701</v>
      </c>
      <c r="E50" s="122">
        <f>'FY20-21'!$E50-'FY08-09'!$E48</f>
        <v>-497035</v>
      </c>
      <c r="F50" s="122">
        <f>'FY20-21'!$F50-'FY08-09'!$F48</f>
        <v>-32062736</v>
      </c>
      <c r="G50" s="122">
        <f>'FY20-21'!G50</f>
        <v>3652546</v>
      </c>
      <c r="H50" s="121">
        <f>'FY20-21'!H50-'FY08-09'!G48</f>
        <v>0</v>
      </c>
      <c r="I50" s="121">
        <f>'FY20-21'!K50-'FY08-09'!J48</f>
        <v>31630113</v>
      </c>
      <c r="J50" s="121">
        <f>'FY20-21'!L50-'FY08-09'!K48</f>
        <v>0</v>
      </c>
      <c r="K50" s="121">
        <f t="shared" si="6"/>
        <v>3219923</v>
      </c>
      <c r="L50" s="95"/>
    </row>
    <row r="51" spans="1:14" x14ac:dyDescent="0.25">
      <c r="A51" s="15"/>
      <c r="B51" s="16" t="s">
        <v>50</v>
      </c>
      <c r="C51" s="40"/>
      <c r="D51" s="121">
        <f>'FY20-21'!$D51-'FY08-09'!$D49</f>
        <v>-54726140</v>
      </c>
      <c r="E51" s="122">
        <f>'FY20-21'!$E51-'FY08-09'!$E49</f>
        <v>-787616</v>
      </c>
      <c r="F51" s="122">
        <f>'FY20-21'!$F51-'FY08-09'!$F49</f>
        <v>-55513756</v>
      </c>
      <c r="G51" s="122">
        <f>'FY20-21'!G51</f>
        <v>5077968</v>
      </c>
      <c r="H51" s="121">
        <f>'FY20-21'!H51-'FY08-09'!G49</f>
        <v>0</v>
      </c>
      <c r="I51" s="121">
        <f>'FY20-21'!K51-'FY08-09'!J49</f>
        <v>48579419</v>
      </c>
      <c r="J51" s="121">
        <f>'FY20-21'!L51-'FY08-09'!K49</f>
        <v>0</v>
      </c>
      <c r="K51" s="121">
        <f t="shared" si="6"/>
        <v>-1856369</v>
      </c>
      <c r="L51" s="95"/>
    </row>
    <row r="52" spans="1:14" x14ac:dyDescent="0.25">
      <c r="A52" s="15"/>
      <c r="B52" s="16" t="s">
        <v>51</v>
      </c>
      <c r="C52" s="40"/>
      <c r="D52" s="121">
        <f>'FY20-21'!$D52-'FY08-09'!$D50</f>
        <v>-8168598</v>
      </c>
      <c r="E52" s="122">
        <f>'FY20-21'!$E52-'FY08-09'!$E50</f>
        <v>0</v>
      </c>
      <c r="F52" s="122">
        <f>'FY20-21'!$F52-'FY08-09'!$F50</f>
        <v>-8168598</v>
      </c>
      <c r="G52" s="122">
        <f>'FY20-21'!G52</f>
        <v>0</v>
      </c>
      <c r="H52" s="121">
        <f>'FY20-21'!H52-'FY08-09'!G50</f>
        <v>-36000</v>
      </c>
      <c r="I52" s="121">
        <f>'FY20-21'!K52-'FY08-09'!J50</f>
        <v>1664000</v>
      </c>
      <c r="J52" s="121">
        <f>'FY20-21'!L52-'FY08-09'!K50</f>
        <v>0</v>
      </c>
      <c r="K52" s="121">
        <f t="shared" si="6"/>
        <v>-6540598</v>
      </c>
      <c r="L52" s="95"/>
    </row>
    <row r="53" spans="1:14" x14ac:dyDescent="0.25">
      <c r="A53" s="15"/>
      <c r="B53" s="16" t="s">
        <v>52</v>
      </c>
      <c r="C53" s="40"/>
      <c r="D53" s="121">
        <f>'FY20-21'!$D53-'FY08-09'!$D51</f>
        <v>-52955807</v>
      </c>
      <c r="E53" s="122">
        <f>'FY20-21'!$E53-'FY08-09'!$E51</f>
        <v>-1089565</v>
      </c>
      <c r="F53" s="122">
        <f>'FY20-21'!$F53-'FY08-09'!$F51</f>
        <v>-54045372</v>
      </c>
      <c r="G53" s="122">
        <f>'FY20-21'!G53</f>
        <v>8260596</v>
      </c>
      <c r="H53" s="121">
        <f>'FY20-21'!H53-'FY08-09'!G51</f>
        <v>-6015000</v>
      </c>
      <c r="I53" s="121">
        <f>'FY20-21'!K53-'FY08-09'!J51</f>
        <v>85956978</v>
      </c>
      <c r="J53" s="121">
        <f>'FY20-21'!L53-'FY08-09'!K51</f>
        <v>0</v>
      </c>
      <c r="K53" s="121">
        <f t="shared" si="6"/>
        <v>34157202</v>
      </c>
      <c r="L53" s="95"/>
    </row>
    <row r="54" spans="1:14" x14ac:dyDescent="0.25">
      <c r="A54" s="15"/>
      <c r="B54" s="16" t="s">
        <v>53</v>
      </c>
      <c r="C54" s="40"/>
      <c r="D54" s="121">
        <f>'FY20-21'!$D54-'FY08-09'!$D52</f>
        <v>-32847382</v>
      </c>
      <c r="E54" s="122">
        <f>'FY20-21'!$E54-'FY08-09'!$E52</f>
        <v>-818058</v>
      </c>
      <c r="F54" s="122">
        <f>'FY20-21'!$F54-'FY08-09'!$F52</f>
        <v>-33665440</v>
      </c>
      <c r="G54" s="122">
        <f>'FY20-21'!G54</f>
        <v>5153206</v>
      </c>
      <c r="H54" s="121">
        <f>'FY20-21'!H54-'FY08-09'!G52</f>
        <v>0</v>
      </c>
      <c r="I54" s="121">
        <f>'FY20-21'!K54-'FY08-09'!J52</f>
        <v>37190595</v>
      </c>
      <c r="J54" s="121">
        <f>'FY20-21'!L54-'FY08-09'!K52</f>
        <v>0</v>
      </c>
      <c r="K54" s="121">
        <f t="shared" si="6"/>
        <v>8678361</v>
      </c>
      <c r="L54" s="95"/>
    </row>
    <row r="55" spans="1:14" x14ac:dyDescent="0.25">
      <c r="A55" s="15"/>
      <c r="B55" s="16" t="s">
        <v>54</v>
      </c>
      <c r="C55" s="40"/>
      <c r="D55" s="121">
        <f>'FY20-21'!$D55-'FY08-09'!$D53</f>
        <v>-54826674</v>
      </c>
      <c r="E55" s="122">
        <f>'FY20-21'!$E55-'FY08-09'!$E53</f>
        <v>-973675</v>
      </c>
      <c r="F55" s="122">
        <f>'FY20-21'!$F55-'FY08-09'!$F53</f>
        <v>-55800349</v>
      </c>
      <c r="G55" s="122">
        <f>'FY20-21'!G55</f>
        <v>8516905</v>
      </c>
      <c r="H55" s="121">
        <f>'FY20-21'!H55-'FY08-09'!G53</f>
        <v>0</v>
      </c>
      <c r="I55" s="121">
        <f>'FY20-21'!K55-'FY08-09'!J53</f>
        <v>19068123</v>
      </c>
      <c r="J55" s="121">
        <f>'FY20-21'!L55-'FY08-09'!K53</f>
        <v>0</v>
      </c>
      <c r="K55" s="121">
        <f t="shared" si="6"/>
        <v>-28215321</v>
      </c>
      <c r="L55" s="95"/>
    </row>
    <row r="56" spans="1:14" x14ac:dyDescent="0.25">
      <c r="A56" s="12" t="s">
        <v>55</v>
      </c>
      <c r="B56" s="13"/>
      <c r="C56" s="40"/>
      <c r="D56" s="115">
        <f>SUM(D46:D55)</f>
        <v>-349870047</v>
      </c>
      <c r="E56" s="116">
        <f>SUM(E46:E55)</f>
        <v>-5060055</v>
      </c>
      <c r="F56" s="116">
        <f t="shared" ref="F56:H56" si="7">SUM(F46:F55)</f>
        <v>-354930102</v>
      </c>
      <c r="G56" s="116">
        <f>SUM(G46:G55)</f>
        <v>47927355</v>
      </c>
      <c r="H56" s="115">
        <f t="shared" si="7"/>
        <v>-6051000</v>
      </c>
      <c r="I56" s="115">
        <f>SUM(I46:I55)</f>
        <v>342284575</v>
      </c>
      <c r="J56" s="115">
        <f>SUM(J46:J55)</f>
        <v>0</v>
      </c>
      <c r="K56" s="115">
        <f>SUM(K46:K55)</f>
        <v>29230828</v>
      </c>
      <c r="L56" s="96"/>
      <c r="N56" s="64"/>
    </row>
    <row r="57" spans="1:14" x14ac:dyDescent="0.25">
      <c r="A57" s="12" t="s">
        <v>56</v>
      </c>
      <c r="B57" s="13"/>
      <c r="C57" s="40"/>
      <c r="D57" s="115">
        <f>'FY20-21'!$D57-'FY08-09'!$D55</f>
        <v>-508211674</v>
      </c>
      <c r="E57" s="116">
        <f>'FY20-21'!$E57-'FY08-09'!$E55</f>
        <v>5840617</v>
      </c>
      <c r="F57" s="116">
        <f>'FY20-21'!F57-'FY08-09'!F55</f>
        <v>-502371057</v>
      </c>
      <c r="G57" s="116">
        <f>'FY20-21'!G57</f>
        <v>100621117.41</v>
      </c>
      <c r="H57" s="115">
        <f>'FY20-21'!H57-'FY08-09'!G55</f>
        <v>-402909952</v>
      </c>
      <c r="I57" s="115">
        <f>'FY20-21'!K57-'FY08-09'!J55</f>
        <v>808626871.23000002</v>
      </c>
      <c r="J57" s="115">
        <f>'FY20-21'!L57-'FY08-09'!K55</f>
        <v>-22875109</v>
      </c>
      <c r="K57" s="115">
        <f>F57+G57+H57+I57+J57</f>
        <v>-18908129.360000014</v>
      </c>
      <c r="L57" s="96"/>
    </row>
    <row r="58" spans="1:14" s="32" customFormat="1" x14ac:dyDescent="0.25">
      <c r="A58" s="38" t="s">
        <v>63</v>
      </c>
      <c r="B58" s="38"/>
      <c r="C58" s="40"/>
      <c r="D58" s="115">
        <f>'FY20-21'!$D58-'FY08-09'!$D56</f>
        <v>-770111649</v>
      </c>
      <c r="E58" s="116">
        <f>'FY20-21'!$E58-'FY08-09'!$E56</f>
        <v>-51762325</v>
      </c>
      <c r="F58" s="116">
        <f>'FY20-21'!F58-'FY08-09'!F56</f>
        <v>-821873974</v>
      </c>
      <c r="G58" s="116">
        <f>'FY20-21'!G58</f>
        <v>100621117.41</v>
      </c>
      <c r="H58" s="115">
        <f>'FY20-21'!H58-'FY08-09'!G56</f>
        <v>-89326395</v>
      </c>
      <c r="I58" s="115">
        <f>'FY20-21'!K58-'FY08-09'!J56</f>
        <v>858737201.23000002</v>
      </c>
      <c r="J58" s="115">
        <f>'FY20-21'!L58-'FY08-09'!K56</f>
        <v>726439</v>
      </c>
      <c r="K58" s="115">
        <f>F58+G58+H58+I58+J58</f>
        <v>48884388.639999986</v>
      </c>
      <c r="L58" s="40"/>
      <c r="M58" s="31"/>
    </row>
    <row r="59" spans="1:14" x14ac:dyDescent="0.25">
      <c r="A59" s="7"/>
      <c r="B59" s="7"/>
      <c r="C59" s="7"/>
      <c r="L59" s="7"/>
    </row>
    <row r="60" spans="1:14" x14ac:dyDescent="0.25">
      <c r="A60" s="7"/>
      <c r="B60" s="7"/>
      <c r="C60" s="7"/>
      <c r="L60" s="7"/>
    </row>
  </sheetData>
  <pageMargins left="0.25" right="0.25" top="0.75" bottom="0.75" header="0.3" footer="0.3"/>
  <pageSetup scale="5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1656-8C20-4CD1-976C-6D62463B99FB}">
  <sheetPr>
    <pageSetUpPr fitToPage="1"/>
  </sheetPr>
  <dimension ref="A1:O6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13" sqref="H13"/>
    </sheetView>
  </sheetViews>
  <sheetFormatPr defaultRowHeight="15" x14ac:dyDescent="0.25"/>
  <cols>
    <col min="2" max="2" width="22.85546875" customWidth="1"/>
    <col min="3" max="3" width="1.42578125" customWidth="1"/>
    <col min="4" max="4" width="18.7109375" bestFit="1" customWidth="1"/>
    <col min="5" max="5" width="15.28515625" customWidth="1"/>
    <col min="6" max="6" width="16.28515625" style="25" customWidth="1"/>
    <col min="7" max="7" width="15.28515625" customWidth="1"/>
    <col min="8" max="8" width="16.28515625" style="25" customWidth="1"/>
    <col min="9" max="9" width="15.28515625" customWidth="1"/>
    <col min="10" max="10" width="16.28515625" style="25" customWidth="1"/>
    <col min="11" max="11" width="1.42578125" customWidth="1"/>
    <col min="13" max="13" width="12.85546875" bestFit="1" customWidth="1"/>
  </cols>
  <sheetData>
    <row r="1" spans="1:15" s="99" customFormat="1" ht="18.75" x14ac:dyDescent="0.3">
      <c r="A1" s="99" t="s">
        <v>94</v>
      </c>
      <c r="F1" s="100"/>
      <c r="H1" s="100"/>
      <c r="J1" s="100"/>
    </row>
    <row r="2" spans="1:15" s="99" customFormat="1" ht="18.75" x14ac:dyDescent="0.3">
      <c r="A2" s="99" t="s">
        <v>137</v>
      </c>
    </row>
    <row r="3" spans="1:15" s="104" customFormat="1" ht="18.75" x14ac:dyDescent="0.3">
      <c r="A3" s="102"/>
      <c r="B3" s="101"/>
      <c r="C3" s="101"/>
      <c r="D3" s="103"/>
      <c r="E3" s="103"/>
      <c r="F3" s="103"/>
      <c r="G3" s="103"/>
      <c r="H3" s="103"/>
      <c r="I3" s="103"/>
      <c r="J3" s="103"/>
      <c r="K3" s="101"/>
    </row>
    <row r="4" spans="1:15" x14ac:dyDescent="0.25">
      <c r="A4" s="1"/>
      <c r="B4" s="2"/>
      <c r="C4" s="9"/>
      <c r="D4" s="25"/>
      <c r="E4" s="25"/>
      <c r="G4" s="25"/>
      <c r="I4" s="25"/>
      <c r="K4" s="9"/>
    </row>
    <row r="5" spans="1:15" ht="32.25" customHeight="1" x14ac:dyDescent="0.25">
      <c r="A5" s="10" t="s">
        <v>0</v>
      </c>
      <c r="B5" s="10" t="s">
        <v>1</v>
      </c>
      <c r="C5" s="40"/>
      <c r="D5" s="66" t="s">
        <v>57</v>
      </c>
      <c r="E5" s="66" t="s">
        <v>58</v>
      </c>
      <c r="F5" s="97" t="s">
        <v>67</v>
      </c>
      <c r="G5" s="66" t="s">
        <v>59</v>
      </c>
      <c r="H5" s="66" t="s">
        <v>60</v>
      </c>
      <c r="I5" s="66" t="s">
        <v>61</v>
      </c>
      <c r="J5" s="66" t="s">
        <v>62</v>
      </c>
      <c r="K5" s="72"/>
    </row>
    <row r="6" spans="1:15" s="32" customFormat="1" x14ac:dyDescent="0.25">
      <c r="A6" s="47" t="s">
        <v>2</v>
      </c>
      <c r="B6" s="47" t="s">
        <v>3</v>
      </c>
      <c r="C6" s="40"/>
      <c r="D6" s="115">
        <f>'FY21-22'!$D6-'FY08-09'!$D6</f>
        <v>-31370188</v>
      </c>
      <c r="E6" s="116">
        <f>'FY21-22'!$E6-'FY08-09'!$E6</f>
        <v>-10472500</v>
      </c>
      <c r="F6" s="116">
        <f>'FY21-22'!$F6-'FY08-09'!$F6</f>
        <v>-41842688</v>
      </c>
      <c r="G6" s="115">
        <f>'FY21-22'!G6-'FY08-09'!G6</f>
        <v>-13399789</v>
      </c>
      <c r="H6" s="115">
        <f>'FY21-22'!J6-'FY08-09'!J6</f>
        <v>163919</v>
      </c>
      <c r="I6" s="115">
        <f>'FY21-22'!K6-'FY08-09'!K6</f>
        <v>1108441</v>
      </c>
      <c r="J6" s="115">
        <f>F6++G6+H6+I6</f>
        <v>-53970117</v>
      </c>
      <c r="K6" s="92"/>
    </row>
    <row r="7" spans="1:15" s="32" customFormat="1" x14ac:dyDescent="0.25">
      <c r="A7" s="49" t="s">
        <v>4</v>
      </c>
      <c r="B7" s="49" t="s">
        <v>4</v>
      </c>
      <c r="C7" s="40"/>
      <c r="D7" s="115">
        <f>'FY21-22'!$D7-'FY08-09'!$D7</f>
        <v>331876404</v>
      </c>
      <c r="E7" s="116">
        <f>'FY21-22'!$E7-'FY08-09'!$E7</f>
        <v>58466078</v>
      </c>
      <c r="F7" s="116">
        <f>'FY21-22'!$F7-'FY08-09'!$F7</f>
        <v>390342482</v>
      </c>
      <c r="G7" s="115">
        <f>'FY21-22'!G7-'FY08-09'!G7</f>
        <v>670998</v>
      </c>
      <c r="H7" s="115">
        <f>'FY21-22'!J7-'FY08-09'!J7</f>
        <v>0</v>
      </c>
      <c r="I7" s="115">
        <f>'FY21-22'!K7-'FY08-09'!K7</f>
        <v>37415818</v>
      </c>
      <c r="J7" s="115">
        <f t="shared" ref="J7:J24" si="0">F7++G7+H7+I7</f>
        <v>428429298</v>
      </c>
      <c r="K7" s="93"/>
    </row>
    <row r="8" spans="1:15" s="32" customFormat="1" x14ac:dyDescent="0.25">
      <c r="A8" s="51" t="s">
        <v>5</v>
      </c>
      <c r="B8" s="51" t="s">
        <v>5</v>
      </c>
      <c r="C8" s="40"/>
      <c r="D8" s="115">
        <f>'FY21-22'!$D8-'FY08-09'!$D8</f>
        <v>895080</v>
      </c>
      <c r="E8" s="116">
        <f>'FY21-22'!$E8-'FY08-09'!$E8</f>
        <v>-14493</v>
      </c>
      <c r="F8" s="116">
        <f>'FY21-22'!$F8-'FY08-09'!$F8</f>
        <v>880587</v>
      </c>
      <c r="G8" s="115">
        <f>'FY21-22'!G8-'FY08-09'!G8</f>
        <v>-475000</v>
      </c>
      <c r="H8" s="115">
        <f>'FY21-22'!J8-'FY08-09'!J8</f>
        <v>8000000</v>
      </c>
      <c r="I8" s="115">
        <f>'FY21-22'!K8-'FY08-09'!K8</f>
        <v>0</v>
      </c>
      <c r="J8" s="115">
        <f t="shared" si="0"/>
        <v>8405587</v>
      </c>
      <c r="K8" s="94"/>
    </row>
    <row r="9" spans="1:15" x14ac:dyDescent="0.25">
      <c r="A9" s="16" t="s">
        <v>6</v>
      </c>
      <c r="B9" s="16" t="s">
        <v>7</v>
      </c>
      <c r="C9" s="40"/>
      <c r="D9" s="118">
        <f>'FY21-22'!$D9-'FY08-09'!$D9</f>
        <v>-5541266</v>
      </c>
      <c r="E9" s="119">
        <f>'FY21-22'!$E9-'FY08-09'!$E9</f>
        <v>379691</v>
      </c>
      <c r="F9" s="119">
        <f>'FY21-22'!$F9-'FY08-09'!$F9</f>
        <v>-5161575</v>
      </c>
      <c r="G9" s="118">
        <f>'FY21-22'!G9-'FY08-09'!G9</f>
        <v>0</v>
      </c>
      <c r="H9" s="118">
        <f>'FY21-22'!J9-'FY08-09'!J9</f>
        <v>12262078</v>
      </c>
      <c r="I9" s="118">
        <f>'FY21-22'!K9-'FY08-09'!K9</f>
        <v>0</v>
      </c>
      <c r="J9" s="118">
        <f t="shared" si="0"/>
        <v>7100503</v>
      </c>
      <c r="K9" s="95"/>
    </row>
    <row r="10" spans="1:15" x14ac:dyDescent="0.25">
      <c r="A10" s="15"/>
      <c r="B10" s="16" t="s">
        <v>8</v>
      </c>
      <c r="C10" s="40"/>
      <c r="D10" s="121">
        <f>'FY21-22'!$D10-'FY08-09'!$D10</f>
        <v>-2672584</v>
      </c>
      <c r="E10" s="122">
        <f>'FY21-22'!$E10-'FY08-09'!$E10</f>
        <v>-84224</v>
      </c>
      <c r="F10" s="122">
        <f>'FY21-22'!$F10-'FY08-09'!$F10</f>
        <v>-2756808</v>
      </c>
      <c r="G10" s="121">
        <f>'FY21-22'!G10-'FY08-09'!G10</f>
        <v>0</v>
      </c>
      <c r="H10" s="121">
        <f>'FY21-22'!J10-'FY08-09'!J10</f>
        <v>10836508</v>
      </c>
      <c r="I10" s="121">
        <f>'FY21-22'!K10-'FY08-09'!K10</f>
        <v>0</v>
      </c>
      <c r="J10" s="121">
        <f t="shared" si="0"/>
        <v>8079700</v>
      </c>
      <c r="K10" s="95"/>
    </row>
    <row r="11" spans="1:15" x14ac:dyDescent="0.25">
      <c r="A11" s="15"/>
      <c r="B11" s="16" t="s">
        <v>9</v>
      </c>
      <c r="C11" s="40"/>
      <c r="D11" s="121">
        <f>'FY21-22'!$D11-'FY08-09'!$D11</f>
        <v>6501630</v>
      </c>
      <c r="E11" s="122">
        <f>'FY21-22'!$E11-'FY08-09'!$E11</f>
        <v>272958</v>
      </c>
      <c r="F11" s="122">
        <f>'FY21-22'!$F11-'FY08-09'!$F11</f>
        <v>6774588</v>
      </c>
      <c r="G11" s="121">
        <f>'FY21-22'!G11-'FY08-09'!G11</f>
        <v>0</v>
      </c>
      <c r="H11" s="121">
        <f>'FY21-22'!J11-'FY08-09'!J11</f>
        <v>5350000</v>
      </c>
      <c r="I11" s="121">
        <f>'FY21-22'!K11-'FY08-09'!K11</f>
        <v>0</v>
      </c>
      <c r="J11" s="121">
        <f t="shared" si="0"/>
        <v>12124588</v>
      </c>
      <c r="K11" s="95"/>
    </row>
    <row r="12" spans="1:15" x14ac:dyDescent="0.25">
      <c r="A12" s="15"/>
      <c r="B12" s="16" t="s">
        <v>10</v>
      </c>
      <c r="C12" s="40"/>
      <c r="D12" s="121">
        <f>'FY21-22'!$D12-'FY08-09'!$D12</f>
        <v>-13952520</v>
      </c>
      <c r="E12" s="122">
        <f>'FY21-22'!$E12-'FY08-09'!$E12</f>
        <v>-444651</v>
      </c>
      <c r="F12" s="122">
        <f>'FY21-22'!$F12-'FY08-09'!$F12</f>
        <v>-14397171</v>
      </c>
      <c r="G12" s="121">
        <f>'FY21-22'!G12-'FY08-09'!G12</f>
        <v>0</v>
      </c>
      <c r="H12" s="121">
        <f>'FY21-22'!J12-'FY08-09'!J12</f>
        <v>21617222</v>
      </c>
      <c r="I12" s="121">
        <f>'FY21-22'!K12-'FY08-09'!K12</f>
        <v>0</v>
      </c>
      <c r="J12" s="121">
        <f t="shared" si="0"/>
        <v>7220051</v>
      </c>
      <c r="K12" s="95"/>
    </row>
    <row r="13" spans="1:15" x14ac:dyDescent="0.25">
      <c r="A13" s="15"/>
      <c r="B13" s="16" t="s">
        <v>11</v>
      </c>
      <c r="C13" s="40"/>
      <c r="D13" s="121">
        <f>'FY21-22'!$D13-'FY08-09'!$D13</f>
        <v>1351839</v>
      </c>
      <c r="E13" s="122">
        <f>'FY21-22'!$E13-'FY08-09'!$E13</f>
        <v>23280</v>
      </c>
      <c r="F13" s="122">
        <f>'FY21-22'!$F13-'FY08-09'!$F13</f>
        <v>1375119</v>
      </c>
      <c r="G13" s="121">
        <f>'FY21-22'!G13-'FY08-09'!G13</f>
        <v>0</v>
      </c>
      <c r="H13" s="121">
        <f>'FY21-22'!J13-'FY08-09'!J13</f>
        <v>5750285</v>
      </c>
      <c r="I13" s="121">
        <f>'FY21-22'!K13-'FY08-09'!K13</f>
        <v>0</v>
      </c>
      <c r="J13" s="121">
        <f t="shared" si="0"/>
        <v>7125404</v>
      </c>
      <c r="K13" s="95"/>
      <c r="O13" t="s">
        <v>92</v>
      </c>
    </row>
    <row r="14" spans="1:15" x14ac:dyDescent="0.25">
      <c r="A14" s="15"/>
      <c r="B14" s="16" t="s">
        <v>12</v>
      </c>
      <c r="C14" s="40"/>
      <c r="D14" s="121">
        <f>'FY21-22'!$D14-'FY08-09'!$D14</f>
        <v>823342</v>
      </c>
      <c r="E14" s="122">
        <f>'FY21-22'!$E14-'FY08-09'!$E14</f>
        <v>-10100000</v>
      </c>
      <c r="F14" s="122">
        <f>'FY21-22'!$F14-'FY08-09'!$F14</f>
        <v>-9276658</v>
      </c>
      <c r="G14" s="121">
        <f>'FY21-22'!G14-'FY08-09'!G14</f>
        <v>0</v>
      </c>
      <c r="H14" s="121">
        <f>'FY21-22'!J14-'FY08-09'!J14</f>
        <v>0</v>
      </c>
      <c r="I14" s="121">
        <f>'FY21-22'!K14-'FY08-09'!K14</f>
        <v>0</v>
      </c>
      <c r="J14" s="121">
        <f t="shared" si="0"/>
        <v>-9276658</v>
      </c>
      <c r="K14" s="95"/>
    </row>
    <row r="15" spans="1:15" x14ac:dyDescent="0.25">
      <c r="A15" s="15"/>
      <c r="B15" s="16" t="s">
        <v>13</v>
      </c>
      <c r="C15" s="40"/>
      <c r="D15" s="121">
        <f>'FY21-22'!$D15-'FY08-09'!$D15</f>
        <v>1245091</v>
      </c>
      <c r="E15" s="122">
        <f>'FY21-22'!$E15-'FY08-09'!$E15</f>
        <v>0</v>
      </c>
      <c r="F15" s="122">
        <f>'FY21-22'!$F15-'FY08-09'!$F15</f>
        <v>1245091</v>
      </c>
      <c r="G15" s="121">
        <f>'FY21-22'!G15-'FY08-09'!G15</f>
        <v>0</v>
      </c>
      <c r="H15" s="121">
        <f>'FY21-22'!J15-'FY08-09'!J15</f>
        <v>0</v>
      </c>
      <c r="I15" s="121">
        <f>'FY21-22'!K15-'FY08-09'!K15</f>
        <v>0</v>
      </c>
      <c r="J15" s="121">
        <f t="shared" si="0"/>
        <v>1245091</v>
      </c>
      <c r="K15" s="95"/>
    </row>
    <row r="16" spans="1:15" x14ac:dyDescent="0.25">
      <c r="A16" s="15"/>
      <c r="B16" s="16" t="s">
        <v>114</v>
      </c>
      <c r="C16" s="40"/>
      <c r="D16" s="121">
        <f>'FY21-22'!$D16</f>
        <v>2870000</v>
      </c>
      <c r="E16" s="122">
        <f>'FY21-22'!$E16</f>
        <v>0</v>
      </c>
      <c r="F16" s="122">
        <f>'FY21-22'!$F16</f>
        <v>2870000</v>
      </c>
      <c r="G16" s="121">
        <f>'FY21-22'!G16</f>
        <v>0</v>
      </c>
      <c r="H16" s="121">
        <f>'FY21-22'!J16</f>
        <v>0</v>
      </c>
      <c r="I16" s="121">
        <f>'FY21-22'!K16</f>
        <v>0</v>
      </c>
      <c r="J16" s="121">
        <f t="shared" si="0"/>
        <v>2870000</v>
      </c>
      <c r="K16" s="95"/>
    </row>
    <row r="17" spans="1:11" x14ac:dyDescent="0.25">
      <c r="A17" s="15"/>
      <c r="B17" s="16" t="s">
        <v>115</v>
      </c>
      <c r="C17" s="40"/>
      <c r="D17" s="121">
        <f>'FY21-22'!$D17</f>
        <v>0</v>
      </c>
      <c r="E17" s="122">
        <f>'FY21-22'!$E17</f>
        <v>10000000</v>
      </c>
      <c r="F17" s="122">
        <f>'FY21-22'!$F17</f>
        <v>10000000</v>
      </c>
      <c r="G17" s="121">
        <f>'FY21-22'!G17</f>
        <v>0</v>
      </c>
      <c r="H17" s="121">
        <f>'FY21-22'!J17</f>
        <v>0</v>
      </c>
      <c r="I17" s="121">
        <f>'FY21-22'!K17</f>
        <v>0</v>
      </c>
      <c r="J17" s="121">
        <f t="shared" si="0"/>
        <v>10000000</v>
      </c>
      <c r="K17" s="95"/>
    </row>
    <row r="18" spans="1:11" x14ac:dyDescent="0.25">
      <c r="A18" s="15"/>
      <c r="B18" s="16" t="s">
        <v>14</v>
      </c>
      <c r="C18" s="40"/>
      <c r="D18" s="121">
        <f>'FY21-22'!$D18-'FY08-09'!$D16</f>
        <v>3816879</v>
      </c>
      <c r="E18" s="122">
        <f>'FY21-22'!$E18-'FY08-09'!$E16</f>
        <v>328038</v>
      </c>
      <c r="F18" s="122">
        <f>'FY21-22'!$F18-'FY08-09'!$F16</f>
        <v>4144917</v>
      </c>
      <c r="G18" s="121">
        <f>'FY21-22'!G18-'FY08-09'!G16</f>
        <v>0</v>
      </c>
      <c r="H18" s="121">
        <f>'FY21-22'!J18-'FY08-09'!J16</f>
        <v>8316845</v>
      </c>
      <c r="I18" s="121">
        <f>'FY21-22'!K18-'FY08-09'!K16</f>
        <v>0</v>
      </c>
      <c r="J18" s="121">
        <f t="shared" si="0"/>
        <v>12461762</v>
      </c>
      <c r="K18" s="95"/>
    </row>
    <row r="19" spans="1:11" x14ac:dyDescent="0.25">
      <c r="A19" s="15"/>
      <c r="B19" s="16" t="s">
        <v>15</v>
      </c>
      <c r="C19" s="40"/>
      <c r="D19" s="121">
        <f>'FY21-22'!$D19-'FY08-09'!$D17</f>
        <v>-71428506</v>
      </c>
      <c r="E19" s="122">
        <f>'FY21-22'!$E19-'FY08-09'!$E17</f>
        <v>-3104920</v>
      </c>
      <c r="F19" s="122">
        <f>'FY21-22'!$F19-'FY08-09'!$F17</f>
        <v>-74533426</v>
      </c>
      <c r="G19" s="121">
        <f>'FY21-22'!G19-'FY08-09'!G17</f>
        <v>0</v>
      </c>
      <c r="H19" s="121">
        <f>'FY21-22'!J19-'FY08-09'!J17</f>
        <v>-10076000</v>
      </c>
      <c r="I19" s="121">
        <f>'FY21-22'!K19-'FY08-09'!K17</f>
        <v>0</v>
      </c>
      <c r="J19" s="121">
        <f t="shared" si="0"/>
        <v>-84609426</v>
      </c>
      <c r="K19" s="95"/>
    </row>
    <row r="20" spans="1:11" x14ac:dyDescent="0.25">
      <c r="A20" s="15"/>
      <c r="B20" s="16" t="s">
        <v>16</v>
      </c>
      <c r="C20" s="40"/>
      <c r="D20" s="121">
        <f>'FY21-22'!$D20-'FY08-09'!$D18</f>
        <v>-415440</v>
      </c>
      <c r="E20" s="122">
        <f>'FY21-22'!$E20-'FY08-09'!$E18</f>
        <v>-80179</v>
      </c>
      <c r="F20" s="122">
        <f>'FY21-22'!$F20-'FY08-09'!$F18</f>
        <v>-495619</v>
      </c>
      <c r="G20" s="121">
        <f>'FY21-22'!G20-'FY08-09'!G18</f>
        <v>0</v>
      </c>
      <c r="H20" s="121">
        <f>'FY21-22'!J20-'FY08-09'!J18</f>
        <v>3179280</v>
      </c>
      <c r="I20" s="121">
        <f>'FY21-22'!K20-'FY08-09'!K18</f>
        <v>0</v>
      </c>
      <c r="J20" s="121">
        <f t="shared" si="0"/>
        <v>2683661</v>
      </c>
      <c r="K20" s="95"/>
    </row>
    <row r="21" spans="1:11" x14ac:dyDescent="0.25">
      <c r="A21" s="15"/>
      <c r="B21" s="16" t="s">
        <v>17</v>
      </c>
      <c r="C21" s="40"/>
      <c r="D21" s="121">
        <f>'FY21-22'!$D21-'FY08-09'!$D19</f>
        <v>7639276</v>
      </c>
      <c r="E21" s="122">
        <f>'FY21-22'!$E21-'FY08-09'!$E19</f>
        <v>193286</v>
      </c>
      <c r="F21" s="122">
        <f>'FY21-22'!$F21-'FY08-09'!$F19</f>
        <v>7832562</v>
      </c>
      <c r="G21" s="121">
        <f>'FY21-22'!G21-'FY08-09'!G19</f>
        <v>0</v>
      </c>
      <c r="H21" s="121">
        <f>'FY21-22'!J21-'FY08-09'!J19</f>
        <v>9790000</v>
      </c>
      <c r="I21" s="121">
        <f>'FY21-22'!K21-'FY08-09'!K19</f>
        <v>0</v>
      </c>
      <c r="J21" s="121">
        <f t="shared" si="0"/>
        <v>17622562</v>
      </c>
      <c r="K21" s="95"/>
    </row>
    <row r="22" spans="1:11" x14ac:dyDescent="0.25">
      <c r="A22" s="15"/>
      <c r="B22" s="16" t="s">
        <v>18</v>
      </c>
      <c r="C22" s="40"/>
      <c r="D22" s="121">
        <f>'FY21-22'!$D22-'FY08-09'!$D20</f>
        <v>3070855</v>
      </c>
      <c r="E22" s="122">
        <f>'FY21-22'!$E22-'FY08-09'!$E20</f>
        <v>173450</v>
      </c>
      <c r="F22" s="122">
        <f>'FY21-22'!$F22-'FY08-09'!$F20</f>
        <v>3244305</v>
      </c>
      <c r="G22" s="121">
        <f>'FY21-22'!G22-'FY08-09'!G20</f>
        <v>0</v>
      </c>
      <c r="H22" s="121">
        <f>'FY21-22'!J22-'FY08-09'!J20</f>
        <v>8053416</v>
      </c>
      <c r="I22" s="121">
        <f>'FY21-22'!K22-'FY08-09'!K20</f>
        <v>0</v>
      </c>
      <c r="J22" s="121">
        <f t="shared" si="0"/>
        <v>11297721</v>
      </c>
      <c r="K22" s="95"/>
    </row>
    <row r="23" spans="1:11" x14ac:dyDescent="0.25">
      <c r="A23" s="15"/>
      <c r="B23" s="16" t="s">
        <v>19</v>
      </c>
      <c r="C23" s="40"/>
      <c r="D23" s="121">
        <f>'FY21-22'!$D23-'FY08-09'!$D21</f>
        <v>7569979</v>
      </c>
      <c r="E23" s="122">
        <f>'FY21-22'!$E23-'FY08-09'!$E21</f>
        <v>591053</v>
      </c>
      <c r="F23" s="122">
        <f>'FY21-22'!$F23-'FY08-09'!$F21</f>
        <v>8161032</v>
      </c>
      <c r="G23" s="121">
        <f>'FY21-22'!G23-'FY08-09'!G21</f>
        <v>0</v>
      </c>
      <c r="H23" s="121">
        <f>'FY21-22'!J23-'FY08-09'!J21</f>
        <v>13285431</v>
      </c>
      <c r="I23" s="121">
        <f>'FY21-22'!K23-'FY08-09'!K21</f>
        <v>0</v>
      </c>
      <c r="J23" s="121">
        <f t="shared" si="0"/>
        <v>21446463</v>
      </c>
      <c r="K23" s="95"/>
    </row>
    <row r="24" spans="1:11" x14ac:dyDescent="0.25">
      <c r="A24" s="15"/>
      <c r="B24" s="16" t="s">
        <v>20</v>
      </c>
      <c r="C24" s="40"/>
      <c r="D24" s="121">
        <f>'FY21-22'!$D24-'FY08-09'!$D22</f>
        <v>1232998</v>
      </c>
      <c r="E24" s="122">
        <f>'FY21-22'!$E24-'FY08-09'!$E22</f>
        <v>182976</v>
      </c>
      <c r="F24" s="122">
        <f>'FY21-22'!$F24-'FY08-09'!$F22</f>
        <v>1415974</v>
      </c>
      <c r="G24" s="121">
        <f>'FY21-22'!G24-'FY08-09'!G22</f>
        <v>0</v>
      </c>
      <c r="H24" s="121">
        <f>'FY21-22'!J24-'FY08-09'!J22</f>
        <v>7397056</v>
      </c>
      <c r="I24" s="121">
        <f>'FY21-22'!K24-'FY08-09'!K22</f>
        <v>0</v>
      </c>
      <c r="J24" s="121">
        <f t="shared" si="0"/>
        <v>8813030</v>
      </c>
      <c r="K24" s="95"/>
    </row>
    <row r="25" spans="1:11" x14ac:dyDescent="0.25">
      <c r="A25" s="17" t="s">
        <v>21</v>
      </c>
      <c r="B25" s="18"/>
      <c r="C25" s="40"/>
      <c r="D25" s="115">
        <f>SUM(D9:D24)</f>
        <v>-57888427</v>
      </c>
      <c r="E25" s="116">
        <f>SUM(E9:E24)</f>
        <v>-1669242</v>
      </c>
      <c r="F25" s="116">
        <f t="shared" ref="F25:G25" si="1">SUM(F9:F24)</f>
        <v>-59557669</v>
      </c>
      <c r="G25" s="115">
        <f t="shared" si="1"/>
        <v>0</v>
      </c>
      <c r="H25" s="115">
        <f>SUM(H9:H24)</f>
        <v>95762121</v>
      </c>
      <c r="I25" s="115">
        <f>SUM(I9:I24)</f>
        <v>0</v>
      </c>
      <c r="J25" s="115">
        <f>SUM(J9:J24)</f>
        <v>36204452</v>
      </c>
      <c r="K25" s="96"/>
    </row>
    <row r="26" spans="1:11" x14ac:dyDescent="0.25">
      <c r="A26" s="14" t="s">
        <v>22</v>
      </c>
      <c r="B26" s="14" t="s">
        <v>23</v>
      </c>
      <c r="C26" s="40"/>
      <c r="D26" s="121">
        <f>'FY21-22'!$D26-'FY08-09'!$D24</f>
        <v>-13290934</v>
      </c>
      <c r="E26" s="122">
        <f>'FY21-22'!$E26-'FY08-09'!$E24</f>
        <v>0</v>
      </c>
      <c r="F26" s="122">
        <f>'FY21-22'!$F26-'FY08-09'!$F24</f>
        <v>-13290934</v>
      </c>
      <c r="G26" s="121">
        <f>'FY21-22'!G26-'FY08-09'!G24</f>
        <v>-67842647</v>
      </c>
      <c r="H26" s="121">
        <f>'FY21-22'!J26-'FY08-09'!J24</f>
        <v>-1636520</v>
      </c>
      <c r="I26" s="121">
        <f>'FY21-22'!K26-'FY08-09'!K24</f>
        <v>-6925284</v>
      </c>
      <c r="J26" s="121">
        <f>F26+G26+H26+I26</f>
        <v>-89695385</v>
      </c>
      <c r="K26" s="95"/>
    </row>
    <row r="27" spans="1:11" x14ac:dyDescent="0.25">
      <c r="A27" s="15"/>
      <c r="B27" s="16" t="s">
        <v>24</v>
      </c>
      <c r="C27" s="40"/>
      <c r="D27" s="121">
        <f>'FY21-22'!$D27-'FY08-09'!$D25</f>
        <v>-14404067</v>
      </c>
      <c r="E27" s="122">
        <f>'FY21-22'!$E27-'FY08-09'!$E25</f>
        <v>0</v>
      </c>
      <c r="F27" s="122">
        <f>'FY21-22'!$F27-'FY08-09'!$F25</f>
        <v>-14404067</v>
      </c>
      <c r="G27" s="121">
        <f>'FY21-22'!G27-'FY08-09'!G25</f>
        <v>-40336977</v>
      </c>
      <c r="H27" s="121">
        <f>'FY21-22'!J27-'FY08-09'!J25</f>
        <v>-1330426</v>
      </c>
      <c r="I27" s="121">
        <f>'FY21-22'!K27-'FY08-09'!K25</f>
        <v>-4547674</v>
      </c>
      <c r="J27" s="121">
        <f t="shared" ref="J27:J37" si="2">F27+G27+H27+I27</f>
        <v>-60619144</v>
      </c>
      <c r="K27" s="95"/>
    </row>
    <row r="28" spans="1:11" x14ac:dyDescent="0.25">
      <c r="A28" s="15"/>
      <c r="B28" s="16" t="s">
        <v>25</v>
      </c>
      <c r="C28" s="40"/>
      <c r="D28" s="121">
        <f>'FY21-22'!$D28-'FY08-09'!$D26</f>
        <v>-6883655</v>
      </c>
      <c r="E28" s="122">
        <f>'FY21-22'!$E28-'FY08-09'!$E26</f>
        <v>-2588390</v>
      </c>
      <c r="F28" s="122">
        <f>'FY21-22'!$F28-'FY08-09'!$F26</f>
        <v>-9472045</v>
      </c>
      <c r="G28" s="121">
        <f>'FY21-22'!G28-'FY08-09'!G26</f>
        <v>0</v>
      </c>
      <c r="H28" s="121">
        <f>'FY21-22'!J28-'FY08-09'!J26</f>
        <v>540000</v>
      </c>
      <c r="I28" s="121">
        <f>'FY21-22'!K28-'FY08-09'!K26</f>
        <v>0</v>
      </c>
      <c r="J28" s="121">
        <f t="shared" si="2"/>
        <v>-8932045</v>
      </c>
      <c r="K28" s="95"/>
    </row>
    <row r="29" spans="1:11" x14ac:dyDescent="0.25">
      <c r="A29" s="15"/>
      <c r="B29" s="16" t="s">
        <v>26</v>
      </c>
      <c r="C29" s="40"/>
      <c r="D29" s="121">
        <f>'FY21-22'!$D29-'FY08-09'!$D27</f>
        <v>-6798343</v>
      </c>
      <c r="E29" s="122">
        <f>'FY21-22'!$E29-'FY08-09'!$E27</f>
        <v>-100317</v>
      </c>
      <c r="F29" s="122">
        <f>'FY21-22'!$F29-'FY08-09'!$F27</f>
        <v>-6898660</v>
      </c>
      <c r="G29" s="121">
        <f>'FY21-22'!G29-'FY08-09'!G27</f>
        <v>0</v>
      </c>
      <c r="H29" s="121">
        <f>'FY21-22'!J29-'FY08-09'!J27</f>
        <v>13734321</v>
      </c>
      <c r="I29" s="121">
        <f>'FY21-22'!K29-'FY08-09'!K27</f>
        <v>0</v>
      </c>
      <c r="J29" s="121">
        <f t="shared" si="2"/>
        <v>6835661</v>
      </c>
      <c r="K29" s="95"/>
    </row>
    <row r="30" spans="1:11" x14ac:dyDescent="0.25">
      <c r="A30" s="15"/>
      <c r="B30" s="16" t="s">
        <v>27</v>
      </c>
      <c r="C30" s="40"/>
      <c r="D30" s="121">
        <f>'FY21-22'!$D30-'FY08-09'!$D28</f>
        <v>-114238720</v>
      </c>
      <c r="E30" s="122">
        <f>'FY21-22'!$E30-'FY08-09'!$E28</f>
        <v>-3220994</v>
      </c>
      <c r="F30" s="122">
        <f>'FY21-22'!$F30-'FY08-09'!$F28</f>
        <v>-117459714</v>
      </c>
      <c r="G30" s="121">
        <f>'FY21-22'!G30-'FY08-09'!G28</f>
        <v>-2969425</v>
      </c>
      <c r="H30" s="121">
        <f>'FY21-22'!J30-'FY08-09'!J28</f>
        <v>308333075</v>
      </c>
      <c r="I30" s="121">
        <f>'FY21-22'!K30-'FY08-09'!K28</f>
        <v>0</v>
      </c>
      <c r="J30" s="121">
        <f t="shared" si="2"/>
        <v>187903936</v>
      </c>
      <c r="K30" s="95"/>
    </row>
    <row r="31" spans="1:11" x14ac:dyDescent="0.25">
      <c r="A31" s="15"/>
      <c r="B31" s="16" t="s">
        <v>28</v>
      </c>
      <c r="C31" s="40"/>
      <c r="D31" s="121">
        <f>'FY21-22'!$D31-'FY08-09'!$D29</f>
        <v>-10192973</v>
      </c>
      <c r="E31" s="122">
        <f>'FY21-22'!$E31-'FY08-09'!$E29</f>
        <v>-470000</v>
      </c>
      <c r="F31" s="122">
        <f>'FY21-22'!$F31-'FY08-09'!$F29</f>
        <v>-10662973</v>
      </c>
      <c r="G31" s="121">
        <f>'FY21-22'!G31-'FY08-09'!G29</f>
        <v>0</v>
      </c>
      <c r="H31" s="121">
        <f>'FY21-22'!J31-'FY08-09'!J29</f>
        <v>0</v>
      </c>
      <c r="I31" s="121">
        <f>'FY21-22'!K31-'FY08-09'!K29</f>
        <v>0</v>
      </c>
      <c r="J31" s="121">
        <f t="shared" si="2"/>
        <v>-10662973</v>
      </c>
      <c r="K31" s="95"/>
    </row>
    <row r="32" spans="1:11" x14ac:dyDescent="0.25">
      <c r="A32" s="15"/>
      <c r="B32" s="16" t="s">
        <v>29</v>
      </c>
      <c r="C32" s="40"/>
      <c r="D32" s="121">
        <f>'FY21-22'!$D32-'FY08-09'!$D30</f>
        <v>-3682424</v>
      </c>
      <c r="E32" s="122">
        <f>'FY21-22'!$E32-'FY08-09'!$E30</f>
        <v>-93368</v>
      </c>
      <c r="F32" s="122">
        <f>'FY21-22'!$F32-'FY08-09'!$F30</f>
        <v>-3775792</v>
      </c>
      <c r="G32" s="121">
        <f>'FY21-22'!G32-'FY08-09'!G30</f>
        <v>0</v>
      </c>
      <c r="H32" s="121">
        <f>'FY21-22'!J32-'FY08-09'!J30</f>
        <v>5556894</v>
      </c>
      <c r="I32" s="121">
        <f>'FY21-22'!K32-'FY08-09'!K30</f>
        <v>0</v>
      </c>
      <c r="J32" s="121">
        <f t="shared" si="2"/>
        <v>1781102</v>
      </c>
      <c r="K32" s="95"/>
    </row>
    <row r="33" spans="1:13" x14ac:dyDescent="0.25">
      <c r="A33" s="15"/>
      <c r="B33" s="16" t="s">
        <v>30</v>
      </c>
      <c r="C33" s="40"/>
      <c r="D33" s="121">
        <f>'FY21-22'!$D33-'FY08-09'!$D31</f>
        <v>-36775992</v>
      </c>
      <c r="E33" s="122">
        <f>'FY21-22'!$E33-'FY08-09'!$E31</f>
        <v>-19040140</v>
      </c>
      <c r="F33" s="122">
        <f>'FY21-22'!$F33-'FY08-09'!$F31</f>
        <v>-55816132</v>
      </c>
      <c r="G33" s="121">
        <f>'FY21-22'!G33-'FY08-09'!G31</f>
        <v>-39169464</v>
      </c>
      <c r="H33" s="121">
        <f>'FY21-22'!J33-'FY08-09'!J31</f>
        <v>47436871</v>
      </c>
      <c r="I33" s="121">
        <f>'FY21-22'!K33-'FY08-09'!K31</f>
        <v>0</v>
      </c>
      <c r="J33" s="121">
        <f t="shared" si="2"/>
        <v>-47548725</v>
      </c>
      <c r="K33" s="95"/>
    </row>
    <row r="34" spans="1:13" x14ac:dyDescent="0.25">
      <c r="A34" s="15"/>
      <c r="B34" s="16" t="s">
        <v>31</v>
      </c>
      <c r="C34" s="40"/>
      <c r="D34" s="121">
        <f>'FY21-22'!$D34-'FY08-09'!$D32</f>
        <v>-14030095</v>
      </c>
      <c r="E34" s="122">
        <f>'FY21-22'!$E34-'FY08-09'!$E32</f>
        <v>-3281210</v>
      </c>
      <c r="F34" s="122">
        <f>'FY21-22'!$F34-'FY08-09'!$F32</f>
        <v>-17311305</v>
      </c>
      <c r="G34" s="121">
        <f>'FY21-22'!G34-'FY08-09'!G32</f>
        <v>-233825128</v>
      </c>
      <c r="H34" s="121">
        <f>'FY21-22'!J34-'FY08-09'!J32</f>
        <v>-29203880</v>
      </c>
      <c r="I34" s="121">
        <f>'FY21-22'!K34-'FY08-09'!K32</f>
        <v>-49466921</v>
      </c>
      <c r="J34" s="121">
        <f t="shared" si="2"/>
        <v>-329807234</v>
      </c>
      <c r="K34" s="95"/>
    </row>
    <row r="35" spans="1:13" x14ac:dyDescent="0.25">
      <c r="A35" s="15"/>
      <c r="B35" s="16" t="s">
        <v>32</v>
      </c>
      <c r="C35" s="40"/>
      <c r="D35" s="121">
        <f>'FY21-22'!$D35-'FY08-09'!$D33</f>
        <v>-7804908</v>
      </c>
      <c r="E35" s="122">
        <f>'FY21-22'!$E35-'FY08-09'!$E33</f>
        <v>-436112</v>
      </c>
      <c r="F35" s="122">
        <f>'FY21-22'!$F35-'FY08-09'!$F33</f>
        <v>-8241020</v>
      </c>
      <c r="G35" s="121">
        <f>'FY21-22'!G35-'FY08-09'!G33</f>
        <v>0</v>
      </c>
      <c r="H35" s="121">
        <f>'FY21-22'!J35-'FY08-09'!J33</f>
        <v>42717423</v>
      </c>
      <c r="I35" s="121">
        <f>'FY21-22'!K35-'FY08-09'!K33</f>
        <v>0</v>
      </c>
      <c r="J35" s="121">
        <f t="shared" si="2"/>
        <v>34476403</v>
      </c>
      <c r="K35" s="95"/>
    </row>
    <row r="36" spans="1:13" x14ac:dyDescent="0.25">
      <c r="A36" s="15"/>
      <c r="B36" s="16" t="s">
        <v>33</v>
      </c>
      <c r="C36" s="40"/>
      <c r="D36" s="121">
        <f>'FY21-22'!$D36-'FY08-09'!$D34</f>
        <v>-10070297</v>
      </c>
      <c r="E36" s="122">
        <f>'FY21-22'!$E36-'FY08-09'!$E34</f>
        <v>-492457</v>
      </c>
      <c r="F36" s="122">
        <f>'FY21-22'!$F36-'FY08-09'!$F34</f>
        <v>-10562754</v>
      </c>
      <c r="G36" s="121">
        <f>'FY21-22'!G36-'FY08-09'!G34</f>
        <v>0</v>
      </c>
      <c r="H36" s="121">
        <f>'FY21-22'!J36-'FY08-09'!J34</f>
        <v>-10069012</v>
      </c>
      <c r="I36" s="121">
        <f>'FY21-22'!K36-'FY08-09'!K34</f>
        <v>0</v>
      </c>
      <c r="J36" s="121">
        <f t="shared" si="2"/>
        <v>-20631766</v>
      </c>
      <c r="K36" s="95"/>
    </row>
    <row r="37" spans="1:13" x14ac:dyDescent="0.25">
      <c r="A37" s="15"/>
      <c r="B37" s="16" t="s">
        <v>34</v>
      </c>
      <c r="C37" s="40"/>
      <c r="D37" s="121">
        <f>'FY21-22'!$D37-'FY08-09'!$D35</f>
        <v>8486772</v>
      </c>
      <c r="E37" s="122">
        <f>'FY21-22'!$E37-'FY08-09'!$E35</f>
        <v>-35211</v>
      </c>
      <c r="F37" s="122">
        <f>'FY21-22'!$F37-'FY08-09'!$F35</f>
        <v>8451561</v>
      </c>
      <c r="G37" s="121">
        <f>'FY21-22'!G37-'FY08-09'!G35</f>
        <v>0</v>
      </c>
      <c r="H37" s="121">
        <f>'FY21-22'!J37-'FY08-09'!J35</f>
        <v>20000</v>
      </c>
      <c r="I37" s="121">
        <f>'FY21-22'!K37-'FY08-09'!K35</f>
        <v>0</v>
      </c>
      <c r="J37" s="121">
        <f t="shared" si="2"/>
        <v>8471561</v>
      </c>
      <c r="K37" s="95"/>
    </row>
    <row r="38" spans="1:13" ht="14.25" customHeight="1" x14ac:dyDescent="0.25">
      <c r="A38" s="17" t="s">
        <v>35</v>
      </c>
      <c r="B38" s="18"/>
      <c r="C38" s="40"/>
      <c r="D38" s="115">
        <f>SUM(D26:D37)</f>
        <v>-229685636</v>
      </c>
      <c r="E38" s="116">
        <f>SUM(E26:E37)</f>
        <v>-29758199</v>
      </c>
      <c r="F38" s="116">
        <f t="shared" ref="F38:G38" si="3">SUM(F26:F37)</f>
        <v>-259443835</v>
      </c>
      <c r="G38" s="115">
        <f t="shared" si="3"/>
        <v>-384143641</v>
      </c>
      <c r="H38" s="115">
        <f>SUM(H26:H37)</f>
        <v>376098746</v>
      </c>
      <c r="I38" s="115">
        <f>SUM(I26:I37)</f>
        <v>-60939879</v>
      </c>
      <c r="J38" s="115">
        <f>SUM(J26:J37)</f>
        <v>-328428609</v>
      </c>
      <c r="K38" s="96"/>
    </row>
    <row r="39" spans="1:13" x14ac:dyDescent="0.25">
      <c r="A39" s="14" t="s">
        <v>36</v>
      </c>
      <c r="B39" s="14" t="s">
        <v>37</v>
      </c>
      <c r="C39" s="40"/>
      <c r="D39" s="121">
        <f>'FY21-22'!$D39-'FY08-09'!$D37</f>
        <v>1763053</v>
      </c>
      <c r="E39" s="122">
        <f>'FY21-22'!$E39-'FY08-09'!$E37</f>
        <v>-20790</v>
      </c>
      <c r="F39" s="122">
        <f>'FY21-22'!$F39-'FY08-09'!$F37</f>
        <v>1742263</v>
      </c>
      <c r="G39" s="121">
        <f>'FY21-22'!G39-'FY08-09'!G37</f>
        <v>0</v>
      </c>
      <c r="H39" s="121">
        <f>'FY21-22'!J39-'FY08-09'!J37</f>
        <v>0</v>
      </c>
      <c r="I39" s="121">
        <f>'FY21-22'!K39-'FY08-09'!K37</f>
        <v>617998</v>
      </c>
      <c r="J39" s="121">
        <f>F39+G39+H39+I39</f>
        <v>2360261</v>
      </c>
      <c r="K39" s="95"/>
    </row>
    <row r="40" spans="1:13" x14ac:dyDescent="0.25">
      <c r="A40" s="15"/>
      <c r="B40" s="16" t="s">
        <v>38</v>
      </c>
      <c r="C40" s="40"/>
      <c r="D40" s="121">
        <f>'FY21-22'!$D40-'FY08-09'!$D38</f>
        <v>-32749482</v>
      </c>
      <c r="E40" s="122">
        <f>'FY21-22'!$E40-'FY08-09'!$E38</f>
        <v>-681749</v>
      </c>
      <c r="F40" s="122">
        <f>'FY21-22'!$F40-'FY08-09'!$F38</f>
        <v>-33431231</v>
      </c>
      <c r="G40" s="121">
        <f>'FY21-22'!G40-'FY08-09'!G38</f>
        <v>1688634</v>
      </c>
      <c r="H40" s="121">
        <f>'FY21-22'!J40-'FY08-09'!J38</f>
        <v>26896282</v>
      </c>
      <c r="I40" s="121">
        <f>'FY21-22'!K40-'FY08-09'!K38</f>
        <v>0</v>
      </c>
      <c r="J40" s="121">
        <f t="shared" ref="J40:J44" si="4">F40+G40+H40+I40</f>
        <v>-4846315</v>
      </c>
      <c r="K40" s="95"/>
    </row>
    <row r="41" spans="1:13" x14ac:dyDescent="0.25">
      <c r="A41" s="15"/>
      <c r="B41" s="16" t="s">
        <v>39</v>
      </c>
      <c r="C41" s="40"/>
      <c r="D41" s="121">
        <f>'FY21-22'!$D41-'FY08-09'!$D39</f>
        <v>-2525758</v>
      </c>
      <c r="E41" s="122">
        <f>'FY21-22'!$E41-'FY08-09'!$E39</f>
        <v>-75736</v>
      </c>
      <c r="F41" s="122">
        <f>'FY21-22'!$F41-'FY08-09'!$F39</f>
        <v>-2601494</v>
      </c>
      <c r="G41" s="121">
        <f>'FY21-22'!G41-'FY08-09'!G39</f>
        <v>0</v>
      </c>
      <c r="H41" s="121">
        <f>'FY21-22'!J41-'FY08-09'!J39</f>
        <v>14317051</v>
      </c>
      <c r="I41" s="121">
        <f>'FY21-22'!K41-'FY08-09'!K39</f>
        <v>0</v>
      </c>
      <c r="J41" s="121">
        <f t="shared" si="4"/>
        <v>11715557</v>
      </c>
      <c r="K41" s="95"/>
    </row>
    <row r="42" spans="1:13" x14ac:dyDescent="0.25">
      <c r="A42" s="15"/>
      <c r="B42" s="16" t="s">
        <v>40</v>
      </c>
      <c r="C42" s="40"/>
      <c r="D42" s="121">
        <f>'FY21-22'!$D42-'FY08-09'!$D40</f>
        <v>-8763425.3000000007</v>
      </c>
      <c r="E42" s="122">
        <f>'FY21-22'!$E42-'FY08-09'!$E40</f>
        <v>-198289.3</v>
      </c>
      <c r="F42" s="122">
        <f>'FY21-22'!$F42-'FY08-09'!$F40</f>
        <v>-8961714.5999999996</v>
      </c>
      <c r="G42" s="121">
        <f>'FY21-22'!G42-'FY08-09'!G40</f>
        <v>0</v>
      </c>
      <c r="H42" s="121">
        <f>'FY21-22'!J42-'FY08-09'!J40</f>
        <v>8738692</v>
      </c>
      <c r="I42" s="121">
        <f>'FY21-22'!K42-'FY08-09'!K40</f>
        <v>0</v>
      </c>
      <c r="J42" s="121">
        <f t="shared" si="4"/>
        <v>-223022.59999999963</v>
      </c>
      <c r="K42" s="95"/>
    </row>
    <row r="43" spans="1:13" x14ac:dyDescent="0.25">
      <c r="A43" s="15"/>
      <c r="B43" s="16" t="s">
        <v>41</v>
      </c>
      <c r="C43" s="40"/>
      <c r="D43" s="121">
        <f>'FY21-22'!$D43-'FY08-09'!$D41</f>
        <v>-2576755</v>
      </c>
      <c r="E43" s="122">
        <f>'FY21-22'!$E43-'FY08-09'!$E41</f>
        <v>-420966</v>
      </c>
      <c r="F43" s="122">
        <f>'FY21-22'!$F43-'FY08-09'!$F41</f>
        <v>-2997721</v>
      </c>
      <c r="G43" s="121">
        <f>'FY21-22'!G43-'FY08-09'!G41</f>
        <v>0</v>
      </c>
      <c r="H43" s="121">
        <f>'FY21-22'!J43-'FY08-09'!J41</f>
        <v>5463688</v>
      </c>
      <c r="I43" s="121">
        <f>'FY21-22'!K43-'FY08-09'!K41</f>
        <v>0</v>
      </c>
      <c r="J43" s="121">
        <f t="shared" si="4"/>
        <v>2465967</v>
      </c>
      <c r="K43" s="95"/>
    </row>
    <row r="44" spans="1:13" x14ac:dyDescent="0.25">
      <c r="A44" s="15"/>
      <c r="B44" s="16" t="s">
        <v>42</v>
      </c>
      <c r="C44" s="40"/>
      <c r="D44" s="121">
        <f>'FY21-22'!$D44-'FY08-09'!$D42</f>
        <v>-956</v>
      </c>
      <c r="E44" s="122">
        <f>'FY21-22'!$E44-'FY08-09'!$E42</f>
        <v>0</v>
      </c>
      <c r="F44" s="122">
        <f>'FY21-22'!$F44-'FY08-09'!$F42</f>
        <v>-956</v>
      </c>
      <c r="G44" s="121">
        <f>'FY21-22'!G44-'FY08-09'!G42</f>
        <v>0</v>
      </c>
      <c r="H44" s="121">
        <f>'FY21-22'!J44-'FY08-09'!J42</f>
        <v>0</v>
      </c>
      <c r="I44" s="121">
        <f>'FY21-22'!K44-'FY08-09'!K42</f>
        <v>0</v>
      </c>
      <c r="J44" s="121">
        <f t="shared" si="4"/>
        <v>-956</v>
      </c>
      <c r="K44" s="95"/>
    </row>
    <row r="45" spans="1:13" x14ac:dyDescent="0.25">
      <c r="A45" s="17" t="s">
        <v>43</v>
      </c>
      <c r="B45" s="18"/>
      <c r="C45" s="40"/>
      <c r="D45" s="124">
        <f>SUM(D39:D44)</f>
        <v>-44853323.299999997</v>
      </c>
      <c r="E45" s="125">
        <f>SUM(E39:E44)</f>
        <v>-1397530.3</v>
      </c>
      <c r="F45" s="125">
        <f t="shared" ref="F45:G45" si="5">SUM(F39:F44)</f>
        <v>-46250853.600000001</v>
      </c>
      <c r="G45" s="124">
        <f t="shared" si="5"/>
        <v>1688634</v>
      </c>
      <c r="H45" s="124">
        <f>SUM(H39:H44)</f>
        <v>55415713</v>
      </c>
      <c r="I45" s="124">
        <f>SUM(I39:I44)</f>
        <v>617998</v>
      </c>
      <c r="J45" s="124">
        <f>SUM(J39:J44)</f>
        <v>11471491.4</v>
      </c>
      <c r="K45" s="96"/>
    </row>
    <row r="46" spans="1:13" x14ac:dyDescent="0.25">
      <c r="A46" s="14" t="s">
        <v>44</v>
      </c>
      <c r="B46" s="14" t="s">
        <v>45</v>
      </c>
      <c r="C46" s="40"/>
      <c r="D46" s="121">
        <f>'FY21-22'!$D46-'FY08-09'!$D44</f>
        <v>-15413022</v>
      </c>
      <c r="E46" s="122">
        <f>'FY21-22'!$E46-'FY08-09'!$E44</f>
        <v>-390315</v>
      </c>
      <c r="F46" s="122">
        <f>'FY21-22'!$F46-'FY08-09'!$F44</f>
        <v>-15803337</v>
      </c>
      <c r="G46" s="121">
        <f>'FY21-22'!G46-'FY08-09'!G44</f>
        <v>0</v>
      </c>
      <c r="H46" s="121">
        <f>'FY21-22'!J46-'FY08-09'!J44</f>
        <v>10557476</v>
      </c>
      <c r="I46" s="121">
        <f>'FY21-22'!K46-'FY08-09'!K44</f>
        <v>0</v>
      </c>
      <c r="J46" s="121">
        <f>F46+G46+H46+I46</f>
        <v>-5245861</v>
      </c>
      <c r="K46" s="95"/>
      <c r="M46" s="64"/>
    </row>
    <row r="47" spans="1:13" x14ac:dyDescent="0.25">
      <c r="A47" s="15"/>
      <c r="B47" s="16" t="s">
        <v>46</v>
      </c>
      <c r="C47" s="40"/>
      <c r="D47" s="121">
        <f>'FY21-22'!$D47-'FY08-09'!$D45</f>
        <v>-25145040</v>
      </c>
      <c r="E47" s="122">
        <f>'FY21-22'!$E47-'FY08-09'!$E45</f>
        <v>-738758</v>
      </c>
      <c r="F47" s="122">
        <f>'FY21-22'!$F47-'FY08-09'!$F45</f>
        <v>-25883798</v>
      </c>
      <c r="G47" s="121">
        <f>'FY21-22'!G47-'FY08-09'!G45</f>
        <v>0</v>
      </c>
      <c r="H47" s="121">
        <f>'FY21-22'!J47-'FY08-09'!J45</f>
        <v>62045031</v>
      </c>
      <c r="I47" s="121">
        <f>'FY21-22'!K47-'FY08-09'!K45</f>
        <v>0</v>
      </c>
      <c r="J47" s="121">
        <f t="shared" ref="J47:J55" si="6">F47+G47+H47+I47</f>
        <v>36161233</v>
      </c>
      <c r="K47" s="95"/>
    </row>
    <row r="48" spans="1:13" x14ac:dyDescent="0.25">
      <c r="A48" s="15"/>
      <c r="B48" s="16" t="s">
        <v>47</v>
      </c>
      <c r="C48" s="40"/>
      <c r="D48" s="121">
        <f>'FY21-22'!$D48-'FY08-09'!$D46</f>
        <v>-25306049</v>
      </c>
      <c r="E48" s="122">
        <f>'FY21-22'!$E48-'FY08-09'!$E46</f>
        <v>347981</v>
      </c>
      <c r="F48" s="122">
        <f>'FY21-22'!$F48-'FY08-09'!$F46</f>
        <v>-24958068</v>
      </c>
      <c r="G48" s="121">
        <f>'FY21-22'!G48-'FY08-09'!G46</f>
        <v>0</v>
      </c>
      <c r="H48" s="121">
        <f>'FY21-22'!J48-'FY08-09'!J46</f>
        <v>26156632</v>
      </c>
      <c r="I48" s="121">
        <f>'FY21-22'!K48-'FY08-09'!K46</f>
        <v>0</v>
      </c>
      <c r="J48" s="121">
        <f t="shared" si="6"/>
        <v>1198564</v>
      </c>
      <c r="K48" s="95"/>
    </row>
    <row r="49" spans="1:13" x14ac:dyDescent="0.25">
      <c r="A49" s="15"/>
      <c r="B49" s="16" t="s">
        <v>48</v>
      </c>
      <c r="C49" s="40"/>
      <c r="D49" s="121">
        <f>'FY21-22'!$D49-'FY08-09'!$D47</f>
        <v>-19579648</v>
      </c>
      <c r="E49" s="122">
        <f>'FY21-22'!$E49-'FY08-09'!$E47</f>
        <v>-418296</v>
      </c>
      <c r="F49" s="122">
        <f>'FY21-22'!$F49-'FY08-09'!$F47</f>
        <v>-19997944</v>
      </c>
      <c r="G49" s="121">
        <f>'FY21-22'!G49-'FY08-09'!G47</f>
        <v>0</v>
      </c>
      <c r="H49" s="121">
        <f>'FY21-22'!J49-'FY08-09'!J47</f>
        <v>21186208</v>
      </c>
      <c r="I49" s="121">
        <f>'FY21-22'!K49-'FY08-09'!K47</f>
        <v>0</v>
      </c>
      <c r="J49" s="121">
        <f t="shared" si="6"/>
        <v>1188264</v>
      </c>
      <c r="K49" s="95"/>
    </row>
    <row r="50" spans="1:13" x14ac:dyDescent="0.25">
      <c r="A50" s="15"/>
      <c r="B50" s="16" t="s">
        <v>49</v>
      </c>
      <c r="C50" s="40"/>
      <c r="D50" s="121">
        <f>'FY21-22'!$D50-'FY08-09'!$D48</f>
        <v>-25003584</v>
      </c>
      <c r="E50" s="122">
        <f>'FY21-22'!$E50-'FY08-09'!$E48</f>
        <v>-487985</v>
      </c>
      <c r="F50" s="122">
        <f>'FY21-22'!$F50-'FY08-09'!$F48</f>
        <v>-25491569</v>
      </c>
      <c r="G50" s="121">
        <f>'FY21-22'!G50-'FY08-09'!G48</f>
        <v>0</v>
      </c>
      <c r="H50" s="121">
        <f>'FY21-22'!J50-'FY08-09'!J48</f>
        <v>30530113</v>
      </c>
      <c r="I50" s="121">
        <f>'FY21-22'!K50-'FY08-09'!K48</f>
        <v>0</v>
      </c>
      <c r="J50" s="121">
        <f t="shared" si="6"/>
        <v>5038544</v>
      </c>
      <c r="K50" s="95"/>
    </row>
    <row r="51" spans="1:13" x14ac:dyDescent="0.25">
      <c r="A51" s="15"/>
      <c r="B51" s="16" t="s">
        <v>50</v>
      </c>
      <c r="C51" s="40"/>
      <c r="D51" s="121">
        <f>'FY21-22'!$D51-'FY08-09'!$D49</f>
        <v>-47498269</v>
      </c>
      <c r="E51" s="122">
        <f>'FY21-22'!$E51-'FY08-09'!$E49</f>
        <v>-773275</v>
      </c>
      <c r="F51" s="122">
        <f>'FY21-22'!$F51-'FY08-09'!$F49</f>
        <v>-48271544</v>
      </c>
      <c r="G51" s="121">
        <f>'FY21-22'!G51-'FY08-09'!G49</f>
        <v>0</v>
      </c>
      <c r="H51" s="121">
        <f>'FY21-22'!J51-'FY08-09'!J49</f>
        <v>48579419</v>
      </c>
      <c r="I51" s="121">
        <f>'FY21-22'!K51-'FY08-09'!K49</f>
        <v>0</v>
      </c>
      <c r="J51" s="121">
        <f t="shared" si="6"/>
        <v>307875</v>
      </c>
      <c r="K51" s="95"/>
    </row>
    <row r="52" spans="1:13" x14ac:dyDescent="0.25">
      <c r="A52" s="15"/>
      <c r="B52" s="16" t="s">
        <v>51</v>
      </c>
      <c r="C52" s="40"/>
      <c r="D52" s="121">
        <f>'FY21-22'!$D52-'FY08-09'!$D50</f>
        <v>-7385560</v>
      </c>
      <c r="E52" s="122">
        <f>'FY21-22'!$E52-'FY08-09'!$E50</f>
        <v>0</v>
      </c>
      <c r="F52" s="122">
        <f>'FY21-22'!$F52-'FY08-09'!$F50</f>
        <v>-7385560</v>
      </c>
      <c r="G52" s="121">
        <f>'FY21-22'!G52-'FY08-09'!G50</f>
        <v>-36000</v>
      </c>
      <c r="H52" s="121">
        <f>'FY21-22'!J52-'FY08-09'!J50</f>
        <v>2272500</v>
      </c>
      <c r="I52" s="121">
        <f>'FY21-22'!K52-'FY08-09'!K50</f>
        <v>0</v>
      </c>
      <c r="J52" s="121">
        <f t="shared" si="6"/>
        <v>-5149060</v>
      </c>
      <c r="K52" s="95"/>
    </row>
    <row r="53" spans="1:13" x14ac:dyDescent="0.25">
      <c r="A53" s="15"/>
      <c r="B53" s="16" t="s">
        <v>52</v>
      </c>
      <c r="C53" s="40"/>
      <c r="D53" s="121">
        <f>'FY21-22'!$D53-'FY08-09'!$D51</f>
        <v>-37408065</v>
      </c>
      <c r="E53" s="122">
        <f>'FY21-22'!$E53-'FY08-09'!$E51</f>
        <v>-1071091</v>
      </c>
      <c r="F53" s="122">
        <f>'FY21-22'!$F53-'FY08-09'!$F51</f>
        <v>-38479156</v>
      </c>
      <c r="G53" s="121">
        <f>'FY21-22'!G53-'FY08-09'!G51</f>
        <v>-6015000</v>
      </c>
      <c r="H53" s="121">
        <f>'FY21-22'!J53-'FY08-09'!J51</f>
        <v>85956978</v>
      </c>
      <c r="I53" s="121">
        <f>'FY21-22'!K53-'FY08-09'!K51</f>
        <v>0</v>
      </c>
      <c r="J53" s="121">
        <f t="shared" si="6"/>
        <v>41462822</v>
      </c>
      <c r="K53" s="95"/>
    </row>
    <row r="54" spans="1:13" x14ac:dyDescent="0.25">
      <c r="A54" s="15"/>
      <c r="B54" s="16" t="s">
        <v>53</v>
      </c>
      <c r="C54" s="40"/>
      <c r="D54" s="121">
        <f>'FY21-22'!$D54-'FY08-09'!$D52</f>
        <v>-26415002</v>
      </c>
      <c r="E54" s="122">
        <f>'FY21-22'!$E54-'FY08-09'!$E52</f>
        <v>-804984</v>
      </c>
      <c r="F54" s="122">
        <f>'FY21-22'!$F54-'FY08-09'!$F52</f>
        <v>-27219986</v>
      </c>
      <c r="G54" s="121">
        <f>'FY21-22'!G54-'FY08-09'!G52</f>
        <v>0</v>
      </c>
      <c r="H54" s="121">
        <f>'FY21-22'!J54-'FY08-09'!J52</f>
        <v>37190595</v>
      </c>
      <c r="I54" s="121">
        <f>'FY21-22'!K54-'FY08-09'!K52</f>
        <v>0</v>
      </c>
      <c r="J54" s="121">
        <f t="shared" si="6"/>
        <v>9970609</v>
      </c>
      <c r="K54" s="95"/>
    </row>
    <row r="55" spans="1:13" x14ac:dyDescent="0.25">
      <c r="A55" s="15"/>
      <c r="B55" s="16" t="s">
        <v>54</v>
      </c>
      <c r="C55" s="40"/>
      <c r="D55" s="121">
        <f>'FY21-22'!$D55-'FY08-09'!$D53</f>
        <v>-45838507</v>
      </c>
      <c r="E55" s="122">
        <f>'FY21-22'!$E55-'FY08-09'!$E53</f>
        <v>-955946</v>
      </c>
      <c r="F55" s="122">
        <f>'FY21-22'!$F55-'FY08-09'!$F53</f>
        <v>-46794453</v>
      </c>
      <c r="G55" s="121">
        <f>'FY21-22'!G55-'FY08-09'!G53</f>
        <v>0</v>
      </c>
      <c r="H55" s="121">
        <f>'FY21-22'!J55-'FY08-09'!J53</f>
        <v>19068123</v>
      </c>
      <c r="I55" s="121">
        <f>'FY21-22'!K55-'FY08-09'!K53</f>
        <v>0</v>
      </c>
      <c r="J55" s="121">
        <f t="shared" si="6"/>
        <v>-27726330</v>
      </c>
      <c r="K55" s="95"/>
    </row>
    <row r="56" spans="1:13" x14ac:dyDescent="0.25">
      <c r="A56" s="12" t="s">
        <v>55</v>
      </c>
      <c r="B56" s="13"/>
      <c r="C56" s="40"/>
      <c r="D56" s="115">
        <f>SUM(D46:D55)</f>
        <v>-274992746</v>
      </c>
      <c r="E56" s="116">
        <f>SUM(E46:E55)</f>
        <v>-5292669</v>
      </c>
      <c r="F56" s="116">
        <f t="shared" ref="F56:G56" si="7">SUM(F46:F55)</f>
        <v>-280285415</v>
      </c>
      <c r="G56" s="115">
        <f t="shared" si="7"/>
        <v>-6051000</v>
      </c>
      <c r="H56" s="115">
        <f>SUM(H46:H55)</f>
        <v>343543075</v>
      </c>
      <c r="I56" s="115">
        <f>SUM(I46:I55)</f>
        <v>0</v>
      </c>
      <c r="J56" s="115">
        <f>SUM(J46:J55)</f>
        <v>57206660</v>
      </c>
      <c r="K56" s="96"/>
      <c r="M56" s="64"/>
    </row>
    <row r="57" spans="1:13" x14ac:dyDescent="0.25">
      <c r="A57" s="12" t="s">
        <v>56</v>
      </c>
      <c r="B57" s="13"/>
      <c r="C57" s="40"/>
      <c r="D57" s="115">
        <f>'FY21-22'!$D57-'FY08-09'!$D55</f>
        <v>-306018836.29999995</v>
      </c>
      <c r="E57" s="116">
        <f>'FY21-22'!$E57-'FY08-09'!$E55</f>
        <v>9861444.6999999881</v>
      </c>
      <c r="F57" s="116">
        <f>'FY21-22'!F57-'FY08-09'!F55</f>
        <v>-296157391.5999999</v>
      </c>
      <c r="G57" s="115">
        <f>'FY21-22'!G57-'FY08-09'!G55</f>
        <v>-401709798</v>
      </c>
      <c r="H57" s="115">
        <f>'FY21-22'!J57-'FY08-09'!J55</f>
        <v>878983574</v>
      </c>
      <c r="I57" s="115">
        <f>'FY21-22'!K57-'FY08-09'!K55</f>
        <v>-21797622</v>
      </c>
      <c r="J57" s="115">
        <f>F57+G57+H57+I57</f>
        <v>159318762.4000001</v>
      </c>
      <c r="K57" s="96"/>
    </row>
    <row r="58" spans="1:13" s="32" customFormat="1" x14ac:dyDescent="0.25">
      <c r="A58" s="38" t="s">
        <v>63</v>
      </c>
      <c r="B58" s="38"/>
      <c r="C58" s="40"/>
      <c r="D58" s="115">
        <f>'FY21-22'!$D58-'FY08-09'!$D56</f>
        <v>-594542193.29999995</v>
      </c>
      <c r="E58" s="116">
        <f>'FY21-22'!$E58-'FY08-09'!$E56</f>
        <v>-48566286.300000012</v>
      </c>
      <c r="F58" s="116">
        <f>'FY21-22'!F58-'FY08-09'!F56</f>
        <v>-643108479.5999999</v>
      </c>
      <c r="G58" s="115">
        <f>'FY21-22'!G58-'FY08-09'!G56</f>
        <v>-88126241</v>
      </c>
      <c r="H58" s="115">
        <f>'FY21-22'!J58-'FY08-09'!J56</f>
        <v>929093904</v>
      </c>
      <c r="I58" s="115">
        <f>'FY21-22'!K58-'FY08-09'!K56</f>
        <v>1726439</v>
      </c>
      <c r="J58" s="115">
        <f>F58+G58+H58+I58</f>
        <v>199585622.4000001</v>
      </c>
      <c r="K58" s="40"/>
      <c r="L58" s="31"/>
    </row>
    <row r="59" spans="1:13" x14ac:dyDescent="0.25">
      <c r="A59" s="7"/>
      <c r="B59" s="7"/>
      <c r="C59" s="7"/>
      <c r="K59" s="7"/>
    </row>
    <row r="60" spans="1:13" x14ac:dyDescent="0.25">
      <c r="A60" s="7"/>
      <c r="B60" s="7"/>
      <c r="C60" s="7"/>
      <c r="K60" s="7"/>
    </row>
  </sheetData>
  <pageMargins left="0.25" right="0.25" top="0.75" bottom="0.75" header="0.3" footer="0.3"/>
  <pageSetup scale="58" orientation="landscape" r:id="rId1"/>
  <ignoredErrors>
    <ignoredError sqref="J56 J45 J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7"/>
  <sheetViews>
    <sheetView workbookViewId="0">
      <pane ySplit="5" topLeftCell="A6" activePane="bottomLeft" state="frozen"/>
      <selection pane="bottomLeft" activeCell="M10" sqref="M10"/>
    </sheetView>
  </sheetViews>
  <sheetFormatPr defaultRowHeight="15" x14ac:dyDescent="0.25"/>
  <cols>
    <col min="2" max="2" width="22.85546875" customWidth="1"/>
    <col min="3" max="3" width="1.42578125" customWidth="1"/>
    <col min="4" max="14" width="16.28515625" style="25" customWidth="1"/>
    <col min="15" max="15" width="1.42578125" customWidth="1"/>
    <col min="16" max="16" width="12.5703125" bestFit="1" customWidth="1"/>
    <col min="17" max="17" width="15.28515625" bestFit="1" customWidth="1"/>
  </cols>
  <sheetData>
    <row r="1" spans="1:18" s="99" customFormat="1" ht="18.75" x14ac:dyDescent="0.3">
      <c r="A1" s="99" t="s">
        <v>94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8" s="99" customFormat="1" ht="18.75" x14ac:dyDescent="0.3">
      <c r="A2" s="101" t="s">
        <v>71</v>
      </c>
      <c r="B2" s="101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</row>
    <row r="3" spans="1:18" s="99" customFormat="1" ht="18.75" x14ac:dyDescent="0.3">
      <c r="A3" s="102"/>
      <c r="B3" s="101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1"/>
    </row>
    <row r="4" spans="1:18" x14ac:dyDescent="0.25">
      <c r="A4" s="1"/>
      <c r="B4" s="2"/>
      <c r="C4" s="9"/>
      <c r="O4" s="9"/>
    </row>
    <row r="5" spans="1:18" ht="45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73" t="s">
        <v>73</v>
      </c>
      <c r="H5" s="73" t="s">
        <v>74</v>
      </c>
      <c r="I5" s="26" t="s">
        <v>72</v>
      </c>
      <c r="J5" s="73" t="s">
        <v>88</v>
      </c>
      <c r="K5" s="73" t="s">
        <v>68</v>
      </c>
      <c r="L5" s="26" t="s">
        <v>60</v>
      </c>
      <c r="M5" s="26" t="s">
        <v>61</v>
      </c>
      <c r="N5" s="26" t="s">
        <v>62</v>
      </c>
      <c r="O5" s="4"/>
    </row>
    <row r="6" spans="1:18" x14ac:dyDescent="0.25">
      <c r="A6" s="11" t="s">
        <v>2</v>
      </c>
      <c r="B6" s="11" t="s">
        <v>3</v>
      </c>
      <c r="C6" s="5"/>
      <c r="D6" s="83">
        <f>38460058+3107673</f>
        <v>41567731</v>
      </c>
      <c r="E6" s="83">
        <v>36612600</v>
      </c>
      <c r="F6" s="83">
        <f>D6+E6</f>
        <v>78180331</v>
      </c>
      <c r="G6" s="74">
        <v>0</v>
      </c>
      <c r="H6" s="74">
        <v>16390108</v>
      </c>
      <c r="I6" s="83">
        <f t="shared" ref="I6:I22" si="0">G6+H6</f>
        <v>16390108</v>
      </c>
      <c r="J6" s="74">
        <v>0</v>
      </c>
      <c r="K6" s="74">
        <v>2000000</v>
      </c>
      <c r="L6" s="83">
        <f>J6+K6</f>
        <v>2000000</v>
      </c>
      <c r="M6" s="83">
        <v>15063873</v>
      </c>
      <c r="N6" s="83">
        <f>F6+I6+L6+M6</f>
        <v>111634312</v>
      </c>
      <c r="O6" s="5"/>
    </row>
    <row r="7" spans="1:18" x14ac:dyDescent="0.25">
      <c r="A7" s="21" t="s">
        <v>4</v>
      </c>
      <c r="B7" s="21" t="s">
        <v>4</v>
      </c>
      <c r="C7" s="22"/>
      <c r="D7" s="43">
        <v>0</v>
      </c>
      <c r="E7" s="44">
        <v>0</v>
      </c>
      <c r="F7" s="83">
        <v>0</v>
      </c>
      <c r="G7" s="74">
        <v>0</v>
      </c>
      <c r="H7" s="74">
        <v>0</v>
      </c>
      <c r="I7" s="83">
        <v>0</v>
      </c>
      <c r="J7" s="75">
        <v>0</v>
      </c>
      <c r="K7" s="75">
        <v>0</v>
      </c>
      <c r="L7" s="83">
        <v>0</v>
      </c>
      <c r="M7" s="44">
        <v>0</v>
      </c>
      <c r="N7" s="83">
        <v>0</v>
      </c>
      <c r="O7" s="22"/>
      <c r="P7" s="33"/>
      <c r="Q7" s="29"/>
      <c r="R7" s="30"/>
    </row>
    <row r="8" spans="1:18" x14ac:dyDescent="0.25">
      <c r="A8" s="23" t="s">
        <v>5</v>
      </c>
      <c r="B8" s="23" t="s">
        <v>5</v>
      </c>
      <c r="C8" s="24"/>
      <c r="D8" s="45">
        <f>2702491+218212</f>
        <v>2920703</v>
      </c>
      <c r="E8" s="46">
        <v>41405</v>
      </c>
      <c r="F8" s="83">
        <f>D8+E8</f>
        <v>2962108</v>
      </c>
      <c r="G8" s="74">
        <v>0</v>
      </c>
      <c r="H8" s="74">
        <v>850000</v>
      </c>
      <c r="I8" s="83">
        <f t="shared" si="0"/>
        <v>850000</v>
      </c>
      <c r="J8" s="76">
        <v>0</v>
      </c>
      <c r="K8" s="76">
        <v>1100000</v>
      </c>
      <c r="L8" s="83">
        <f t="shared" ref="L8:L22" si="1">J8+K8</f>
        <v>1100000</v>
      </c>
      <c r="M8" s="46">
        <v>4034667</v>
      </c>
      <c r="N8" s="83">
        <f t="shared" ref="N8:N39" si="2">F8+I8+L8+M8</f>
        <v>8946775</v>
      </c>
      <c r="O8" s="24"/>
      <c r="P8" s="30"/>
      <c r="Q8" s="30"/>
      <c r="R8" s="30"/>
    </row>
    <row r="9" spans="1:18" x14ac:dyDescent="0.25">
      <c r="A9" s="16" t="s">
        <v>6</v>
      </c>
      <c r="B9" s="16" t="s">
        <v>7</v>
      </c>
      <c r="C9" s="3"/>
      <c r="D9" s="27">
        <f>14914384+1278153</f>
        <v>16192537</v>
      </c>
      <c r="E9" s="28">
        <f>108127+228735</f>
        <v>336862</v>
      </c>
      <c r="F9" s="28">
        <f>D9+E9</f>
        <v>16529399</v>
      </c>
      <c r="G9" s="77">
        <v>2100337</v>
      </c>
      <c r="H9" s="77">
        <v>0</v>
      </c>
      <c r="I9" s="28">
        <f t="shared" si="0"/>
        <v>2100337</v>
      </c>
      <c r="J9" s="77">
        <v>11365849</v>
      </c>
      <c r="K9" s="77">
        <v>0</v>
      </c>
      <c r="L9" s="28">
        <f t="shared" si="1"/>
        <v>11365849</v>
      </c>
      <c r="M9" s="28">
        <v>0</v>
      </c>
      <c r="N9" s="28">
        <f t="shared" si="2"/>
        <v>29995585</v>
      </c>
      <c r="O9" s="3"/>
      <c r="P9" s="30"/>
      <c r="Q9" s="30"/>
      <c r="R9" s="30"/>
    </row>
    <row r="10" spans="1:18" x14ac:dyDescent="0.25">
      <c r="A10" s="15"/>
      <c r="B10" s="16" t="s">
        <v>8</v>
      </c>
      <c r="C10" s="3"/>
      <c r="D10" s="27">
        <f>10911510+958878</f>
        <v>11870388</v>
      </c>
      <c r="E10" s="28">
        <f>81117+355520</f>
        <v>436637</v>
      </c>
      <c r="F10" s="28">
        <f>D10+E10</f>
        <v>12307025</v>
      </c>
      <c r="G10" s="77">
        <v>1709724</v>
      </c>
      <c r="H10" s="77">
        <v>0</v>
      </c>
      <c r="I10" s="28">
        <f t="shared" si="0"/>
        <v>1709724</v>
      </c>
      <c r="J10" s="77">
        <v>8233454</v>
      </c>
      <c r="K10" s="77">
        <v>392500</v>
      </c>
      <c r="L10" s="28">
        <f t="shared" si="1"/>
        <v>8625954</v>
      </c>
      <c r="M10" s="28">
        <v>0</v>
      </c>
      <c r="N10" s="28">
        <f t="shared" si="2"/>
        <v>22642703</v>
      </c>
      <c r="O10" s="3"/>
      <c r="P10" s="30"/>
      <c r="Q10" s="30"/>
      <c r="R10" s="30"/>
    </row>
    <row r="11" spans="1:18" x14ac:dyDescent="0.25">
      <c r="A11" s="15"/>
      <c r="B11" s="16" t="s">
        <v>9</v>
      </c>
      <c r="C11" s="3"/>
      <c r="D11" s="27">
        <v>0</v>
      </c>
      <c r="E11" s="28">
        <v>0</v>
      </c>
      <c r="F11" s="28">
        <f t="shared" ref="F11:F22" si="3">D11+E11</f>
        <v>0</v>
      </c>
      <c r="G11" s="77"/>
      <c r="H11" s="77"/>
      <c r="I11" s="28">
        <f t="shared" si="0"/>
        <v>0</v>
      </c>
      <c r="J11" s="77">
        <v>0</v>
      </c>
      <c r="K11" s="77">
        <v>0</v>
      </c>
      <c r="L11" s="28">
        <f t="shared" si="1"/>
        <v>0</v>
      </c>
      <c r="M11" s="28">
        <v>0</v>
      </c>
      <c r="N11" s="28">
        <f t="shared" si="2"/>
        <v>0</v>
      </c>
      <c r="O11" s="3"/>
      <c r="P11" s="30"/>
      <c r="Q11" s="30"/>
      <c r="R11" s="30"/>
    </row>
    <row r="12" spans="1:18" x14ac:dyDescent="0.25">
      <c r="A12" s="15"/>
      <c r="B12" s="16" t="s">
        <v>10</v>
      </c>
      <c r="C12" s="3"/>
      <c r="D12" s="27">
        <f>29616108+2718972</f>
        <v>32335080</v>
      </c>
      <c r="E12" s="28">
        <f>230012+1507117</f>
        <v>1737129</v>
      </c>
      <c r="F12" s="28">
        <f t="shared" si="3"/>
        <v>34072209</v>
      </c>
      <c r="G12" s="77">
        <v>5868081</v>
      </c>
      <c r="H12" s="77">
        <v>0</v>
      </c>
      <c r="I12" s="28">
        <f t="shared" si="0"/>
        <v>5868081</v>
      </c>
      <c r="J12" s="77">
        <v>27595715</v>
      </c>
      <c r="K12" s="77">
        <f>10000+1914500</f>
        <v>1924500</v>
      </c>
      <c r="L12" s="28">
        <f t="shared" si="1"/>
        <v>29520215</v>
      </c>
      <c r="M12" s="28">
        <v>0</v>
      </c>
      <c r="N12" s="28">
        <f t="shared" si="2"/>
        <v>69460505</v>
      </c>
      <c r="O12" s="3"/>
      <c r="P12" s="30"/>
      <c r="Q12" s="30"/>
      <c r="R12" s="30"/>
    </row>
    <row r="13" spans="1:18" x14ac:dyDescent="0.25">
      <c r="A13" s="15"/>
      <c r="B13" s="16" t="s">
        <v>11</v>
      </c>
      <c r="C13" s="3"/>
      <c r="D13" s="27">
        <f>3463684+308785</f>
        <v>3772469</v>
      </c>
      <c r="E13" s="28">
        <f>26122+108241</f>
        <v>134363</v>
      </c>
      <c r="F13" s="28">
        <f t="shared" si="3"/>
        <v>3906832</v>
      </c>
      <c r="G13" s="77">
        <v>650072</v>
      </c>
      <c r="H13" s="77">
        <v>0</v>
      </c>
      <c r="I13" s="28">
        <f t="shared" si="0"/>
        <v>650072</v>
      </c>
      <c r="J13" s="77">
        <v>1691138</v>
      </c>
      <c r="K13" s="77">
        <v>96000</v>
      </c>
      <c r="L13" s="28">
        <f t="shared" si="1"/>
        <v>1787138</v>
      </c>
      <c r="M13" s="28">
        <v>0</v>
      </c>
      <c r="N13" s="28">
        <f t="shared" si="2"/>
        <v>6344042</v>
      </c>
      <c r="O13" s="3"/>
      <c r="P13" s="30"/>
      <c r="Q13" s="30"/>
      <c r="R13" s="30"/>
    </row>
    <row r="14" spans="1:18" x14ac:dyDescent="0.25">
      <c r="A14" s="15"/>
      <c r="B14" s="16" t="s">
        <v>12</v>
      </c>
      <c r="C14" s="3"/>
      <c r="D14" s="27">
        <f>4206599+122506</f>
        <v>4329105</v>
      </c>
      <c r="E14" s="28">
        <v>10000000</v>
      </c>
      <c r="F14" s="28">
        <f t="shared" si="3"/>
        <v>14329105</v>
      </c>
      <c r="G14" s="77">
        <v>0</v>
      </c>
      <c r="H14" s="77">
        <v>0</v>
      </c>
      <c r="I14" s="28">
        <f t="shared" si="0"/>
        <v>0</v>
      </c>
      <c r="J14" s="77">
        <v>0</v>
      </c>
      <c r="K14" s="77">
        <v>0</v>
      </c>
      <c r="L14" s="28">
        <f t="shared" si="1"/>
        <v>0</v>
      </c>
      <c r="M14" s="28">
        <v>0</v>
      </c>
      <c r="N14" s="28">
        <f t="shared" si="2"/>
        <v>14329105</v>
      </c>
      <c r="O14" s="3"/>
      <c r="P14" s="30"/>
      <c r="Q14" s="30"/>
      <c r="R14" s="30"/>
    </row>
    <row r="15" spans="1:18" x14ac:dyDescent="0.25">
      <c r="A15" s="15"/>
      <c r="B15" s="16" t="s">
        <v>13</v>
      </c>
      <c r="C15" s="3"/>
      <c r="D15" s="27">
        <v>0</v>
      </c>
      <c r="E15" s="28">
        <v>0</v>
      </c>
      <c r="F15" s="28">
        <f t="shared" si="3"/>
        <v>0</v>
      </c>
      <c r="G15" s="77">
        <v>0</v>
      </c>
      <c r="H15" s="77">
        <v>0</v>
      </c>
      <c r="I15" s="28">
        <f t="shared" si="0"/>
        <v>0</v>
      </c>
      <c r="J15" s="77">
        <v>0</v>
      </c>
      <c r="K15" s="77">
        <v>0</v>
      </c>
      <c r="L15" s="28">
        <f t="shared" si="1"/>
        <v>0</v>
      </c>
      <c r="M15" s="28">
        <v>0</v>
      </c>
      <c r="N15" s="28">
        <f t="shared" si="2"/>
        <v>0</v>
      </c>
      <c r="O15" s="3"/>
      <c r="P15" s="30"/>
      <c r="Q15" s="30"/>
      <c r="R15" s="30"/>
    </row>
    <row r="16" spans="1:18" x14ac:dyDescent="0.25">
      <c r="A16" s="15"/>
      <c r="B16" s="16" t="s">
        <v>14</v>
      </c>
      <c r="C16" s="3"/>
      <c r="D16" s="27">
        <f>3212605+276986</f>
        <v>3489591</v>
      </c>
      <c r="E16" s="28">
        <f>23432+16665</f>
        <v>40097</v>
      </c>
      <c r="F16" s="28">
        <f t="shared" si="3"/>
        <v>3529688</v>
      </c>
      <c r="G16" s="77">
        <v>729677</v>
      </c>
      <c r="H16" s="77">
        <v>0</v>
      </c>
      <c r="I16" s="28">
        <f t="shared" si="0"/>
        <v>729677</v>
      </c>
      <c r="J16" s="77">
        <v>2378686</v>
      </c>
      <c r="K16" s="77">
        <v>8500</v>
      </c>
      <c r="L16" s="28">
        <f t="shared" si="1"/>
        <v>2387186</v>
      </c>
      <c r="M16" s="28">
        <v>0</v>
      </c>
      <c r="N16" s="28">
        <f t="shared" si="2"/>
        <v>6646551</v>
      </c>
      <c r="O16" s="3"/>
      <c r="P16" s="30"/>
      <c r="Q16" s="30"/>
      <c r="R16" s="30"/>
    </row>
    <row r="17" spans="1:18" x14ac:dyDescent="0.25">
      <c r="A17" s="15"/>
      <c r="B17" s="16" t="s">
        <v>15</v>
      </c>
      <c r="C17" s="3"/>
      <c r="D17" s="27">
        <f>54467345+5089774</f>
        <v>59557119</v>
      </c>
      <c r="E17" s="28">
        <f>430571+2814281</f>
        <v>3244852</v>
      </c>
      <c r="F17" s="28">
        <f t="shared" si="3"/>
        <v>62801971</v>
      </c>
      <c r="G17" s="77">
        <v>11892426</v>
      </c>
      <c r="H17" s="77">
        <v>0</v>
      </c>
      <c r="I17" s="28">
        <f t="shared" si="0"/>
        <v>11892426</v>
      </c>
      <c r="J17" s="77">
        <v>13188894</v>
      </c>
      <c r="K17" s="77">
        <f>576620+630366</f>
        <v>1206986</v>
      </c>
      <c r="L17" s="28">
        <f t="shared" si="1"/>
        <v>14395880</v>
      </c>
      <c r="M17" s="28">
        <v>0</v>
      </c>
      <c r="N17" s="28">
        <f t="shared" si="2"/>
        <v>89090277</v>
      </c>
      <c r="O17" s="3"/>
      <c r="P17" s="30"/>
      <c r="Q17" s="30"/>
      <c r="R17" s="30"/>
    </row>
    <row r="18" spans="1:18" x14ac:dyDescent="0.25">
      <c r="A18" s="15"/>
      <c r="B18" s="16" t="s">
        <v>16</v>
      </c>
      <c r="C18" s="3"/>
      <c r="D18" s="27">
        <f>3722395+308477</f>
        <v>4030872</v>
      </c>
      <c r="E18" s="28">
        <f>26096+148141</f>
        <v>174237</v>
      </c>
      <c r="F18" s="28">
        <f t="shared" si="3"/>
        <v>4205109</v>
      </c>
      <c r="G18" s="77">
        <v>807766</v>
      </c>
      <c r="H18" s="77">
        <v>0</v>
      </c>
      <c r="I18" s="28">
        <f t="shared" si="0"/>
        <v>807766</v>
      </c>
      <c r="J18" s="77">
        <v>3028377</v>
      </c>
      <c r="K18" s="77">
        <f>36600+85291</f>
        <v>121891</v>
      </c>
      <c r="L18" s="28">
        <f t="shared" si="1"/>
        <v>3150268</v>
      </c>
      <c r="M18" s="28">
        <v>0</v>
      </c>
      <c r="N18" s="28">
        <f t="shared" si="2"/>
        <v>8163143</v>
      </c>
      <c r="O18" s="3"/>
      <c r="P18" s="30"/>
      <c r="Q18" s="30"/>
      <c r="R18" s="30"/>
    </row>
    <row r="19" spans="1:18" x14ac:dyDescent="0.25">
      <c r="A19" s="15"/>
      <c r="B19" s="16" t="s">
        <v>17</v>
      </c>
      <c r="C19" s="3"/>
      <c r="D19" s="27">
        <v>0</v>
      </c>
      <c r="E19" s="28">
        <v>0</v>
      </c>
      <c r="F19" s="28">
        <f t="shared" si="3"/>
        <v>0</v>
      </c>
      <c r="G19" s="77"/>
      <c r="H19" s="77"/>
      <c r="I19" s="28">
        <f t="shared" si="0"/>
        <v>0</v>
      </c>
      <c r="J19" s="77">
        <v>0</v>
      </c>
      <c r="K19" s="77">
        <v>0</v>
      </c>
      <c r="L19" s="28">
        <f t="shared" si="1"/>
        <v>0</v>
      </c>
      <c r="M19" s="28">
        <v>0</v>
      </c>
      <c r="N19" s="28">
        <f t="shared" si="2"/>
        <v>0</v>
      </c>
      <c r="O19" s="3"/>
      <c r="P19" s="30"/>
      <c r="Q19" s="30"/>
      <c r="R19" s="30"/>
    </row>
    <row r="20" spans="1:18" x14ac:dyDescent="0.25">
      <c r="A20" s="15"/>
      <c r="B20" s="16" t="s">
        <v>18</v>
      </c>
      <c r="C20" s="3"/>
      <c r="D20" s="27">
        <f>2314401+200476</f>
        <v>2514877</v>
      </c>
      <c r="E20" s="28">
        <f>16959+29883</f>
        <v>46842</v>
      </c>
      <c r="F20" s="28">
        <f t="shared" si="3"/>
        <v>2561719</v>
      </c>
      <c r="G20" s="77">
        <v>480150</v>
      </c>
      <c r="H20" s="77">
        <v>0</v>
      </c>
      <c r="I20" s="28">
        <f t="shared" si="0"/>
        <v>480150</v>
      </c>
      <c r="J20" s="77">
        <v>1631393</v>
      </c>
      <c r="K20" s="77">
        <v>0</v>
      </c>
      <c r="L20" s="28">
        <f t="shared" si="1"/>
        <v>1631393</v>
      </c>
      <c r="M20" s="28">
        <v>0</v>
      </c>
      <c r="N20" s="28">
        <f t="shared" si="2"/>
        <v>4673262</v>
      </c>
      <c r="O20" s="3"/>
      <c r="P20" s="30"/>
      <c r="Q20" s="30"/>
      <c r="R20" s="30"/>
    </row>
    <row r="21" spans="1:18" x14ac:dyDescent="0.25">
      <c r="A21" s="15"/>
      <c r="B21" s="16" t="s">
        <v>19</v>
      </c>
      <c r="C21" s="3"/>
      <c r="D21" s="27">
        <f>5496113+507983</f>
        <v>6004096</v>
      </c>
      <c r="E21" s="28">
        <f>42973+45780</f>
        <v>88753</v>
      </c>
      <c r="F21" s="28">
        <f t="shared" si="3"/>
        <v>6092849</v>
      </c>
      <c r="G21" s="77">
        <v>1234933</v>
      </c>
      <c r="H21" s="77">
        <v>0</v>
      </c>
      <c r="I21" s="28">
        <f t="shared" si="0"/>
        <v>1234933</v>
      </c>
      <c r="J21" s="77">
        <v>4659822</v>
      </c>
      <c r="K21" s="77">
        <v>47134</v>
      </c>
      <c r="L21" s="28">
        <f t="shared" si="1"/>
        <v>4706956</v>
      </c>
      <c r="M21" s="28">
        <v>0</v>
      </c>
      <c r="N21" s="28">
        <f t="shared" si="2"/>
        <v>12034738</v>
      </c>
      <c r="O21" s="3"/>
      <c r="P21" s="30"/>
      <c r="Q21" s="30"/>
      <c r="R21" s="30"/>
    </row>
    <row r="22" spans="1:18" x14ac:dyDescent="0.25">
      <c r="A22" s="15"/>
      <c r="B22" s="16" t="s">
        <v>20</v>
      </c>
      <c r="C22" s="3"/>
      <c r="D22" s="27">
        <f>5553732+400779</f>
        <v>5954511</v>
      </c>
      <c r="E22" s="28">
        <f>33904+248029+175201</f>
        <v>457134</v>
      </c>
      <c r="F22" s="28">
        <f t="shared" si="3"/>
        <v>6411645</v>
      </c>
      <c r="G22" s="77">
        <v>1087514</v>
      </c>
      <c r="H22" s="77">
        <v>0</v>
      </c>
      <c r="I22" s="28">
        <f t="shared" si="0"/>
        <v>1087514</v>
      </c>
      <c r="J22" s="77">
        <v>2862136</v>
      </c>
      <c r="K22" s="77">
        <f>52428+350188</f>
        <v>402616</v>
      </c>
      <c r="L22" s="28">
        <f t="shared" si="1"/>
        <v>3264752</v>
      </c>
      <c r="M22" s="28">
        <v>0</v>
      </c>
      <c r="N22" s="28">
        <f t="shared" si="2"/>
        <v>10763911</v>
      </c>
      <c r="O22" s="3"/>
      <c r="P22" s="30"/>
      <c r="Q22" s="30"/>
      <c r="R22" s="30"/>
    </row>
    <row r="23" spans="1:18" x14ac:dyDescent="0.25">
      <c r="A23" s="17" t="s">
        <v>21</v>
      </c>
      <c r="B23" s="18"/>
      <c r="C23" s="6"/>
      <c r="D23" s="83">
        <f t="shared" ref="D23:M23" si="4">SUM(D9:D22)</f>
        <v>150050645</v>
      </c>
      <c r="E23" s="83">
        <f t="shared" si="4"/>
        <v>16696906</v>
      </c>
      <c r="F23" s="83">
        <f t="shared" si="4"/>
        <v>166747551</v>
      </c>
      <c r="G23" s="74">
        <f>SUM(G9:G22)</f>
        <v>26560680</v>
      </c>
      <c r="H23" s="74">
        <f>SUM(H9:H22)</f>
        <v>0</v>
      </c>
      <c r="I23" s="83">
        <f>SUM(I9:I22)</f>
        <v>26560680</v>
      </c>
      <c r="J23" s="74">
        <f>SUM(J9:J22)</f>
        <v>76635464</v>
      </c>
      <c r="K23" s="74">
        <f>SUM(K9:K22)</f>
        <v>4200127</v>
      </c>
      <c r="L23" s="83">
        <f t="shared" si="4"/>
        <v>80835591</v>
      </c>
      <c r="M23" s="83">
        <f t="shared" si="4"/>
        <v>0</v>
      </c>
      <c r="N23" s="83">
        <f t="shared" si="2"/>
        <v>274143822</v>
      </c>
      <c r="O23" s="6"/>
      <c r="P23" s="30"/>
      <c r="Q23" s="30"/>
      <c r="R23" s="30"/>
    </row>
    <row r="24" spans="1:18" x14ac:dyDescent="0.25">
      <c r="A24" s="14" t="s">
        <v>22</v>
      </c>
      <c r="B24" s="14" t="s">
        <v>23</v>
      </c>
      <c r="C24" s="3"/>
      <c r="D24" s="27">
        <f>10949056+759670</f>
        <v>11708726</v>
      </c>
      <c r="E24" s="28">
        <v>0</v>
      </c>
      <c r="F24" s="28">
        <f t="shared" ref="F24:F35" si="5">D24+E24</f>
        <v>11708726</v>
      </c>
      <c r="G24" s="77">
        <v>0</v>
      </c>
      <c r="H24" s="77">
        <v>62177093</v>
      </c>
      <c r="I24" s="28">
        <f t="shared" ref="I24:I35" si="6">G24+H24</f>
        <v>62177093</v>
      </c>
      <c r="J24" s="77">
        <v>0</v>
      </c>
      <c r="K24" s="77">
        <v>1636520</v>
      </c>
      <c r="L24" s="28">
        <f t="shared" ref="L24:L35" si="7">J24+K24</f>
        <v>1636520</v>
      </c>
      <c r="M24" s="28">
        <v>6925284</v>
      </c>
      <c r="N24" s="28">
        <f t="shared" si="2"/>
        <v>82447623</v>
      </c>
      <c r="O24" s="3"/>
      <c r="P24" s="29"/>
      <c r="Q24" s="29"/>
      <c r="R24" s="30"/>
    </row>
    <row r="25" spans="1:18" x14ac:dyDescent="0.25">
      <c r="A25" s="15"/>
      <c r="B25" s="16" t="s">
        <v>24</v>
      </c>
      <c r="C25" s="3"/>
      <c r="D25" s="27">
        <f>11826163+860775</f>
        <v>12686938</v>
      </c>
      <c r="E25" s="28">
        <v>0</v>
      </c>
      <c r="F25" s="28">
        <f t="shared" si="5"/>
        <v>12686938</v>
      </c>
      <c r="G25" s="77">
        <v>0</v>
      </c>
      <c r="H25" s="77">
        <v>43774298</v>
      </c>
      <c r="I25" s="28">
        <f t="shared" si="6"/>
        <v>43774298</v>
      </c>
      <c r="J25" s="77">
        <v>0</v>
      </c>
      <c r="K25" s="77">
        <v>1330426</v>
      </c>
      <c r="L25" s="28">
        <f t="shared" si="7"/>
        <v>1330426</v>
      </c>
      <c r="M25" s="28">
        <v>4547674</v>
      </c>
      <c r="N25" s="28">
        <f t="shared" si="2"/>
        <v>62339336</v>
      </c>
      <c r="O25" s="3"/>
      <c r="P25" s="29"/>
      <c r="Q25" s="29"/>
      <c r="R25" s="30"/>
    </row>
    <row r="26" spans="1:18" x14ac:dyDescent="0.25">
      <c r="A26" s="15"/>
      <c r="B26" s="16" t="s">
        <v>25</v>
      </c>
      <c r="C26" s="3"/>
      <c r="D26" s="27">
        <f>70571559+8072815</f>
        <v>78644374</v>
      </c>
      <c r="E26" s="28">
        <v>7827905</v>
      </c>
      <c r="F26" s="28">
        <f t="shared" si="5"/>
        <v>86472279</v>
      </c>
      <c r="G26" s="77">
        <v>0</v>
      </c>
      <c r="H26" s="77">
        <v>0</v>
      </c>
      <c r="I26" s="28">
        <f t="shared" si="6"/>
        <v>0</v>
      </c>
      <c r="J26" s="77">
        <v>0</v>
      </c>
      <c r="K26" s="77">
        <v>6807967</v>
      </c>
      <c r="L26" s="28">
        <f t="shared" si="7"/>
        <v>6807967</v>
      </c>
      <c r="M26" s="28">
        <v>13018275</v>
      </c>
      <c r="N26" s="28">
        <f t="shared" si="2"/>
        <v>106298521</v>
      </c>
      <c r="O26" s="3"/>
      <c r="P26" s="30"/>
      <c r="Q26" s="30"/>
      <c r="R26" s="30"/>
    </row>
    <row r="27" spans="1:18" x14ac:dyDescent="0.25">
      <c r="A27" s="15"/>
      <c r="B27" s="16" t="s">
        <v>26</v>
      </c>
      <c r="C27" s="3"/>
      <c r="D27" s="27">
        <f>8040907+659355</f>
        <v>8700262</v>
      </c>
      <c r="E27" s="28">
        <v>342351</v>
      </c>
      <c r="F27" s="28">
        <f t="shared" si="5"/>
        <v>9042613</v>
      </c>
      <c r="G27" s="77">
        <v>2469134</v>
      </c>
      <c r="H27" s="77">
        <v>0</v>
      </c>
      <c r="I27" s="28">
        <f t="shared" si="6"/>
        <v>2469134</v>
      </c>
      <c r="J27" s="77">
        <v>8274083</v>
      </c>
      <c r="K27" s="77">
        <v>105084</v>
      </c>
      <c r="L27" s="28">
        <f t="shared" si="7"/>
        <v>8379167</v>
      </c>
      <c r="M27" s="28">
        <v>0</v>
      </c>
      <c r="N27" s="28">
        <f t="shared" si="2"/>
        <v>19890914</v>
      </c>
      <c r="O27" s="3"/>
      <c r="P27" s="30"/>
      <c r="Q27" s="30"/>
      <c r="R27" s="30"/>
    </row>
    <row r="28" spans="1:18" x14ac:dyDescent="0.25">
      <c r="A28" s="15"/>
      <c r="B28" s="16" t="s">
        <v>27</v>
      </c>
      <c r="C28" s="3"/>
      <c r="D28" s="27">
        <f>153931492+13501995</f>
        <v>167433487</v>
      </c>
      <c r="E28" s="28">
        <v>13431458</v>
      </c>
      <c r="F28" s="28">
        <f t="shared" si="5"/>
        <v>180864945</v>
      </c>
      <c r="G28" s="77">
        <v>38653041</v>
      </c>
      <c r="H28" s="77">
        <v>6642328</v>
      </c>
      <c r="I28" s="28">
        <f t="shared" si="6"/>
        <v>45295369</v>
      </c>
      <c r="J28" s="77">
        <v>174594616</v>
      </c>
      <c r="K28" s="77">
        <f>10474593+19288025</f>
        <v>29762618</v>
      </c>
      <c r="L28" s="28">
        <f t="shared" si="7"/>
        <v>204357234</v>
      </c>
      <c r="M28" s="28">
        <v>0</v>
      </c>
      <c r="N28" s="28">
        <f t="shared" si="2"/>
        <v>430517548</v>
      </c>
      <c r="O28" s="3"/>
      <c r="P28" s="30"/>
      <c r="Q28" s="30"/>
      <c r="R28" s="30"/>
    </row>
    <row r="29" spans="1:18" x14ac:dyDescent="0.25">
      <c r="A29" s="15"/>
      <c r="B29" s="16" t="s">
        <v>28</v>
      </c>
      <c r="C29" s="3"/>
      <c r="D29" s="27">
        <f>8719841+695418</f>
        <v>9415259</v>
      </c>
      <c r="E29" s="28">
        <v>1250000</v>
      </c>
      <c r="F29" s="28">
        <f t="shared" si="5"/>
        <v>10665259</v>
      </c>
      <c r="G29" s="77"/>
      <c r="H29" s="77"/>
      <c r="I29" s="28">
        <f t="shared" si="6"/>
        <v>0</v>
      </c>
      <c r="J29" s="77">
        <v>0</v>
      </c>
      <c r="K29" s="77">
        <v>0</v>
      </c>
      <c r="L29" s="28">
        <f t="shared" si="7"/>
        <v>0</v>
      </c>
      <c r="M29" s="28">
        <v>0</v>
      </c>
      <c r="N29" s="28">
        <f t="shared" si="2"/>
        <v>10665259</v>
      </c>
      <c r="O29" s="3"/>
      <c r="P29" s="30"/>
      <c r="Q29" s="30"/>
      <c r="R29" s="30"/>
    </row>
    <row r="30" spans="1:18" x14ac:dyDescent="0.25">
      <c r="A30" s="15"/>
      <c r="B30" s="16" t="s">
        <v>29</v>
      </c>
      <c r="C30" s="3"/>
      <c r="D30" s="27">
        <f>6107347+398487</f>
        <v>6505834</v>
      </c>
      <c r="E30" s="28">
        <v>300438</v>
      </c>
      <c r="F30" s="28">
        <f t="shared" si="5"/>
        <v>6806272</v>
      </c>
      <c r="G30" s="77">
        <v>1251551</v>
      </c>
      <c r="H30" s="77">
        <v>0</v>
      </c>
      <c r="I30" s="28">
        <f t="shared" si="6"/>
        <v>1251551</v>
      </c>
      <c r="J30" s="77">
        <v>5094120</v>
      </c>
      <c r="K30" s="77">
        <v>121000</v>
      </c>
      <c r="L30" s="28">
        <f t="shared" si="7"/>
        <v>5215120</v>
      </c>
      <c r="M30" s="28">
        <v>0</v>
      </c>
      <c r="N30" s="28">
        <f t="shared" si="2"/>
        <v>13272943</v>
      </c>
      <c r="O30" s="3"/>
      <c r="P30" s="30"/>
      <c r="Q30" s="30"/>
      <c r="R30" s="30"/>
    </row>
    <row r="31" spans="1:18" x14ac:dyDescent="0.25">
      <c r="A31" s="15"/>
      <c r="B31" s="16" t="s">
        <v>30</v>
      </c>
      <c r="C31" s="3"/>
      <c r="D31" s="27">
        <f>75725369+6927443</f>
        <v>82652812</v>
      </c>
      <c r="E31" s="28">
        <v>23095874</v>
      </c>
      <c r="F31" s="28">
        <f t="shared" si="5"/>
        <v>105748686</v>
      </c>
      <c r="G31" s="77">
        <v>19890110</v>
      </c>
      <c r="H31" s="77">
        <v>39169464</v>
      </c>
      <c r="I31" s="28">
        <f t="shared" si="6"/>
        <v>59059574</v>
      </c>
      <c r="J31" s="77">
        <v>20537706</v>
      </c>
      <c r="K31" s="77">
        <f>1183364+1191606</f>
        <v>2374970</v>
      </c>
      <c r="L31" s="28">
        <f t="shared" si="7"/>
        <v>22912676</v>
      </c>
      <c r="M31" s="28">
        <v>0</v>
      </c>
      <c r="N31" s="28">
        <f t="shared" si="2"/>
        <v>187720936</v>
      </c>
      <c r="O31" s="3"/>
      <c r="P31" s="30"/>
      <c r="Q31" s="30"/>
      <c r="R31" s="30"/>
    </row>
    <row r="32" spans="1:18" x14ac:dyDescent="0.25">
      <c r="A32" s="15"/>
      <c r="B32" s="16" t="s">
        <v>31</v>
      </c>
      <c r="C32" s="3"/>
      <c r="D32" s="27">
        <f>50085812+4371559</f>
        <v>54457371</v>
      </c>
      <c r="E32" s="28">
        <v>10276983</v>
      </c>
      <c r="F32" s="28">
        <f t="shared" si="5"/>
        <v>64734354</v>
      </c>
      <c r="G32" s="77">
        <v>12929386</v>
      </c>
      <c r="H32" s="77">
        <v>262597760</v>
      </c>
      <c r="I32" s="28">
        <f t="shared" si="6"/>
        <v>275527146</v>
      </c>
      <c r="J32" s="77">
        <v>6997913</v>
      </c>
      <c r="K32" s="77">
        <f>47098634+20400+1174366</f>
        <v>48293400</v>
      </c>
      <c r="L32" s="28">
        <f t="shared" si="7"/>
        <v>55291313</v>
      </c>
      <c r="M32" s="28">
        <v>49466921</v>
      </c>
      <c r="N32" s="28">
        <f t="shared" si="2"/>
        <v>445019734</v>
      </c>
      <c r="O32" s="3"/>
      <c r="P32" s="33"/>
      <c r="Q32" s="29"/>
      <c r="R32" s="30"/>
    </row>
    <row r="33" spans="1:18" x14ac:dyDescent="0.25">
      <c r="A33" s="15"/>
      <c r="B33" s="16" t="s">
        <v>32</v>
      </c>
      <c r="C33" s="3"/>
      <c r="D33" s="27">
        <f>11666411+1081928</f>
        <v>12748339</v>
      </c>
      <c r="E33" s="28">
        <v>766029</v>
      </c>
      <c r="F33" s="28">
        <f t="shared" si="5"/>
        <v>13514368</v>
      </c>
      <c r="G33" s="77">
        <v>3043779</v>
      </c>
      <c r="H33" s="77">
        <v>0</v>
      </c>
      <c r="I33" s="28">
        <f t="shared" si="6"/>
        <v>3043779</v>
      </c>
      <c r="J33" s="77">
        <v>13873080</v>
      </c>
      <c r="K33" s="77">
        <f>19500+118600</f>
        <v>138100</v>
      </c>
      <c r="L33" s="28">
        <f t="shared" si="7"/>
        <v>14011180</v>
      </c>
      <c r="M33" s="28">
        <v>0</v>
      </c>
      <c r="N33" s="28">
        <f t="shared" si="2"/>
        <v>30569327</v>
      </c>
      <c r="O33" s="3"/>
      <c r="P33" s="30"/>
      <c r="Q33" s="30"/>
      <c r="R33" s="30"/>
    </row>
    <row r="34" spans="1:18" x14ac:dyDescent="0.25">
      <c r="A34" s="15"/>
      <c r="B34" s="16" t="s">
        <v>33</v>
      </c>
      <c r="C34" s="3"/>
      <c r="D34" s="27">
        <f>6498605+587739</f>
        <v>7086344</v>
      </c>
      <c r="E34" s="28">
        <v>475762</v>
      </c>
      <c r="F34" s="28">
        <f t="shared" si="5"/>
        <v>7562106</v>
      </c>
      <c r="G34" s="77">
        <v>1696281</v>
      </c>
      <c r="H34" s="77">
        <v>0</v>
      </c>
      <c r="I34" s="28">
        <f t="shared" si="6"/>
        <v>1696281</v>
      </c>
      <c r="J34" s="77">
        <v>10907207</v>
      </c>
      <c r="K34" s="77">
        <f>16500+137800</f>
        <v>154300</v>
      </c>
      <c r="L34" s="28">
        <f t="shared" si="7"/>
        <v>11061507</v>
      </c>
      <c r="M34" s="28">
        <v>0</v>
      </c>
      <c r="N34" s="28">
        <f t="shared" si="2"/>
        <v>20319894</v>
      </c>
      <c r="O34" s="3"/>
      <c r="P34" s="30"/>
      <c r="Q34" s="30"/>
      <c r="R34" s="30"/>
    </row>
    <row r="35" spans="1:18" x14ac:dyDescent="0.25">
      <c r="A35" s="15"/>
      <c r="B35" s="16" t="s">
        <v>34</v>
      </c>
      <c r="C35" s="3"/>
      <c r="D35" s="27">
        <f>13781176+1088725</f>
        <v>14869901</v>
      </c>
      <c r="E35" s="28">
        <v>100591</v>
      </c>
      <c r="F35" s="28">
        <f t="shared" si="5"/>
        <v>14970492</v>
      </c>
      <c r="G35" s="77">
        <v>0</v>
      </c>
      <c r="H35" s="77">
        <v>0</v>
      </c>
      <c r="I35" s="28">
        <f t="shared" si="6"/>
        <v>0</v>
      </c>
      <c r="J35" s="77">
        <v>0</v>
      </c>
      <c r="K35" s="77">
        <v>825561</v>
      </c>
      <c r="L35" s="28">
        <f t="shared" si="7"/>
        <v>825561</v>
      </c>
      <c r="M35" s="28">
        <v>0</v>
      </c>
      <c r="N35" s="28">
        <f t="shared" si="2"/>
        <v>15796053</v>
      </c>
      <c r="O35" s="3"/>
      <c r="P35" s="30"/>
      <c r="Q35" s="30"/>
      <c r="R35" s="30"/>
    </row>
    <row r="36" spans="1:18" x14ac:dyDescent="0.25">
      <c r="A36" s="17" t="s">
        <v>35</v>
      </c>
      <c r="B36" s="18"/>
      <c r="C36" s="6"/>
      <c r="D36" s="83">
        <f t="shared" ref="D36:M36" si="8">SUM(D24:D35)</f>
        <v>466909647</v>
      </c>
      <c r="E36" s="83">
        <f t="shared" si="8"/>
        <v>57867391</v>
      </c>
      <c r="F36" s="83">
        <f t="shared" si="8"/>
        <v>524777038</v>
      </c>
      <c r="G36" s="74">
        <f>SUM(G24:G35)</f>
        <v>79933282</v>
      </c>
      <c r="H36" s="74">
        <f>SUM(H24:H35)</f>
        <v>414360943</v>
      </c>
      <c r="I36" s="83">
        <f>SUM(I24:I35)</f>
        <v>494294225</v>
      </c>
      <c r="J36" s="74">
        <f>SUM(J24:J35)</f>
        <v>240278725</v>
      </c>
      <c r="K36" s="74">
        <f>SUM(K24:K35)</f>
        <v>91549946</v>
      </c>
      <c r="L36" s="83">
        <f t="shared" si="8"/>
        <v>331828671</v>
      </c>
      <c r="M36" s="83">
        <f t="shared" si="8"/>
        <v>73958154</v>
      </c>
      <c r="N36" s="83">
        <f t="shared" si="2"/>
        <v>1424858088</v>
      </c>
      <c r="O36" s="6"/>
      <c r="P36" s="30"/>
      <c r="Q36" s="30"/>
      <c r="R36" s="30"/>
    </row>
    <row r="37" spans="1:18" x14ac:dyDescent="0.25">
      <c r="A37" s="14" t="s">
        <v>36</v>
      </c>
      <c r="B37" s="14" t="s">
        <v>37</v>
      </c>
      <c r="C37" s="3"/>
      <c r="D37" s="27">
        <f>3225001+126665</f>
        <v>3351666</v>
      </c>
      <c r="E37" s="28">
        <f>59387+1000000+750000</f>
        <v>1809387</v>
      </c>
      <c r="F37" s="28">
        <f t="shared" ref="F37:F42" si="9">D37+E37</f>
        <v>5161053</v>
      </c>
      <c r="G37" s="77">
        <v>0</v>
      </c>
      <c r="H37" s="77">
        <v>0</v>
      </c>
      <c r="I37" s="28">
        <f t="shared" ref="I37:I42" si="10">G37+H37</f>
        <v>0</v>
      </c>
      <c r="J37" s="77">
        <v>0</v>
      </c>
      <c r="K37" s="77">
        <v>0</v>
      </c>
      <c r="L37" s="28">
        <f t="shared" ref="L37:L42" si="11">J37+K37</f>
        <v>0</v>
      </c>
      <c r="M37" s="28">
        <v>3036211</v>
      </c>
      <c r="N37" s="28">
        <f t="shared" si="2"/>
        <v>8197264</v>
      </c>
      <c r="O37" s="3"/>
      <c r="P37" s="30"/>
      <c r="Q37" s="30"/>
      <c r="R37" s="30"/>
    </row>
    <row r="38" spans="1:18" x14ac:dyDescent="0.25">
      <c r="A38" s="15"/>
      <c r="B38" s="16" t="s">
        <v>38</v>
      </c>
      <c r="C38" s="3"/>
      <c r="D38" s="27">
        <f>33567574+3634827</f>
        <v>37202401</v>
      </c>
      <c r="E38" s="28">
        <f>307489+1981759</f>
        <v>2289248</v>
      </c>
      <c r="F38" s="28">
        <f t="shared" si="9"/>
        <v>39491649</v>
      </c>
      <c r="G38" s="77">
        <v>7656104</v>
      </c>
      <c r="H38" s="77">
        <v>2181188</v>
      </c>
      <c r="I38" s="28">
        <f t="shared" si="10"/>
        <v>9837292</v>
      </c>
      <c r="J38" s="77">
        <v>33581733</v>
      </c>
      <c r="K38" s="77">
        <f>600000+3139712</f>
        <v>3739712</v>
      </c>
      <c r="L38" s="28">
        <f t="shared" si="11"/>
        <v>37321445</v>
      </c>
      <c r="M38" s="28">
        <v>0</v>
      </c>
      <c r="N38" s="28">
        <f t="shared" si="2"/>
        <v>86650386</v>
      </c>
      <c r="O38" s="3"/>
      <c r="P38" s="30"/>
      <c r="Q38" s="30"/>
      <c r="R38" s="30"/>
    </row>
    <row r="39" spans="1:18" x14ac:dyDescent="0.25">
      <c r="A39" s="15"/>
      <c r="B39" s="16" t="s">
        <v>39</v>
      </c>
      <c r="C39" s="3"/>
      <c r="D39" s="27">
        <f>4903126+446620</f>
        <v>5349746</v>
      </c>
      <c r="E39" s="28">
        <f>37782+216353</f>
        <v>254135</v>
      </c>
      <c r="F39" s="28">
        <f t="shared" si="9"/>
        <v>5603881</v>
      </c>
      <c r="G39" s="77">
        <v>1077517</v>
      </c>
      <c r="H39" s="77">
        <v>0</v>
      </c>
      <c r="I39" s="28">
        <f t="shared" si="10"/>
        <v>1077517</v>
      </c>
      <c r="J39" s="77">
        <v>3584154</v>
      </c>
      <c r="K39" s="77">
        <f>35000+20916</f>
        <v>55916</v>
      </c>
      <c r="L39" s="28">
        <f t="shared" si="11"/>
        <v>3640070</v>
      </c>
      <c r="M39" s="28">
        <v>0</v>
      </c>
      <c r="N39" s="28">
        <f t="shared" si="2"/>
        <v>10321468</v>
      </c>
      <c r="O39" s="3"/>
      <c r="P39" s="30"/>
      <c r="Q39" s="30"/>
      <c r="R39" s="30"/>
    </row>
    <row r="40" spans="1:18" x14ac:dyDescent="0.25">
      <c r="A40" s="15"/>
      <c r="B40" s="16" t="s">
        <v>40</v>
      </c>
      <c r="C40" s="3"/>
      <c r="D40" s="27">
        <f>9742234+1055856</f>
        <v>10798090</v>
      </c>
      <c r="E40" s="28">
        <v>705781</v>
      </c>
      <c r="F40" s="28">
        <f t="shared" si="9"/>
        <v>11503871</v>
      </c>
      <c r="G40" s="77">
        <v>2256318</v>
      </c>
      <c r="H40" s="77">
        <v>0</v>
      </c>
      <c r="I40" s="28">
        <f t="shared" si="10"/>
        <v>2256318</v>
      </c>
      <c r="J40" s="77">
        <v>6188669</v>
      </c>
      <c r="K40" s="77">
        <f>70000+550000</f>
        <v>620000</v>
      </c>
      <c r="L40" s="28">
        <f t="shared" si="11"/>
        <v>6808669</v>
      </c>
      <c r="M40" s="28">
        <v>0</v>
      </c>
      <c r="N40" s="28">
        <f t="shared" ref="N40:N56" si="12">F40+I40+L40+M40</f>
        <v>20568858</v>
      </c>
      <c r="O40" s="3"/>
      <c r="P40" s="30"/>
      <c r="Q40" s="30"/>
      <c r="R40" s="30"/>
    </row>
    <row r="41" spans="1:18" x14ac:dyDescent="0.25">
      <c r="A41" s="15"/>
      <c r="B41" s="16" t="s">
        <v>41</v>
      </c>
      <c r="C41" s="3"/>
      <c r="D41" s="27">
        <f>5896688+487318</f>
        <v>6384006</v>
      </c>
      <c r="E41" s="28">
        <f>41225+202738</f>
        <v>243963</v>
      </c>
      <c r="F41" s="28">
        <f t="shared" si="9"/>
        <v>6627969</v>
      </c>
      <c r="G41" s="77">
        <v>1212969</v>
      </c>
      <c r="H41" s="77">
        <v>0</v>
      </c>
      <c r="I41" s="28">
        <f t="shared" si="10"/>
        <v>1212969</v>
      </c>
      <c r="J41" s="77">
        <v>4276058</v>
      </c>
      <c r="K41" s="77">
        <v>399966</v>
      </c>
      <c r="L41" s="28">
        <f t="shared" si="11"/>
        <v>4676024</v>
      </c>
      <c r="M41" s="28">
        <v>0</v>
      </c>
      <c r="N41" s="28">
        <f t="shared" si="12"/>
        <v>12516962</v>
      </c>
      <c r="O41" s="3"/>
      <c r="P41" s="30"/>
      <c r="Q41" s="30"/>
      <c r="R41" s="30"/>
    </row>
    <row r="42" spans="1:18" x14ac:dyDescent="0.25">
      <c r="A42" s="15"/>
      <c r="B42" s="16" t="s">
        <v>42</v>
      </c>
      <c r="C42" s="3"/>
      <c r="D42" s="27">
        <v>3031943</v>
      </c>
      <c r="E42" s="28">
        <v>0</v>
      </c>
      <c r="F42" s="28">
        <f t="shared" si="9"/>
        <v>3031943</v>
      </c>
      <c r="G42" s="77"/>
      <c r="H42" s="77"/>
      <c r="I42" s="28">
        <f t="shared" si="10"/>
        <v>0</v>
      </c>
      <c r="J42" s="77">
        <v>0</v>
      </c>
      <c r="K42" s="77">
        <v>0</v>
      </c>
      <c r="L42" s="28">
        <f t="shared" si="11"/>
        <v>0</v>
      </c>
      <c r="M42" s="28">
        <v>0</v>
      </c>
      <c r="N42" s="28">
        <f t="shared" si="12"/>
        <v>3031943</v>
      </c>
      <c r="O42" s="3"/>
      <c r="P42" s="30"/>
      <c r="Q42" s="30"/>
      <c r="R42" s="30"/>
    </row>
    <row r="43" spans="1:18" x14ac:dyDescent="0.25">
      <c r="A43" s="17" t="s">
        <v>43</v>
      </c>
      <c r="B43" s="18"/>
      <c r="C43" s="6"/>
      <c r="D43" s="42">
        <f t="shared" ref="D43:M43" si="13">SUM(D37:D42)</f>
        <v>66117852</v>
      </c>
      <c r="E43" s="42">
        <f t="shared" si="13"/>
        <v>5302514</v>
      </c>
      <c r="F43" s="42">
        <f t="shared" si="13"/>
        <v>71420366</v>
      </c>
      <c r="G43" s="78">
        <f>SUM(G37:G42)</f>
        <v>12202908</v>
      </c>
      <c r="H43" s="78">
        <f>SUM(H37:H42)</f>
        <v>2181188</v>
      </c>
      <c r="I43" s="42">
        <f>SUM(I37:I42)</f>
        <v>14384096</v>
      </c>
      <c r="J43" s="78">
        <f>SUM(J37:J42)</f>
        <v>47630614</v>
      </c>
      <c r="K43" s="78">
        <f>SUM(K37:K42)</f>
        <v>4815594</v>
      </c>
      <c r="L43" s="42">
        <f t="shared" si="13"/>
        <v>52446208</v>
      </c>
      <c r="M43" s="42">
        <f t="shared" si="13"/>
        <v>3036211</v>
      </c>
      <c r="N43" s="83">
        <f t="shared" si="12"/>
        <v>141286881</v>
      </c>
      <c r="O43" s="6"/>
      <c r="P43" s="30"/>
      <c r="Q43" s="30"/>
      <c r="R43" s="30"/>
    </row>
    <row r="44" spans="1:18" x14ac:dyDescent="0.25">
      <c r="A44" s="14" t="s">
        <v>44</v>
      </c>
      <c r="B44" s="14" t="s">
        <v>45</v>
      </c>
      <c r="C44" s="3"/>
      <c r="D44" s="27">
        <f>20433930+1959007</f>
        <v>22392937</v>
      </c>
      <c r="E44" s="28">
        <v>1280750</v>
      </c>
      <c r="F44" s="28">
        <f t="shared" ref="F44:F53" si="14">D44+E44</f>
        <v>23673687</v>
      </c>
      <c r="G44" s="77">
        <v>4070342</v>
      </c>
      <c r="H44" s="77">
        <v>0</v>
      </c>
      <c r="I44" s="28">
        <f t="shared" ref="I44:I53" si="15">G44+H44</f>
        <v>4070342</v>
      </c>
      <c r="J44" s="77">
        <v>26180769</v>
      </c>
      <c r="K44" s="77">
        <v>933627</v>
      </c>
      <c r="L44" s="28">
        <f t="shared" ref="L44:L53" si="16">J44+K44</f>
        <v>27114396</v>
      </c>
      <c r="M44" s="28">
        <v>0</v>
      </c>
      <c r="N44" s="28">
        <f t="shared" si="12"/>
        <v>54858425</v>
      </c>
      <c r="O44" s="3"/>
      <c r="P44" s="30"/>
      <c r="Q44" s="30"/>
      <c r="R44" s="30"/>
    </row>
    <row r="45" spans="1:18" x14ac:dyDescent="0.25">
      <c r="A45" s="15"/>
      <c r="B45" s="16" t="s">
        <v>46</v>
      </c>
      <c r="C45" s="3"/>
      <c r="D45" s="27">
        <f>41777478+3441148</f>
        <v>45218626</v>
      </c>
      <c r="E45" s="28">
        <f>291105+2110425</f>
        <v>2401530</v>
      </c>
      <c r="F45" s="28">
        <f t="shared" si="14"/>
        <v>47620156</v>
      </c>
      <c r="G45" s="77">
        <v>8049267</v>
      </c>
      <c r="H45" s="77">
        <v>0</v>
      </c>
      <c r="I45" s="28">
        <f t="shared" si="15"/>
        <v>8049267</v>
      </c>
      <c r="J45" s="77">
        <v>33776000</v>
      </c>
      <c r="K45" s="77">
        <f>452000+9704617</f>
        <v>10156617</v>
      </c>
      <c r="L45" s="28">
        <f t="shared" si="16"/>
        <v>43932617</v>
      </c>
      <c r="M45" s="28">
        <v>0</v>
      </c>
      <c r="N45" s="28">
        <f t="shared" si="12"/>
        <v>99602040</v>
      </c>
      <c r="O45" s="3"/>
      <c r="P45" s="30"/>
      <c r="Q45" s="30"/>
      <c r="R45" s="30"/>
    </row>
    <row r="46" spans="1:18" x14ac:dyDescent="0.25">
      <c r="A46" s="15"/>
      <c r="B46" s="16" t="s">
        <v>47</v>
      </c>
      <c r="C46" s="3"/>
      <c r="D46" s="27">
        <f>29234534+2773211</f>
        <v>32007745</v>
      </c>
      <c r="E46" s="28">
        <f>234601+1360958+525604</f>
        <v>2121163</v>
      </c>
      <c r="F46" s="28">
        <f t="shared" si="14"/>
        <v>34128908</v>
      </c>
      <c r="G46" s="77">
        <v>5749198</v>
      </c>
      <c r="H46" s="77">
        <v>0</v>
      </c>
      <c r="I46" s="28">
        <f t="shared" si="15"/>
        <v>5749198</v>
      </c>
      <c r="J46" s="77">
        <v>28309392</v>
      </c>
      <c r="K46" s="77">
        <f>19139+676687</f>
        <v>695826</v>
      </c>
      <c r="L46" s="28">
        <f t="shared" si="16"/>
        <v>29005218</v>
      </c>
      <c r="M46" s="28">
        <v>0</v>
      </c>
      <c r="N46" s="28">
        <f t="shared" si="12"/>
        <v>68883324</v>
      </c>
      <c r="O46" s="3"/>
      <c r="P46" s="30"/>
      <c r="Q46" s="30"/>
      <c r="R46" s="30"/>
    </row>
    <row r="47" spans="1:18" x14ac:dyDescent="0.25">
      <c r="A47" s="15"/>
      <c r="B47" s="16" t="s">
        <v>48</v>
      </c>
      <c r="C47" s="3"/>
      <c r="D47" s="27">
        <f>23698077+2157641</f>
        <v>25855718</v>
      </c>
      <c r="E47" s="28">
        <f>182526+1194957</f>
        <v>1377483</v>
      </c>
      <c r="F47" s="28">
        <f t="shared" si="14"/>
        <v>27233201</v>
      </c>
      <c r="G47" s="77">
        <v>4613718</v>
      </c>
      <c r="H47" s="77">
        <v>0</v>
      </c>
      <c r="I47" s="28">
        <f t="shared" si="15"/>
        <v>4613718</v>
      </c>
      <c r="J47" s="77">
        <v>21558654</v>
      </c>
      <c r="K47" s="77">
        <f>749702+278500+2651355</f>
        <v>3679557</v>
      </c>
      <c r="L47" s="28">
        <f t="shared" si="16"/>
        <v>25238211</v>
      </c>
      <c r="M47" s="28">
        <v>0</v>
      </c>
      <c r="N47" s="28">
        <f t="shared" si="12"/>
        <v>57085130</v>
      </c>
      <c r="O47" s="3"/>
      <c r="P47" s="30"/>
      <c r="Q47" s="30"/>
      <c r="R47" s="30"/>
    </row>
    <row r="48" spans="1:18" x14ac:dyDescent="0.25">
      <c r="A48" s="15"/>
      <c r="B48" s="16" t="s">
        <v>49</v>
      </c>
      <c r="C48" s="3"/>
      <c r="D48" s="27">
        <f>32460768+3009261</f>
        <v>35470029</v>
      </c>
      <c r="E48" s="28">
        <f>254570+1394039</f>
        <v>1648609</v>
      </c>
      <c r="F48" s="28">
        <f t="shared" si="14"/>
        <v>37118638</v>
      </c>
      <c r="G48" s="77">
        <v>6398432</v>
      </c>
      <c r="H48" s="77">
        <v>74923</v>
      </c>
      <c r="I48" s="28">
        <f t="shared" si="15"/>
        <v>6473355</v>
      </c>
      <c r="J48" s="77">
        <v>29250270</v>
      </c>
      <c r="K48" s="77">
        <f>634467+1796201</f>
        <v>2430668</v>
      </c>
      <c r="L48" s="28">
        <f t="shared" si="16"/>
        <v>31680938</v>
      </c>
      <c r="M48" s="28">
        <v>0</v>
      </c>
      <c r="N48" s="28">
        <f t="shared" si="12"/>
        <v>75272931</v>
      </c>
      <c r="O48" s="3"/>
      <c r="P48" s="30"/>
      <c r="Q48" s="30"/>
      <c r="R48" s="30"/>
    </row>
    <row r="49" spans="1:18" x14ac:dyDescent="0.25">
      <c r="A49" s="15"/>
      <c r="B49" s="16" t="s">
        <v>50</v>
      </c>
      <c r="C49" s="3"/>
      <c r="D49" s="27">
        <f>51274932+5104279</f>
        <v>56379211</v>
      </c>
      <c r="E49" s="28">
        <f>431798+2209032</f>
        <v>2640830</v>
      </c>
      <c r="F49" s="28">
        <f t="shared" si="14"/>
        <v>59020041</v>
      </c>
      <c r="G49" s="77">
        <v>10222480</v>
      </c>
      <c r="H49" s="77">
        <v>0</v>
      </c>
      <c r="I49" s="28">
        <f t="shared" si="15"/>
        <v>10222480</v>
      </c>
      <c r="J49" s="77">
        <v>44112592</v>
      </c>
      <c r="K49" s="77">
        <f>1039354+6130734</f>
        <v>7170088</v>
      </c>
      <c r="L49" s="28">
        <f t="shared" si="16"/>
        <v>51282680</v>
      </c>
      <c r="M49" s="28">
        <v>0</v>
      </c>
      <c r="N49" s="28">
        <f t="shared" si="12"/>
        <v>120525201</v>
      </c>
      <c r="O49" s="3"/>
      <c r="P49" s="30"/>
      <c r="Q49" s="30"/>
      <c r="R49" s="30"/>
    </row>
    <row r="50" spans="1:18" x14ac:dyDescent="0.25">
      <c r="A50" s="15"/>
      <c r="B50" s="16" t="s">
        <v>51</v>
      </c>
      <c r="C50" s="3"/>
      <c r="D50" s="27">
        <f>2427627+191524</f>
        <v>2619151</v>
      </c>
      <c r="E50" s="28">
        <v>0</v>
      </c>
      <c r="F50" s="28">
        <f t="shared" si="14"/>
        <v>2619151</v>
      </c>
      <c r="G50" s="77">
        <v>0</v>
      </c>
      <c r="H50" s="77">
        <v>36000</v>
      </c>
      <c r="I50" s="28">
        <f t="shared" si="15"/>
        <v>36000</v>
      </c>
      <c r="J50" s="77">
        <v>0</v>
      </c>
      <c r="K50" s="77">
        <v>1150000</v>
      </c>
      <c r="L50" s="28">
        <f t="shared" si="16"/>
        <v>1150000</v>
      </c>
      <c r="M50" s="28">
        <v>0</v>
      </c>
      <c r="N50" s="28">
        <f t="shared" si="12"/>
        <v>3805151</v>
      </c>
      <c r="O50" s="3"/>
      <c r="P50" s="30"/>
      <c r="Q50" s="30"/>
      <c r="R50" s="30"/>
    </row>
    <row r="51" spans="1:18" x14ac:dyDescent="0.25">
      <c r="A51" s="15"/>
      <c r="B51" s="16" t="s">
        <v>52</v>
      </c>
      <c r="C51" s="3"/>
      <c r="D51" s="27">
        <f>67186528+5770735</f>
        <v>72957263</v>
      </c>
      <c r="E51" s="28">
        <f>488177+2845554</f>
        <v>3333731</v>
      </c>
      <c r="F51" s="28">
        <f t="shared" si="14"/>
        <v>76290994</v>
      </c>
      <c r="G51" s="77">
        <v>13023402</v>
      </c>
      <c r="H51" s="77">
        <v>0</v>
      </c>
      <c r="I51" s="28">
        <f t="shared" si="15"/>
        <v>13023402</v>
      </c>
      <c r="J51" s="77">
        <v>49790214</v>
      </c>
      <c r="K51" s="77">
        <v>4409540</v>
      </c>
      <c r="L51" s="28">
        <f t="shared" si="16"/>
        <v>54199754</v>
      </c>
      <c r="M51" s="28">
        <v>0</v>
      </c>
      <c r="N51" s="28">
        <f t="shared" si="12"/>
        <v>143514150</v>
      </c>
      <c r="O51" s="3"/>
      <c r="P51" s="30"/>
      <c r="Q51" s="30"/>
      <c r="R51" s="30"/>
    </row>
    <row r="52" spans="1:18" x14ac:dyDescent="0.25">
      <c r="A52" s="15"/>
      <c r="B52" s="16" t="s">
        <v>53</v>
      </c>
      <c r="C52" s="3"/>
      <c r="D52" s="27">
        <f>37263624+3376246</f>
        <v>40639870</v>
      </c>
      <c r="E52" s="28">
        <f>285615+2013941</f>
        <v>2299556</v>
      </c>
      <c r="F52" s="28">
        <f t="shared" si="14"/>
        <v>42939426</v>
      </c>
      <c r="G52" s="77">
        <v>7291143</v>
      </c>
      <c r="H52" s="77">
        <v>0</v>
      </c>
      <c r="I52" s="28">
        <f t="shared" si="15"/>
        <v>7291143</v>
      </c>
      <c r="J52" s="77">
        <v>30244096</v>
      </c>
      <c r="K52" s="77">
        <f>627100+1085000+659200</f>
        <v>2371300</v>
      </c>
      <c r="L52" s="28">
        <f t="shared" si="16"/>
        <v>32615396</v>
      </c>
      <c r="M52" s="28">
        <v>0</v>
      </c>
      <c r="N52" s="28">
        <f t="shared" si="12"/>
        <v>82845965</v>
      </c>
      <c r="O52" s="3"/>
      <c r="P52" s="30"/>
      <c r="Q52" s="30"/>
      <c r="R52" s="30"/>
    </row>
    <row r="53" spans="1:18" x14ac:dyDescent="0.25">
      <c r="A53" s="15"/>
      <c r="B53" s="16" t="s">
        <v>54</v>
      </c>
      <c r="C53" s="3"/>
      <c r="D53" s="27">
        <f>46520309+4042440</f>
        <v>50562749</v>
      </c>
      <c r="E53" s="28">
        <v>3072841</v>
      </c>
      <c r="F53" s="28">
        <f t="shared" si="14"/>
        <v>53635590</v>
      </c>
      <c r="G53" s="77">
        <v>11585148</v>
      </c>
      <c r="H53" s="77">
        <v>0</v>
      </c>
      <c r="I53" s="28">
        <f t="shared" si="15"/>
        <v>11585148</v>
      </c>
      <c r="J53" s="77">
        <v>50090183</v>
      </c>
      <c r="K53" s="77">
        <f>1137800+4670857</f>
        <v>5808657</v>
      </c>
      <c r="L53" s="28">
        <f t="shared" si="16"/>
        <v>55898840</v>
      </c>
      <c r="M53" s="28">
        <v>0</v>
      </c>
      <c r="N53" s="28">
        <f t="shared" si="12"/>
        <v>121119578</v>
      </c>
      <c r="O53" s="3"/>
      <c r="P53" s="30"/>
      <c r="Q53" s="30"/>
      <c r="R53" s="30"/>
    </row>
    <row r="54" spans="1:18" x14ac:dyDescent="0.25">
      <c r="A54" s="12" t="s">
        <v>55</v>
      </c>
      <c r="B54" s="13"/>
      <c r="C54" s="6"/>
      <c r="D54" s="83">
        <f t="shared" ref="D54:M54" si="17">SUM(D44:D53)</f>
        <v>384103299</v>
      </c>
      <c r="E54" s="83">
        <f t="shared" si="17"/>
        <v>20176493</v>
      </c>
      <c r="F54" s="83">
        <f t="shared" si="17"/>
        <v>404279792</v>
      </c>
      <c r="G54" s="74">
        <f>SUM(G44:G53)</f>
        <v>71003130</v>
      </c>
      <c r="H54" s="74">
        <f>SUM(H44:H53)</f>
        <v>110923</v>
      </c>
      <c r="I54" s="83">
        <f>SUM(I44:I53)</f>
        <v>71114053</v>
      </c>
      <c r="J54" s="74">
        <f>SUM(J44:J53)</f>
        <v>313312170</v>
      </c>
      <c r="K54" s="74">
        <f>SUM(K44:K53)</f>
        <v>38805880</v>
      </c>
      <c r="L54" s="83">
        <f t="shared" si="17"/>
        <v>352118050</v>
      </c>
      <c r="M54" s="83">
        <f t="shared" si="17"/>
        <v>0</v>
      </c>
      <c r="N54" s="83">
        <f t="shared" si="12"/>
        <v>827511895</v>
      </c>
      <c r="O54" s="6"/>
      <c r="P54" s="30"/>
      <c r="Q54" s="30"/>
      <c r="R54" s="30"/>
    </row>
    <row r="55" spans="1:18" x14ac:dyDescent="0.25">
      <c r="A55" s="19" t="s">
        <v>56</v>
      </c>
      <c r="B55" s="20"/>
      <c r="C55" s="6"/>
      <c r="D55" s="83">
        <f t="shared" ref="D55:M55" si="18">D54+D43+D36+D23+D8+D7+D6</f>
        <v>1111669877</v>
      </c>
      <c r="E55" s="83">
        <f t="shared" si="18"/>
        <v>136697309</v>
      </c>
      <c r="F55" s="83">
        <f t="shared" si="18"/>
        <v>1248367186</v>
      </c>
      <c r="G55" s="74">
        <f t="shared" si="18"/>
        <v>189700000</v>
      </c>
      <c r="H55" s="74">
        <f t="shared" si="18"/>
        <v>433893162</v>
      </c>
      <c r="I55" s="83">
        <f t="shared" si="18"/>
        <v>623593162</v>
      </c>
      <c r="J55" s="74">
        <f t="shared" si="18"/>
        <v>677856973</v>
      </c>
      <c r="K55" s="74">
        <f t="shared" si="18"/>
        <v>142471547</v>
      </c>
      <c r="L55" s="83">
        <f t="shared" si="18"/>
        <v>820328520</v>
      </c>
      <c r="M55" s="83">
        <f t="shared" si="18"/>
        <v>96092905</v>
      </c>
      <c r="N55" s="83">
        <f t="shared" si="12"/>
        <v>2788381773</v>
      </c>
      <c r="O55" s="6"/>
      <c r="P55" s="29"/>
      <c r="Q55" s="29"/>
      <c r="R55" s="30"/>
    </row>
    <row r="56" spans="1:18" s="32" customFormat="1" x14ac:dyDescent="0.25">
      <c r="A56" s="35" t="s">
        <v>63</v>
      </c>
      <c r="B56" s="35"/>
      <c r="C56" s="37"/>
      <c r="D56" s="41">
        <f>D55-D7-D24-D25-14393124</f>
        <v>1072881089</v>
      </c>
      <c r="E56" s="41">
        <f>E55-E7-E24-E25-33175</f>
        <v>136664134</v>
      </c>
      <c r="F56" s="41">
        <f>D56+E56</f>
        <v>1209545223</v>
      </c>
      <c r="G56" s="80">
        <f>G55-G7-G24-G25-0</f>
        <v>189700000</v>
      </c>
      <c r="H56" s="80">
        <f>H55-H7-H24-H25-230088362</f>
        <v>97853409</v>
      </c>
      <c r="I56" s="41">
        <f>I55-I7-I24-I25-230088362</f>
        <v>287553409</v>
      </c>
      <c r="J56" s="80">
        <f>J55-J7-J24-J25</f>
        <v>677856973</v>
      </c>
      <c r="K56" s="80">
        <f>K55-K7-K24-K25-47143384</f>
        <v>92361217</v>
      </c>
      <c r="L56" s="41">
        <f>J56+K56</f>
        <v>770218190</v>
      </c>
      <c r="M56" s="41">
        <f>M55-M7-M24-M25-49466921</f>
        <v>35153026</v>
      </c>
      <c r="N56" s="83">
        <f t="shared" si="12"/>
        <v>2302469848</v>
      </c>
      <c r="O56" s="37"/>
      <c r="P56" s="34"/>
      <c r="Q56" s="34"/>
      <c r="R56" s="34"/>
    </row>
    <row r="57" spans="1:18" x14ac:dyDescent="0.25">
      <c r="A57" s="7"/>
      <c r="B57" s="7"/>
      <c r="C57" s="7"/>
      <c r="O57" s="7"/>
    </row>
    <row r="58" spans="1:18" x14ac:dyDescent="0.25">
      <c r="A58" s="8"/>
      <c r="D58" s="25">
        <f>D56+G56</f>
        <v>1262581089</v>
      </c>
    </row>
    <row r="65" spans="2:14" x14ac:dyDescent="0.25">
      <c r="D65" s="25">
        <f>D66+F66</f>
        <v>282005508</v>
      </c>
      <c r="F65" s="25">
        <f>F54-F50+F41+F40+F38+F33+F30+F28+F27+F23-F15-F14</f>
        <v>821930774</v>
      </c>
      <c r="G65" s="25">
        <f t="shared" ref="G65:J65" si="19">G54-G50+G41+G40+G38+G33+G30+G28+G27+G23-G15-G14</f>
        <v>154106706</v>
      </c>
      <c r="H65" s="25">
        <f t="shared" si="19"/>
        <v>8898439</v>
      </c>
      <c r="I65" s="25">
        <f t="shared" si="19"/>
        <v>163005145</v>
      </c>
      <c r="J65" s="25">
        <f t="shared" si="19"/>
        <v>635829993</v>
      </c>
    </row>
    <row r="66" spans="2:14" x14ac:dyDescent="0.25">
      <c r="D66" s="25">
        <f>'FY09-10'!D26+'FY09-10'!D31+'FY09-10'!D32+'FY09-10'!D34+'FY09-10'!D35+'FY09-10'!D37+'FY09-10'!D39</f>
        <v>246412214</v>
      </c>
      <c r="E66" s="25">
        <f>'FY09-10'!F26+'FY09-10'!F31+'FY09-10'!F32+'FY09-10'!F34+'FY09-10'!F35+'FY09-10'!F37+'FY09-10'!F39</f>
        <v>290252851</v>
      </c>
      <c r="F66" s="25">
        <f>'FY09-10'!G26+'FY09-10'!G31+'FY09-10'!G32+'FY09-10'!G34+'FY09-10'!G35+'FY09-10'!G37+'FY09-10'!G39</f>
        <v>35593294</v>
      </c>
    </row>
    <row r="67" spans="2:14" x14ac:dyDescent="0.25">
      <c r="D67" s="25">
        <f>D54-D50+D40+D38+D33+D28+D27</f>
        <v>618366727</v>
      </c>
      <c r="E67" s="25">
        <f t="shared" ref="E67:L67" si="20">E54-E50+E40+E38+E33+E28+E27+E34</f>
        <v>38187122</v>
      </c>
      <c r="F67" s="25">
        <f t="shared" si="20"/>
        <v>663640193</v>
      </c>
      <c r="G67" s="25">
        <f t="shared" si="20"/>
        <v>126777787</v>
      </c>
      <c r="H67" s="25">
        <f t="shared" si="20"/>
        <v>8898439</v>
      </c>
      <c r="I67" s="25">
        <f t="shared" si="20"/>
        <v>135676226</v>
      </c>
      <c r="J67" s="25">
        <f t="shared" si="20"/>
        <v>560731558</v>
      </c>
      <c r="K67" s="25">
        <f t="shared" si="20"/>
        <v>72175694</v>
      </c>
      <c r="L67" s="25">
        <f t="shared" si="20"/>
        <v>632907252</v>
      </c>
      <c r="M67" s="25">
        <f>M54-M50+M40+M38+M33+M28+M27+M34</f>
        <v>0</v>
      </c>
      <c r="N67" s="25">
        <f t="shared" ref="N67" si="21">N54-N50+N40+N38+N33+N28+N27+N34</f>
        <v>1432223671</v>
      </c>
    </row>
    <row r="68" spans="2:14" x14ac:dyDescent="0.25">
      <c r="D68" s="25">
        <f>D41+D30+D23-D15-D14</f>
        <v>158611380</v>
      </c>
      <c r="E68" s="25">
        <f t="shared" ref="E68:L68" si="22">E41+E30+E23-E15-E14</f>
        <v>7241307</v>
      </c>
      <c r="F68" s="25">
        <f t="shared" si="22"/>
        <v>165852687</v>
      </c>
      <c r="G68" s="25">
        <f t="shared" si="22"/>
        <v>29025200</v>
      </c>
      <c r="H68" s="25">
        <f t="shared" si="22"/>
        <v>0</v>
      </c>
      <c r="I68" s="25">
        <f t="shared" si="22"/>
        <v>29025200</v>
      </c>
      <c r="J68" s="25">
        <f t="shared" si="22"/>
        <v>86005642</v>
      </c>
      <c r="K68" s="25">
        <f t="shared" si="22"/>
        <v>4721093</v>
      </c>
      <c r="L68" s="25">
        <f t="shared" si="22"/>
        <v>90726735</v>
      </c>
      <c r="M68" s="25">
        <f>M41+M30+M23-M15-M14</f>
        <v>0</v>
      </c>
      <c r="N68" s="25">
        <f t="shared" ref="N68" si="23">N41+N30+N23-N15-N14</f>
        <v>285604622</v>
      </c>
    </row>
    <row r="69" spans="2:14" x14ac:dyDescent="0.25">
      <c r="D69" s="25">
        <f>D68+D67</f>
        <v>776978107</v>
      </c>
      <c r="E69" s="25">
        <f t="shared" ref="E69:L69" si="24">E68+E67</f>
        <v>45428429</v>
      </c>
      <c r="F69" s="25">
        <f t="shared" si="24"/>
        <v>829492880</v>
      </c>
      <c r="G69" s="25">
        <f t="shared" si="24"/>
        <v>155802987</v>
      </c>
      <c r="H69" s="25">
        <f t="shared" si="24"/>
        <v>8898439</v>
      </c>
      <c r="I69" s="25">
        <f t="shared" si="24"/>
        <v>164701426</v>
      </c>
      <c r="J69" s="25">
        <f t="shared" si="24"/>
        <v>646737200</v>
      </c>
      <c r="K69" s="25">
        <f t="shared" si="24"/>
        <v>76896787</v>
      </c>
      <c r="L69" s="25">
        <f t="shared" si="24"/>
        <v>723633987</v>
      </c>
      <c r="M69" s="25">
        <f>M68+M67</f>
        <v>0</v>
      </c>
      <c r="N69" s="25">
        <f t="shared" ref="N69" si="25">N68+N67</f>
        <v>1717828293</v>
      </c>
    </row>
    <row r="71" spans="2:14" x14ac:dyDescent="0.25">
      <c r="G71" s="25">
        <f>D69+G69</f>
        <v>932781094</v>
      </c>
    </row>
    <row r="72" spans="2:14" x14ac:dyDescent="0.25">
      <c r="B72" t="s">
        <v>110</v>
      </c>
      <c r="D72" s="25">
        <f>D73+D74-D37-D35-D26</f>
        <v>926524380</v>
      </c>
      <c r="E72" s="25">
        <f t="shared" ref="E72:L72" si="26">E73+E74-E37-E35-E26</f>
        <v>79531183</v>
      </c>
      <c r="F72" s="25">
        <f t="shared" si="26"/>
        <v>1013141907</v>
      </c>
      <c r="G72" s="25">
        <f t="shared" si="26"/>
        <v>191396281</v>
      </c>
      <c r="H72" s="25">
        <f t="shared" si="26"/>
        <v>310665663</v>
      </c>
      <c r="I72" s="25">
        <f t="shared" si="26"/>
        <v>502061944</v>
      </c>
      <c r="J72" s="25">
        <f t="shared" si="26"/>
        <v>688764180</v>
      </c>
      <c r="K72" s="25">
        <f t="shared" si="26"/>
        <v>127775373</v>
      </c>
      <c r="L72" s="25">
        <f t="shared" si="26"/>
        <v>816539553</v>
      </c>
    </row>
    <row r="73" spans="2:14" x14ac:dyDescent="0.25">
      <c r="B73" t="s">
        <v>104</v>
      </c>
      <c r="D73" s="25">
        <f>D69</f>
        <v>776978107</v>
      </c>
      <c r="E73" s="25">
        <f t="shared" ref="E73:L73" si="27">E69</f>
        <v>45428429</v>
      </c>
      <c r="F73" s="25">
        <f t="shared" si="27"/>
        <v>829492880</v>
      </c>
      <c r="G73" s="25">
        <f t="shared" si="27"/>
        <v>155802987</v>
      </c>
      <c r="H73" s="25">
        <f t="shared" si="27"/>
        <v>8898439</v>
      </c>
      <c r="I73" s="25">
        <f t="shared" si="27"/>
        <v>164701426</v>
      </c>
      <c r="J73" s="25">
        <f t="shared" si="27"/>
        <v>646737200</v>
      </c>
      <c r="K73" s="25">
        <f t="shared" si="27"/>
        <v>76896787</v>
      </c>
      <c r="L73" s="25">
        <f t="shared" si="27"/>
        <v>723633987</v>
      </c>
    </row>
    <row r="74" spans="2:14" x14ac:dyDescent="0.25">
      <c r="B74" t="s">
        <v>105</v>
      </c>
      <c r="D74" s="25">
        <f>D39+D37+D35+D34+D32+D31+D26</f>
        <v>246412214</v>
      </c>
      <c r="E74" s="25">
        <f t="shared" ref="E74:L74" si="28">E39+E37+E35+E34+E32+E31+E26</f>
        <v>43840637</v>
      </c>
      <c r="F74" s="25">
        <f t="shared" si="28"/>
        <v>290252851</v>
      </c>
      <c r="G74" s="25">
        <f t="shared" si="28"/>
        <v>35593294</v>
      </c>
      <c r="H74" s="25">
        <f t="shared" si="28"/>
        <v>301767224</v>
      </c>
      <c r="I74" s="25">
        <f t="shared" si="28"/>
        <v>337360518</v>
      </c>
      <c r="J74" s="25">
        <f t="shared" si="28"/>
        <v>42026980</v>
      </c>
      <c r="K74" s="25">
        <f t="shared" si="28"/>
        <v>58512114</v>
      </c>
      <c r="L74" s="25">
        <f t="shared" si="28"/>
        <v>100539094</v>
      </c>
    </row>
    <row r="75" spans="2:14" x14ac:dyDescent="0.25">
      <c r="B75" t="s">
        <v>106</v>
      </c>
      <c r="D75" s="25">
        <f>D7</f>
        <v>0</v>
      </c>
      <c r="E75" s="25">
        <f t="shared" ref="E75:L75" si="29">E7</f>
        <v>0</v>
      </c>
      <c r="F75" s="25">
        <f t="shared" si="29"/>
        <v>0</v>
      </c>
      <c r="G75" s="25">
        <f t="shared" si="29"/>
        <v>0</v>
      </c>
      <c r="H75" s="25">
        <f t="shared" si="29"/>
        <v>0</v>
      </c>
      <c r="I75" s="25">
        <f t="shared" si="29"/>
        <v>0</v>
      </c>
      <c r="J75" s="25">
        <f t="shared" si="29"/>
        <v>0</v>
      </c>
      <c r="K75" s="25">
        <f t="shared" si="29"/>
        <v>0</v>
      </c>
      <c r="L75" s="25">
        <f t="shared" si="29"/>
        <v>0</v>
      </c>
    </row>
    <row r="76" spans="2:14" x14ac:dyDescent="0.25">
      <c r="B76" t="s">
        <v>107</v>
      </c>
      <c r="D76" s="25">
        <f>D50+D42+D29+D15+D14+D8+D6</f>
        <v>63883892</v>
      </c>
      <c r="E76" s="25">
        <f t="shared" ref="E76:L76" si="30">E50+E42+E29+E15+E14+E8+E6</f>
        <v>47904005</v>
      </c>
      <c r="F76" s="25">
        <f t="shared" si="30"/>
        <v>111787897</v>
      </c>
      <c r="G76" s="25">
        <f t="shared" si="30"/>
        <v>0</v>
      </c>
      <c r="H76" s="25">
        <f t="shared" si="30"/>
        <v>17276108</v>
      </c>
      <c r="I76" s="25">
        <f t="shared" si="30"/>
        <v>17276108</v>
      </c>
      <c r="J76" s="25">
        <f t="shared" si="30"/>
        <v>0</v>
      </c>
      <c r="K76" s="25">
        <f t="shared" si="30"/>
        <v>4250000</v>
      </c>
      <c r="L76" s="25">
        <f t="shared" si="30"/>
        <v>4250000</v>
      </c>
    </row>
    <row r="77" spans="2:14" x14ac:dyDescent="0.25">
      <c r="D77" s="25">
        <f>SUM(D73:D76)</f>
        <v>1087274213</v>
      </c>
      <c r="E77" s="25">
        <f t="shared" ref="E77:L77" si="31">SUM(E73:E76)</f>
        <v>137173071</v>
      </c>
      <c r="F77" s="25">
        <f t="shared" si="31"/>
        <v>1231533628</v>
      </c>
      <c r="G77" s="25">
        <f t="shared" si="31"/>
        <v>191396281</v>
      </c>
      <c r="H77" s="25">
        <f t="shared" si="31"/>
        <v>327941771</v>
      </c>
      <c r="I77" s="25">
        <f t="shared" si="31"/>
        <v>519338052</v>
      </c>
      <c r="J77" s="25">
        <f t="shared" si="31"/>
        <v>688764180</v>
      </c>
      <c r="K77" s="25">
        <f t="shared" si="31"/>
        <v>139658901</v>
      </c>
      <c r="L77" s="25">
        <f t="shared" si="31"/>
        <v>828423081</v>
      </c>
    </row>
  </sheetData>
  <pageMargins left="0.25" right="0.25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2"/>
  <sheetViews>
    <sheetView workbookViewId="0">
      <pane ySplit="5" topLeftCell="A42" activePane="bottomLeft" state="frozen"/>
      <selection pane="bottomLeft" activeCell="H55" sqref="H55"/>
    </sheetView>
  </sheetViews>
  <sheetFormatPr defaultRowHeight="15" x14ac:dyDescent="0.25"/>
  <cols>
    <col min="2" max="2" width="22.85546875" customWidth="1"/>
    <col min="3" max="3" width="1.42578125" customWidth="1"/>
    <col min="4" max="4" width="16.28515625" style="25" customWidth="1"/>
    <col min="5" max="5" width="19.140625" style="25" customWidth="1"/>
    <col min="6" max="14" width="16.28515625" style="25" customWidth="1"/>
    <col min="15" max="15" width="1.42578125" customWidth="1"/>
    <col min="16" max="16" width="12.5703125" bestFit="1" customWidth="1"/>
    <col min="17" max="17" width="15.28515625" bestFit="1" customWidth="1"/>
  </cols>
  <sheetData>
    <row r="1" spans="1:18" s="99" customFormat="1" ht="18.75" x14ac:dyDescent="0.3">
      <c r="A1" s="99" t="s">
        <v>94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8" s="99" customFormat="1" ht="18.75" x14ac:dyDescent="0.3">
      <c r="A2" s="101" t="s">
        <v>75</v>
      </c>
      <c r="B2" s="101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</row>
    <row r="3" spans="1:18" s="99" customFormat="1" ht="18.75" x14ac:dyDescent="0.3">
      <c r="A3" s="102"/>
      <c r="B3" s="101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1"/>
    </row>
    <row r="4" spans="1:18" x14ac:dyDescent="0.25">
      <c r="A4" s="1"/>
      <c r="B4" s="2"/>
      <c r="C4" s="9"/>
      <c r="O4" s="9"/>
    </row>
    <row r="5" spans="1:18" ht="45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73" t="s">
        <v>73</v>
      </c>
      <c r="H5" s="73" t="s">
        <v>74</v>
      </c>
      <c r="I5" s="26" t="s">
        <v>72</v>
      </c>
      <c r="J5" s="73" t="s">
        <v>88</v>
      </c>
      <c r="K5" s="73" t="s">
        <v>68</v>
      </c>
      <c r="L5" s="26" t="s">
        <v>60</v>
      </c>
      <c r="M5" s="26" t="s">
        <v>61</v>
      </c>
      <c r="N5" s="26" t="s">
        <v>62</v>
      </c>
      <c r="O5" s="4"/>
    </row>
    <row r="6" spans="1:18" x14ac:dyDescent="0.25">
      <c r="A6" s="11" t="s">
        <v>2</v>
      </c>
      <c r="B6" s="11" t="s">
        <v>3</v>
      </c>
      <c r="C6" s="5"/>
      <c r="D6" s="83">
        <v>17980343</v>
      </c>
      <c r="E6" s="83">
        <f>36000000+400000</f>
        <v>36400000</v>
      </c>
      <c r="F6" s="83">
        <f>D6+E6</f>
        <v>54380343</v>
      </c>
      <c r="G6" s="74">
        <v>0</v>
      </c>
      <c r="H6" s="74">
        <v>11390108</v>
      </c>
      <c r="I6" s="83">
        <f t="shared" ref="I6:I22" si="0">G6+H6</f>
        <v>11390108</v>
      </c>
      <c r="J6" s="74">
        <v>0</v>
      </c>
      <c r="K6" s="74">
        <v>2000000</v>
      </c>
      <c r="L6" s="83">
        <f t="shared" ref="L6:L22" si="1">J6+K6</f>
        <v>2000000</v>
      </c>
      <c r="M6" s="83">
        <v>15563873</v>
      </c>
      <c r="N6" s="83">
        <f t="shared" ref="N6:N37" si="2">F6+I6+L6+M6</f>
        <v>83334324</v>
      </c>
      <c r="O6" s="5"/>
    </row>
    <row r="7" spans="1:18" x14ac:dyDescent="0.25">
      <c r="A7" s="21" t="s">
        <v>4</v>
      </c>
      <c r="B7" s="21" t="s">
        <v>4</v>
      </c>
      <c r="C7" s="22"/>
      <c r="D7" s="43">
        <v>158155057</v>
      </c>
      <c r="E7" s="44">
        <f>15007886+60000</f>
        <v>15067886</v>
      </c>
      <c r="F7" s="83">
        <f>D7+E7</f>
        <v>173222943</v>
      </c>
      <c r="G7" s="74">
        <v>0</v>
      </c>
      <c r="H7" s="74">
        <v>641600</v>
      </c>
      <c r="I7" s="83">
        <f t="shared" si="0"/>
        <v>641600</v>
      </c>
      <c r="J7" s="75">
        <v>0</v>
      </c>
      <c r="K7" s="75">
        <v>120864</v>
      </c>
      <c r="L7" s="83">
        <f t="shared" si="1"/>
        <v>120864</v>
      </c>
      <c r="M7" s="44">
        <v>50000000</v>
      </c>
      <c r="N7" s="83">
        <f t="shared" si="2"/>
        <v>223985407</v>
      </c>
      <c r="O7" s="22"/>
      <c r="P7" s="33"/>
      <c r="Q7" s="29"/>
      <c r="R7" s="30"/>
    </row>
    <row r="8" spans="1:18" x14ac:dyDescent="0.25">
      <c r="A8" s="23" t="s">
        <v>5</v>
      </c>
      <c r="B8" s="23" t="s">
        <v>5</v>
      </c>
      <c r="C8" s="24"/>
      <c r="D8" s="45">
        <v>2702185</v>
      </c>
      <c r="E8" s="46">
        <v>38753</v>
      </c>
      <c r="F8" s="83">
        <f>D8+E8</f>
        <v>2740938</v>
      </c>
      <c r="G8" s="74">
        <v>0</v>
      </c>
      <c r="H8" s="74">
        <v>375000</v>
      </c>
      <c r="I8" s="83">
        <f t="shared" si="0"/>
        <v>375000</v>
      </c>
      <c r="J8" s="76">
        <v>0</v>
      </c>
      <c r="K8" s="76">
        <v>1100000</v>
      </c>
      <c r="L8" s="83">
        <f t="shared" si="1"/>
        <v>1100000</v>
      </c>
      <c r="M8" s="46">
        <v>4034667</v>
      </c>
      <c r="N8" s="83">
        <f t="shared" si="2"/>
        <v>8250605</v>
      </c>
      <c r="O8" s="24"/>
      <c r="P8" s="30"/>
      <c r="Q8" s="30"/>
      <c r="R8" s="30"/>
    </row>
    <row r="9" spans="1:18" x14ac:dyDescent="0.25">
      <c r="A9" s="16" t="s">
        <v>6</v>
      </c>
      <c r="B9" s="16" t="s">
        <v>7</v>
      </c>
      <c r="C9" s="3"/>
      <c r="D9" s="27">
        <v>12426143</v>
      </c>
      <c r="E9" s="28">
        <f>10847+508873</f>
        <v>519720</v>
      </c>
      <c r="F9" s="28">
        <f>D9+E9</f>
        <v>12945863</v>
      </c>
      <c r="G9" s="77">
        <v>4198079</v>
      </c>
      <c r="H9" s="77">
        <v>0</v>
      </c>
      <c r="I9" s="28">
        <f t="shared" si="0"/>
        <v>4198079</v>
      </c>
      <c r="J9" s="77">
        <v>11887664</v>
      </c>
      <c r="K9" s="77">
        <v>0</v>
      </c>
      <c r="L9" s="28">
        <f t="shared" si="1"/>
        <v>11887664</v>
      </c>
      <c r="M9" s="28">
        <v>0</v>
      </c>
      <c r="N9" s="28">
        <f t="shared" si="2"/>
        <v>29031606</v>
      </c>
      <c r="O9" s="3"/>
      <c r="P9" s="30"/>
      <c r="Q9" s="30"/>
      <c r="R9" s="30"/>
    </row>
    <row r="10" spans="1:18" x14ac:dyDescent="0.25">
      <c r="A10" s="15"/>
      <c r="B10" s="16" t="s">
        <v>8</v>
      </c>
      <c r="C10" s="3"/>
      <c r="D10" s="27">
        <v>9595886</v>
      </c>
      <c r="E10" s="28">
        <f>8376+392970</f>
        <v>401346</v>
      </c>
      <c r="F10" s="28">
        <f>D10+E10</f>
        <v>9997232</v>
      </c>
      <c r="G10" s="77">
        <v>3241898</v>
      </c>
      <c r="H10" s="77">
        <v>0</v>
      </c>
      <c r="I10" s="28">
        <f t="shared" si="0"/>
        <v>3241898</v>
      </c>
      <c r="J10" s="77">
        <v>9459742</v>
      </c>
      <c r="K10" s="77">
        <v>296825</v>
      </c>
      <c r="L10" s="28">
        <f t="shared" si="1"/>
        <v>9756567</v>
      </c>
      <c r="M10" s="28">
        <v>0</v>
      </c>
      <c r="N10" s="28">
        <f t="shared" si="2"/>
        <v>22995697</v>
      </c>
      <c r="O10" s="3"/>
      <c r="P10" s="30"/>
      <c r="Q10" s="30"/>
      <c r="R10" s="30"/>
    </row>
    <row r="11" spans="1:18" x14ac:dyDescent="0.25">
      <c r="A11" s="15"/>
      <c r="B11" s="16" t="s">
        <v>9</v>
      </c>
      <c r="C11" s="3"/>
      <c r="D11" s="27">
        <v>0</v>
      </c>
      <c r="E11" s="28">
        <v>0</v>
      </c>
      <c r="F11" s="28">
        <f t="shared" ref="F11:F22" si="3">D11+E11</f>
        <v>0</v>
      </c>
      <c r="G11" s="77"/>
      <c r="H11" s="77"/>
      <c r="I11" s="28">
        <f t="shared" si="0"/>
        <v>0</v>
      </c>
      <c r="J11" s="77">
        <v>0</v>
      </c>
      <c r="K11" s="77">
        <v>0</v>
      </c>
      <c r="L11" s="28">
        <f t="shared" si="1"/>
        <v>0</v>
      </c>
      <c r="M11" s="28">
        <v>0</v>
      </c>
      <c r="N11" s="28">
        <f t="shared" si="2"/>
        <v>0</v>
      </c>
      <c r="O11" s="3"/>
      <c r="P11" s="30"/>
      <c r="Q11" s="30"/>
      <c r="R11" s="30"/>
    </row>
    <row r="12" spans="1:18" x14ac:dyDescent="0.25">
      <c r="A12" s="15"/>
      <c r="B12" s="16" t="s">
        <v>10</v>
      </c>
      <c r="C12" s="3"/>
      <c r="D12" s="27">
        <v>31322758</v>
      </c>
      <c r="E12" s="28">
        <f>27342+1282724</f>
        <v>1310066</v>
      </c>
      <c r="F12" s="28">
        <f t="shared" si="3"/>
        <v>32632824</v>
      </c>
      <c r="G12" s="77">
        <v>10582158</v>
      </c>
      <c r="H12" s="77">
        <v>0</v>
      </c>
      <c r="I12" s="28">
        <f t="shared" si="0"/>
        <v>10582158</v>
      </c>
      <c r="J12" s="77">
        <v>38244121</v>
      </c>
      <c r="K12" s="77">
        <v>2652000</v>
      </c>
      <c r="L12" s="28">
        <f t="shared" si="1"/>
        <v>40896121</v>
      </c>
      <c r="M12" s="28">
        <v>0</v>
      </c>
      <c r="N12" s="28">
        <f t="shared" si="2"/>
        <v>84111103</v>
      </c>
      <c r="O12" s="3"/>
      <c r="P12" s="30"/>
      <c r="Q12" s="30"/>
      <c r="R12" s="30"/>
    </row>
    <row r="13" spans="1:18" x14ac:dyDescent="0.25">
      <c r="A13" s="15"/>
      <c r="B13" s="16" t="s">
        <v>11</v>
      </c>
      <c r="C13" s="3"/>
      <c r="D13" s="27">
        <v>3162849</v>
      </c>
      <c r="E13" s="28">
        <f>2761+129524+25000</f>
        <v>157285</v>
      </c>
      <c r="F13" s="28">
        <f t="shared" si="3"/>
        <v>3320134</v>
      </c>
      <c r="G13" s="77">
        <v>1068545</v>
      </c>
      <c r="H13" s="77">
        <v>0</v>
      </c>
      <c r="I13" s="28">
        <f t="shared" si="0"/>
        <v>1068545</v>
      </c>
      <c r="J13" s="77">
        <v>3268372</v>
      </c>
      <c r="K13" s="77">
        <v>0</v>
      </c>
      <c r="L13" s="28">
        <f t="shared" si="1"/>
        <v>3268372</v>
      </c>
      <c r="M13" s="28">
        <v>0</v>
      </c>
      <c r="N13" s="28">
        <f t="shared" si="2"/>
        <v>7657051</v>
      </c>
      <c r="O13" s="3"/>
      <c r="P13" s="30"/>
      <c r="Q13" s="30"/>
      <c r="R13" s="30"/>
    </row>
    <row r="14" spans="1:18" x14ac:dyDescent="0.25">
      <c r="A14" s="15"/>
      <c r="B14" s="16" t="s">
        <v>12</v>
      </c>
      <c r="C14" s="3"/>
      <c r="D14" s="27">
        <v>7041985</v>
      </c>
      <c r="E14" s="28">
        <v>10125000</v>
      </c>
      <c r="F14" s="28">
        <f t="shared" si="3"/>
        <v>17166985</v>
      </c>
      <c r="G14" s="77">
        <v>3600357</v>
      </c>
      <c r="H14" s="77">
        <v>0</v>
      </c>
      <c r="I14" s="28">
        <f t="shared" si="0"/>
        <v>3600357</v>
      </c>
      <c r="J14" s="77">
        <v>0</v>
      </c>
      <c r="K14" s="77">
        <v>0</v>
      </c>
      <c r="L14" s="28">
        <f t="shared" si="1"/>
        <v>0</v>
      </c>
      <c r="M14" s="28">
        <v>9202724</v>
      </c>
      <c r="N14" s="28">
        <f t="shared" si="2"/>
        <v>29970066</v>
      </c>
      <c r="O14" s="3"/>
      <c r="P14" s="30"/>
      <c r="Q14" s="30"/>
      <c r="R14" s="30"/>
    </row>
    <row r="15" spans="1:18" x14ac:dyDescent="0.25">
      <c r="A15" s="15"/>
      <c r="B15" s="16" t="s">
        <v>13</v>
      </c>
      <c r="C15" s="3"/>
      <c r="D15" s="27">
        <v>1012500</v>
      </c>
      <c r="E15" s="28">
        <v>0</v>
      </c>
      <c r="F15" s="28">
        <f t="shared" si="3"/>
        <v>1012500</v>
      </c>
      <c r="G15" s="77">
        <v>0</v>
      </c>
      <c r="H15" s="77">
        <v>0</v>
      </c>
      <c r="I15" s="28">
        <f t="shared" si="0"/>
        <v>0</v>
      </c>
      <c r="J15" s="77">
        <v>0</v>
      </c>
      <c r="K15" s="77">
        <v>0</v>
      </c>
      <c r="L15" s="28">
        <f t="shared" si="1"/>
        <v>0</v>
      </c>
      <c r="M15" s="28">
        <v>0</v>
      </c>
      <c r="N15" s="28">
        <f t="shared" si="2"/>
        <v>1012500</v>
      </c>
      <c r="O15" s="3"/>
      <c r="P15" s="30"/>
      <c r="Q15" s="30"/>
      <c r="R15" s="30"/>
    </row>
    <row r="16" spans="1:18" x14ac:dyDescent="0.25">
      <c r="A16" s="15"/>
      <c r="B16" s="16" t="s">
        <v>14</v>
      </c>
      <c r="C16" s="3"/>
      <c r="D16" s="27">
        <v>4398155</v>
      </c>
      <c r="E16" s="28">
        <f>3839+180112</f>
        <v>183951</v>
      </c>
      <c r="F16" s="28">
        <f t="shared" si="3"/>
        <v>4582106</v>
      </c>
      <c r="G16" s="77">
        <v>1485883</v>
      </c>
      <c r="H16" s="77">
        <v>0</v>
      </c>
      <c r="I16" s="28">
        <f t="shared" si="0"/>
        <v>1485883</v>
      </c>
      <c r="J16" s="77">
        <v>3372787</v>
      </c>
      <c r="K16" s="77">
        <v>0</v>
      </c>
      <c r="L16" s="28">
        <f t="shared" si="1"/>
        <v>3372787</v>
      </c>
      <c r="M16" s="28">
        <v>0</v>
      </c>
      <c r="N16" s="28">
        <f t="shared" si="2"/>
        <v>9440776</v>
      </c>
      <c r="O16" s="3"/>
      <c r="P16" s="30"/>
      <c r="Q16" s="30"/>
      <c r="R16" s="30"/>
    </row>
    <row r="17" spans="1:18" x14ac:dyDescent="0.25">
      <c r="A17" s="15"/>
      <c r="B17" s="16" t="s">
        <v>15</v>
      </c>
      <c r="C17" s="3"/>
      <c r="D17" s="27">
        <v>47795300</v>
      </c>
      <c r="E17" s="28">
        <f>41720+1957306+150000</f>
        <v>2149026</v>
      </c>
      <c r="F17" s="28">
        <f t="shared" si="3"/>
        <v>49944326</v>
      </c>
      <c r="G17" s="77">
        <v>16147283</v>
      </c>
      <c r="H17" s="77">
        <v>0</v>
      </c>
      <c r="I17" s="28">
        <f t="shared" si="0"/>
        <v>16147283</v>
      </c>
      <c r="J17" s="77">
        <v>12856950</v>
      </c>
      <c r="K17" s="77">
        <f>595700+385290</f>
        <v>980990</v>
      </c>
      <c r="L17" s="28">
        <f t="shared" si="1"/>
        <v>13837940</v>
      </c>
      <c r="M17" s="28">
        <v>0</v>
      </c>
      <c r="N17" s="28">
        <f t="shared" si="2"/>
        <v>79929549</v>
      </c>
      <c r="O17" s="3"/>
      <c r="P17" s="30"/>
      <c r="Q17" s="30"/>
      <c r="R17" s="30"/>
    </row>
    <row r="18" spans="1:18" x14ac:dyDescent="0.25">
      <c r="A18" s="15"/>
      <c r="B18" s="16" t="s">
        <v>16</v>
      </c>
      <c r="C18" s="3"/>
      <c r="D18" s="27">
        <v>3517412</v>
      </c>
      <c r="E18" s="28">
        <f>3070+144045</f>
        <v>147115</v>
      </c>
      <c r="F18" s="28">
        <f t="shared" si="3"/>
        <v>3664527</v>
      </c>
      <c r="G18" s="77">
        <v>1188332</v>
      </c>
      <c r="H18" s="77">
        <v>0</v>
      </c>
      <c r="I18" s="28">
        <f t="shared" si="0"/>
        <v>1188332</v>
      </c>
      <c r="J18" s="77">
        <v>2886939</v>
      </c>
      <c r="K18" s="77">
        <f>14207+7700</f>
        <v>21907</v>
      </c>
      <c r="L18" s="28">
        <f t="shared" si="1"/>
        <v>2908846</v>
      </c>
      <c r="M18" s="28">
        <v>0</v>
      </c>
      <c r="N18" s="28">
        <f t="shared" si="2"/>
        <v>7761705</v>
      </c>
      <c r="O18" s="3"/>
      <c r="P18" s="30"/>
      <c r="Q18" s="30"/>
      <c r="R18" s="30"/>
    </row>
    <row r="19" spans="1:18" x14ac:dyDescent="0.25">
      <c r="A19" s="15"/>
      <c r="B19" s="16" t="s">
        <v>17</v>
      </c>
      <c r="C19" s="3"/>
      <c r="D19" s="27">
        <v>0</v>
      </c>
      <c r="E19" s="28">
        <v>0</v>
      </c>
      <c r="F19" s="28">
        <f t="shared" si="3"/>
        <v>0</v>
      </c>
      <c r="G19" s="77"/>
      <c r="H19" s="77"/>
      <c r="I19" s="28">
        <f t="shared" si="0"/>
        <v>0</v>
      </c>
      <c r="J19" s="77">
        <v>0</v>
      </c>
      <c r="K19" s="77">
        <v>0</v>
      </c>
      <c r="L19" s="28">
        <f t="shared" si="1"/>
        <v>0</v>
      </c>
      <c r="M19" s="28">
        <v>0</v>
      </c>
      <c r="N19" s="28">
        <f t="shared" si="2"/>
        <v>0</v>
      </c>
      <c r="O19" s="3"/>
      <c r="P19" s="30"/>
      <c r="Q19" s="30"/>
      <c r="R19" s="30"/>
    </row>
    <row r="20" spans="1:18" x14ac:dyDescent="0.25">
      <c r="A20" s="15"/>
      <c r="B20" s="16" t="s">
        <v>18</v>
      </c>
      <c r="C20" s="3"/>
      <c r="D20" s="27">
        <v>3013963</v>
      </c>
      <c r="E20" s="28">
        <f>2631+123427</f>
        <v>126058</v>
      </c>
      <c r="F20" s="28">
        <f t="shared" si="3"/>
        <v>3140021</v>
      </c>
      <c r="G20" s="77">
        <v>1018245</v>
      </c>
      <c r="H20" s="77">
        <v>0</v>
      </c>
      <c r="I20" s="28">
        <f t="shared" si="0"/>
        <v>1018245</v>
      </c>
      <c r="J20" s="77">
        <v>2408121</v>
      </c>
      <c r="K20" s="77">
        <v>0</v>
      </c>
      <c r="L20" s="28">
        <f t="shared" si="1"/>
        <v>2408121</v>
      </c>
      <c r="M20" s="28">
        <v>0</v>
      </c>
      <c r="N20" s="28">
        <f t="shared" si="2"/>
        <v>6566387</v>
      </c>
      <c r="O20" s="3"/>
      <c r="P20" s="30"/>
      <c r="Q20" s="30"/>
      <c r="R20" s="30"/>
    </row>
    <row r="21" spans="1:18" x14ac:dyDescent="0.25">
      <c r="A21" s="15"/>
      <c r="B21" s="16" t="s">
        <v>19</v>
      </c>
      <c r="C21" s="3"/>
      <c r="D21" s="27">
        <v>5321652</v>
      </c>
      <c r="E21" s="28">
        <f>4645+217931</f>
        <v>222576</v>
      </c>
      <c r="F21" s="28">
        <f t="shared" si="3"/>
        <v>5544228</v>
      </c>
      <c r="G21" s="77">
        <v>1797880</v>
      </c>
      <c r="H21" s="77">
        <v>0</v>
      </c>
      <c r="I21" s="28">
        <f t="shared" si="0"/>
        <v>1797880</v>
      </c>
      <c r="J21" s="77">
        <v>6106499</v>
      </c>
      <c r="K21" s="77">
        <v>70323</v>
      </c>
      <c r="L21" s="28">
        <f t="shared" si="1"/>
        <v>6176822</v>
      </c>
      <c r="M21" s="28">
        <v>0</v>
      </c>
      <c r="N21" s="28">
        <f t="shared" si="2"/>
        <v>13518930</v>
      </c>
      <c r="O21" s="3"/>
      <c r="P21" s="30"/>
      <c r="Q21" s="30"/>
      <c r="R21" s="30"/>
    </row>
    <row r="22" spans="1:18" x14ac:dyDescent="0.25">
      <c r="A22" s="15"/>
      <c r="B22" s="16" t="s">
        <v>20</v>
      </c>
      <c r="C22" s="3"/>
      <c r="D22" s="27">
        <v>5200231</v>
      </c>
      <c r="E22" s="28">
        <f>4539+212959+175201</f>
        <v>392699</v>
      </c>
      <c r="F22" s="28">
        <f t="shared" si="3"/>
        <v>5592930</v>
      </c>
      <c r="G22" s="77">
        <v>1756859</v>
      </c>
      <c r="H22" s="77">
        <v>0</v>
      </c>
      <c r="I22" s="28">
        <f t="shared" si="0"/>
        <v>1756859</v>
      </c>
      <c r="J22" s="77">
        <v>2738694</v>
      </c>
      <c r="K22" s="77">
        <f>115750+550500</f>
        <v>666250</v>
      </c>
      <c r="L22" s="28">
        <f t="shared" si="1"/>
        <v>3404944</v>
      </c>
      <c r="M22" s="28">
        <v>0</v>
      </c>
      <c r="N22" s="28">
        <f t="shared" si="2"/>
        <v>10754733</v>
      </c>
      <c r="O22" s="3"/>
      <c r="P22" s="30"/>
      <c r="Q22" s="30"/>
      <c r="R22" s="30"/>
    </row>
    <row r="23" spans="1:18" x14ac:dyDescent="0.25">
      <c r="A23" s="17" t="s">
        <v>21</v>
      </c>
      <c r="B23" s="18"/>
      <c r="C23" s="6"/>
      <c r="D23" s="83">
        <f t="shared" ref="D23:M23" si="4">SUM(D9:D22)</f>
        <v>133808834</v>
      </c>
      <c r="E23" s="83">
        <f t="shared" si="4"/>
        <v>15734842</v>
      </c>
      <c r="F23" s="83">
        <f t="shared" si="4"/>
        <v>149543676</v>
      </c>
      <c r="G23" s="74">
        <f>SUM(G9:G22)</f>
        <v>46085519</v>
      </c>
      <c r="H23" s="74">
        <f>SUM(H9:H22)</f>
        <v>0</v>
      </c>
      <c r="I23" s="83">
        <f>SUM(I9:I22)</f>
        <v>46085519</v>
      </c>
      <c r="J23" s="74">
        <f>SUM(J9:J22)</f>
        <v>93229889</v>
      </c>
      <c r="K23" s="74">
        <f>SUM(K9:K22)</f>
        <v>4688295</v>
      </c>
      <c r="L23" s="83">
        <f t="shared" si="4"/>
        <v>97918184</v>
      </c>
      <c r="M23" s="83">
        <f t="shared" si="4"/>
        <v>9202724</v>
      </c>
      <c r="N23" s="83">
        <f t="shared" si="2"/>
        <v>302750103</v>
      </c>
      <c r="O23" s="6"/>
      <c r="P23" s="30"/>
      <c r="Q23" s="30"/>
      <c r="R23" s="30"/>
    </row>
    <row r="24" spans="1:18" x14ac:dyDescent="0.25">
      <c r="A24" s="14" t="s">
        <v>22</v>
      </c>
      <c r="B24" s="14" t="s">
        <v>23</v>
      </c>
      <c r="C24" s="3"/>
      <c r="D24" s="27">
        <v>10823454</v>
      </c>
      <c r="E24" s="28">
        <v>0</v>
      </c>
      <c r="F24" s="28">
        <f t="shared" ref="F24:F35" si="5">D24+E24</f>
        <v>10823454</v>
      </c>
      <c r="G24" s="77">
        <v>0</v>
      </c>
      <c r="H24" s="77">
        <v>59656994</v>
      </c>
      <c r="I24" s="28">
        <f t="shared" ref="I24:I35" si="6">G24+H24</f>
        <v>59656994</v>
      </c>
      <c r="J24" s="77">
        <v>0</v>
      </c>
      <c r="K24" s="77">
        <v>2799145</v>
      </c>
      <c r="L24" s="28">
        <f t="shared" ref="L24:L35" si="7">J24+K24</f>
        <v>2799145</v>
      </c>
      <c r="M24" s="28">
        <v>8058474</v>
      </c>
      <c r="N24" s="28">
        <f t="shared" si="2"/>
        <v>81338067</v>
      </c>
      <c r="O24" s="3"/>
      <c r="P24" s="29"/>
      <c r="Q24" s="29"/>
      <c r="R24" s="30"/>
    </row>
    <row r="25" spans="1:18" x14ac:dyDescent="0.25">
      <c r="A25" s="15"/>
      <c r="B25" s="16" t="s">
        <v>24</v>
      </c>
      <c r="C25" s="3"/>
      <c r="D25" s="27">
        <v>11727705</v>
      </c>
      <c r="E25" s="28">
        <v>0</v>
      </c>
      <c r="F25" s="28">
        <f t="shared" si="5"/>
        <v>11727705</v>
      </c>
      <c r="G25" s="77">
        <v>0</v>
      </c>
      <c r="H25" s="77">
        <v>41785218</v>
      </c>
      <c r="I25" s="28">
        <f t="shared" si="6"/>
        <v>41785218</v>
      </c>
      <c r="J25" s="77">
        <v>0</v>
      </c>
      <c r="K25" s="77">
        <v>1918278</v>
      </c>
      <c r="L25" s="28">
        <f t="shared" si="7"/>
        <v>1918278</v>
      </c>
      <c r="M25" s="28">
        <v>3782232</v>
      </c>
      <c r="N25" s="28">
        <f t="shared" si="2"/>
        <v>59213433</v>
      </c>
      <c r="O25" s="3"/>
      <c r="P25" s="29"/>
      <c r="Q25" s="29"/>
      <c r="R25" s="30"/>
    </row>
    <row r="26" spans="1:18" x14ac:dyDescent="0.25">
      <c r="A26" s="15"/>
      <c r="B26" s="16" t="s">
        <v>25</v>
      </c>
      <c r="C26" s="3"/>
      <c r="D26" s="27">
        <v>67827185</v>
      </c>
      <c r="E26" s="28">
        <f>2906777+2225865+5000000</f>
        <v>10132642</v>
      </c>
      <c r="F26" s="28">
        <f t="shared" si="5"/>
        <v>77959827</v>
      </c>
      <c r="G26" s="77">
        <v>0</v>
      </c>
      <c r="H26" s="77">
        <v>0</v>
      </c>
      <c r="I26" s="28">
        <f t="shared" si="6"/>
        <v>0</v>
      </c>
      <c r="J26" s="77">
        <v>0</v>
      </c>
      <c r="K26" s="77">
        <v>6807967</v>
      </c>
      <c r="L26" s="28">
        <f t="shared" si="7"/>
        <v>6807967</v>
      </c>
      <c r="M26" s="28">
        <v>13018275</v>
      </c>
      <c r="N26" s="28">
        <f t="shared" si="2"/>
        <v>97786069</v>
      </c>
      <c r="O26" s="3"/>
      <c r="P26" s="30"/>
      <c r="Q26" s="30"/>
      <c r="R26" s="30"/>
    </row>
    <row r="27" spans="1:18" x14ac:dyDescent="0.25">
      <c r="A27" s="15"/>
      <c r="B27" s="16" t="s">
        <v>26</v>
      </c>
      <c r="C27" s="3"/>
      <c r="D27" s="27">
        <v>6895905</v>
      </c>
      <c r="E27" s="28">
        <v>274220</v>
      </c>
      <c r="F27" s="28">
        <f t="shared" si="5"/>
        <v>7170125</v>
      </c>
      <c r="G27" s="77">
        <v>3400985</v>
      </c>
      <c r="H27" s="77">
        <v>0</v>
      </c>
      <c r="I27" s="28">
        <f t="shared" si="6"/>
        <v>3400985</v>
      </c>
      <c r="J27" s="77">
        <v>9046719</v>
      </c>
      <c r="K27" s="77">
        <v>27000</v>
      </c>
      <c r="L27" s="28">
        <f t="shared" si="7"/>
        <v>9073719</v>
      </c>
      <c r="M27" s="28">
        <v>0</v>
      </c>
      <c r="N27" s="28">
        <f t="shared" si="2"/>
        <v>19644829</v>
      </c>
      <c r="O27" s="3"/>
      <c r="P27" s="30"/>
      <c r="Q27" s="30"/>
      <c r="R27" s="30"/>
    </row>
    <row r="28" spans="1:18" x14ac:dyDescent="0.25">
      <c r="A28" s="15"/>
      <c r="B28" s="16" t="s">
        <v>27</v>
      </c>
      <c r="C28" s="3"/>
      <c r="D28" s="27">
        <v>137750466</v>
      </c>
      <c r="E28" s="28">
        <f>123007+8263593+750000+3523950+210000+1383000</f>
        <v>14253550</v>
      </c>
      <c r="F28" s="28">
        <f t="shared" si="5"/>
        <v>152004016</v>
      </c>
      <c r="G28" s="77">
        <v>56507987</v>
      </c>
      <c r="H28" s="77">
        <v>6649986</v>
      </c>
      <c r="I28" s="28">
        <f t="shared" si="6"/>
        <v>63157973</v>
      </c>
      <c r="J28" s="77">
        <v>199512312</v>
      </c>
      <c r="K28" s="77">
        <f>10356294+18095628</f>
        <v>28451922</v>
      </c>
      <c r="L28" s="28">
        <f t="shared" si="7"/>
        <v>227964234</v>
      </c>
      <c r="M28" s="28">
        <v>0</v>
      </c>
      <c r="N28" s="28">
        <f t="shared" si="2"/>
        <v>443126223</v>
      </c>
      <c r="O28" s="3"/>
      <c r="P28" s="30"/>
      <c r="Q28" s="30"/>
      <c r="R28" s="30"/>
    </row>
    <row r="29" spans="1:18" x14ac:dyDescent="0.25">
      <c r="A29" s="15"/>
      <c r="B29" s="16" t="s">
        <v>28</v>
      </c>
      <c r="C29" s="3"/>
      <c r="D29" s="27">
        <v>6095022</v>
      </c>
      <c r="E29" s="28">
        <v>0</v>
      </c>
      <c r="F29" s="28">
        <f t="shared" si="5"/>
        <v>6095022</v>
      </c>
      <c r="G29" s="77">
        <v>0</v>
      </c>
      <c r="H29" s="77">
        <v>2764148</v>
      </c>
      <c r="I29" s="28">
        <f t="shared" si="6"/>
        <v>2764148</v>
      </c>
      <c r="J29" s="77">
        <v>0</v>
      </c>
      <c r="K29" s="77">
        <v>0</v>
      </c>
      <c r="L29" s="28">
        <f t="shared" si="7"/>
        <v>0</v>
      </c>
      <c r="M29" s="28">
        <v>0</v>
      </c>
      <c r="N29" s="28">
        <f t="shared" si="2"/>
        <v>8859170</v>
      </c>
      <c r="O29" s="3"/>
      <c r="P29" s="30"/>
      <c r="Q29" s="30"/>
      <c r="R29" s="30"/>
    </row>
    <row r="30" spans="1:18" x14ac:dyDescent="0.25">
      <c r="A30" s="15"/>
      <c r="B30" s="16" t="s">
        <v>29</v>
      </c>
      <c r="C30" s="3"/>
      <c r="D30" s="27">
        <v>5481984</v>
      </c>
      <c r="E30" s="28">
        <v>253270</v>
      </c>
      <c r="F30" s="28">
        <f t="shared" si="5"/>
        <v>5735254</v>
      </c>
      <c r="G30" s="77">
        <v>1948366</v>
      </c>
      <c r="H30" s="77">
        <v>0</v>
      </c>
      <c r="I30" s="28">
        <f t="shared" si="6"/>
        <v>1948366</v>
      </c>
      <c r="J30" s="77">
        <v>5628383</v>
      </c>
      <c r="K30" s="77">
        <v>135000</v>
      </c>
      <c r="L30" s="28">
        <f t="shared" si="7"/>
        <v>5763383</v>
      </c>
      <c r="M30" s="28">
        <v>0</v>
      </c>
      <c r="N30" s="28">
        <f t="shared" si="2"/>
        <v>13447003</v>
      </c>
      <c r="O30" s="3"/>
      <c r="P30" s="30"/>
      <c r="Q30" s="30"/>
      <c r="R30" s="30"/>
    </row>
    <row r="31" spans="1:18" x14ac:dyDescent="0.25">
      <c r="A31" s="15"/>
      <c r="B31" s="16" t="s">
        <v>30</v>
      </c>
      <c r="C31" s="3"/>
      <c r="D31" s="27">
        <v>68319983</v>
      </c>
      <c r="E31" s="28">
        <f>63111+4128762+16258357+75000</f>
        <v>20525230</v>
      </c>
      <c r="F31" s="28">
        <f t="shared" si="5"/>
        <v>88845213</v>
      </c>
      <c r="G31" s="77">
        <v>28742733</v>
      </c>
      <c r="H31" s="77">
        <v>38169464</v>
      </c>
      <c r="I31" s="28">
        <f t="shared" si="6"/>
        <v>66912197</v>
      </c>
      <c r="J31" s="77">
        <v>22436109</v>
      </c>
      <c r="K31" s="77">
        <f>1406229+199791</f>
        <v>1606020</v>
      </c>
      <c r="L31" s="28">
        <f t="shared" si="7"/>
        <v>24042129</v>
      </c>
      <c r="M31" s="28">
        <v>0</v>
      </c>
      <c r="N31" s="28">
        <f t="shared" si="2"/>
        <v>179799539</v>
      </c>
      <c r="O31" s="3"/>
      <c r="P31" s="30"/>
      <c r="Q31" s="30"/>
      <c r="R31" s="30"/>
    </row>
    <row r="32" spans="1:18" x14ac:dyDescent="0.25">
      <c r="A32" s="15"/>
      <c r="B32" s="16" t="s">
        <v>31</v>
      </c>
      <c r="C32" s="3"/>
      <c r="D32" s="27">
        <v>44334167</v>
      </c>
      <c r="E32" s="28">
        <f>39826+2685081+6322695+300000</f>
        <v>9347602</v>
      </c>
      <c r="F32" s="28">
        <f t="shared" si="5"/>
        <v>53681769</v>
      </c>
      <c r="G32" s="77">
        <v>18675205</v>
      </c>
      <c r="H32" s="77">
        <v>245572698</v>
      </c>
      <c r="I32" s="28">
        <f t="shared" si="6"/>
        <v>264247903</v>
      </c>
      <c r="J32" s="77">
        <v>8228584</v>
      </c>
      <c r="K32" s="77">
        <f>45487517+20400+1174366</f>
        <v>46682283</v>
      </c>
      <c r="L32" s="28">
        <f t="shared" si="7"/>
        <v>54910867</v>
      </c>
      <c r="M32" s="28">
        <v>58724160</v>
      </c>
      <c r="N32" s="28">
        <f t="shared" si="2"/>
        <v>431564699</v>
      </c>
      <c r="O32" s="3"/>
      <c r="P32" s="33"/>
      <c r="Q32" s="29"/>
      <c r="R32" s="30"/>
    </row>
    <row r="33" spans="1:18" x14ac:dyDescent="0.25">
      <c r="A33" s="15"/>
      <c r="B33" s="16" t="s">
        <v>32</v>
      </c>
      <c r="C33" s="3"/>
      <c r="D33" s="27">
        <v>10156205</v>
      </c>
      <c r="E33" s="28">
        <f>9857+631290+500000</f>
        <v>1141147</v>
      </c>
      <c r="F33" s="28">
        <f t="shared" si="5"/>
        <v>11297352</v>
      </c>
      <c r="G33" s="77">
        <v>4409204</v>
      </c>
      <c r="H33" s="77">
        <v>0</v>
      </c>
      <c r="I33" s="28">
        <f t="shared" si="6"/>
        <v>4409204</v>
      </c>
      <c r="J33" s="77">
        <v>15396570</v>
      </c>
      <c r="K33" s="77">
        <f>19500+99200</f>
        <v>118700</v>
      </c>
      <c r="L33" s="28">
        <f t="shared" si="7"/>
        <v>15515270</v>
      </c>
      <c r="M33" s="28">
        <v>0</v>
      </c>
      <c r="N33" s="28">
        <f t="shared" si="2"/>
        <v>31221826</v>
      </c>
      <c r="O33" s="3"/>
      <c r="P33" s="30"/>
      <c r="Q33" s="30"/>
      <c r="R33" s="30"/>
    </row>
    <row r="34" spans="1:18" x14ac:dyDescent="0.25">
      <c r="A34" s="15"/>
      <c r="B34" s="16" t="s">
        <v>33</v>
      </c>
      <c r="C34" s="3"/>
      <c r="D34" s="27">
        <v>5859701</v>
      </c>
      <c r="E34" s="28">
        <v>404101</v>
      </c>
      <c r="F34" s="28">
        <f t="shared" si="5"/>
        <v>6263802</v>
      </c>
      <c r="G34" s="77">
        <v>2455272</v>
      </c>
      <c r="H34" s="77">
        <v>0</v>
      </c>
      <c r="I34" s="28">
        <f t="shared" si="6"/>
        <v>2455272</v>
      </c>
      <c r="J34" s="77">
        <v>12798883</v>
      </c>
      <c r="K34" s="77">
        <f>18000+93000</f>
        <v>111000</v>
      </c>
      <c r="L34" s="28">
        <f t="shared" si="7"/>
        <v>12909883</v>
      </c>
      <c r="M34" s="28">
        <v>0</v>
      </c>
      <c r="N34" s="28">
        <f t="shared" si="2"/>
        <v>21628957</v>
      </c>
      <c r="O34" s="3"/>
      <c r="P34" s="30"/>
      <c r="Q34" s="30"/>
      <c r="R34" s="30"/>
    </row>
    <row r="35" spans="1:18" x14ac:dyDescent="0.25">
      <c r="A35" s="15"/>
      <c r="B35" s="16" t="s">
        <v>34</v>
      </c>
      <c r="C35" s="3"/>
      <c r="D35" s="27">
        <v>13751230</v>
      </c>
      <c r="E35" s="28">
        <v>94147</v>
      </c>
      <c r="F35" s="28">
        <f t="shared" si="5"/>
        <v>13845377</v>
      </c>
      <c r="G35" s="77">
        <v>0</v>
      </c>
      <c r="H35" s="77">
        <v>0</v>
      </c>
      <c r="I35" s="28">
        <f t="shared" si="6"/>
        <v>0</v>
      </c>
      <c r="J35" s="77">
        <v>0</v>
      </c>
      <c r="K35" s="77">
        <v>825561</v>
      </c>
      <c r="L35" s="28">
        <f t="shared" si="7"/>
        <v>825561</v>
      </c>
      <c r="M35" s="28">
        <v>0</v>
      </c>
      <c r="N35" s="28">
        <f t="shared" si="2"/>
        <v>14670938</v>
      </c>
      <c r="O35" s="3"/>
      <c r="P35" s="30"/>
      <c r="Q35" s="30"/>
      <c r="R35" s="30"/>
    </row>
    <row r="36" spans="1:18" x14ac:dyDescent="0.25">
      <c r="A36" s="17" t="s">
        <v>35</v>
      </c>
      <c r="B36" s="18"/>
      <c r="C36" s="6"/>
      <c r="D36" s="83">
        <f t="shared" ref="D36:M36" si="8">SUM(D24:D35)</f>
        <v>389023007</v>
      </c>
      <c r="E36" s="83">
        <f t="shared" si="8"/>
        <v>56425909</v>
      </c>
      <c r="F36" s="83">
        <f t="shared" si="8"/>
        <v>445448916</v>
      </c>
      <c r="G36" s="74">
        <f>SUM(G24:G35)</f>
        <v>116139752</v>
      </c>
      <c r="H36" s="74">
        <f>SUM(H24:H35)</f>
        <v>394598508</v>
      </c>
      <c r="I36" s="83">
        <f>SUM(I24:I35)</f>
        <v>510738260</v>
      </c>
      <c r="J36" s="74">
        <f>SUM(J24:J35)</f>
        <v>273047560</v>
      </c>
      <c r="K36" s="74">
        <f>SUM(K24:K35)</f>
        <v>89482876</v>
      </c>
      <c r="L36" s="83">
        <f t="shared" si="8"/>
        <v>362530436</v>
      </c>
      <c r="M36" s="83">
        <f t="shared" si="8"/>
        <v>83583141</v>
      </c>
      <c r="N36" s="83">
        <f t="shared" si="2"/>
        <v>1402300753</v>
      </c>
      <c r="O36" s="6"/>
      <c r="P36" s="30"/>
      <c r="Q36" s="30"/>
      <c r="R36" s="30"/>
    </row>
    <row r="37" spans="1:18" x14ac:dyDescent="0.25">
      <c r="A37" s="14" t="s">
        <v>36</v>
      </c>
      <c r="B37" s="14" t="s">
        <v>37</v>
      </c>
      <c r="C37" s="3"/>
      <c r="D37" s="27">
        <v>2776603</v>
      </c>
      <c r="E37" s="28">
        <f>55582+1000000+750000</f>
        <v>1805582</v>
      </c>
      <c r="F37" s="28">
        <f t="shared" ref="F37:F42" si="9">D37+E37</f>
        <v>4582185</v>
      </c>
      <c r="G37" s="77">
        <v>0</v>
      </c>
      <c r="H37" s="77">
        <v>0</v>
      </c>
      <c r="I37" s="28">
        <f t="shared" ref="I37:I42" si="10">G37+H37</f>
        <v>0</v>
      </c>
      <c r="J37" s="77">
        <v>0</v>
      </c>
      <c r="K37" s="77">
        <v>0</v>
      </c>
      <c r="L37" s="28">
        <f t="shared" ref="L37:L42" si="11">J37+K37</f>
        <v>0</v>
      </c>
      <c r="M37" s="28">
        <v>3379752</v>
      </c>
      <c r="N37" s="28">
        <f t="shared" si="2"/>
        <v>7961937</v>
      </c>
      <c r="O37" s="3"/>
      <c r="P37" s="30"/>
      <c r="Q37" s="30"/>
      <c r="R37" s="30"/>
    </row>
    <row r="38" spans="1:18" x14ac:dyDescent="0.25">
      <c r="A38" s="15"/>
      <c r="B38" s="16" t="s">
        <v>38</v>
      </c>
      <c r="C38" s="3"/>
      <c r="D38" s="27">
        <v>28660056</v>
      </c>
      <c r="E38" s="28">
        <f>33114+1854795</f>
        <v>1887909</v>
      </c>
      <c r="F38" s="28">
        <f t="shared" si="9"/>
        <v>30547965</v>
      </c>
      <c r="G38" s="77">
        <v>11710401</v>
      </c>
      <c r="H38" s="77">
        <v>2181188</v>
      </c>
      <c r="I38" s="28">
        <f t="shared" si="10"/>
        <v>13891589</v>
      </c>
      <c r="J38" s="77">
        <v>33868568</v>
      </c>
      <c r="K38" s="77">
        <v>5190414</v>
      </c>
      <c r="L38" s="28">
        <f t="shared" si="11"/>
        <v>39058982</v>
      </c>
      <c r="M38" s="28">
        <v>0</v>
      </c>
      <c r="N38" s="28">
        <f t="shared" ref="N38:N56" si="12">F38+I38+L38+M38</f>
        <v>83498536</v>
      </c>
      <c r="O38" s="3"/>
      <c r="P38" s="30"/>
      <c r="Q38" s="30"/>
      <c r="R38" s="30"/>
    </row>
    <row r="39" spans="1:18" x14ac:dyDescent="0.25">
      <c r="A39" s="15"/>
      <c r="B39" s="16" t="s">
        <v>39</v>
      </c>
      <c r="C39" s="3"/>
      <c r="D39" s="27">
        <v>4457099</v>
      </c>
      <c r="E39" s="28">
        <f>4069+202492</f>
        <v>206561</v>
      </c>
      <c r="F39" s="28">
        <f t="shared" si="9"/>
        <v>4663660</v>
      </c>
      <c r="G39" s="77">
        <v>1655624</v>
      </c>
      <c r="H39" s="77">
        <v>0</v>
      </c>
      <c r="I39" s="28">
        <f t="shared" si="10"/>
        <v>1655624</v>
      </c>
      <c r="J39" s="77">
        <v>4780295</v>
      </c>
      <c r="K39" s="77">
        <v>55946</v>
      </c>
      <c r="L39" s="28">
        <f t="shared" si="11"/>
        <v>4836241</v>
      </c>
      <c r="M39" s="28">
        <v>0</v>
      </c>
      <c r="N39" s="28">
        <f t="shared" si="12"/>
        <v>11155525</v>
      </c>
      <c r="O39" s="3"/>
      <c r="P39" s="30"/>
      <c r="Q39" s="30"/>
      <c r="R39" s="30"/>
    </row>
    <row r="40" spans="1:18" x14ac:dyDescent="0.25">
      <c r="A40" s="15"/>
      <c r="B40" s="16" t="s">
        <v>40</v>
      </c>
      <c r="C40" s="3"/>
      <c r="D40" s="27">
        <v>8720270</v>
      </c>
      <c r="E40" s="28">
        <f>9619+530170+50000</f>
        <v>589789</v>
      </c>
      <c r="F40" s="28">
        <f t="shared" si="9"/>
        <v>9310059</v>
      </c>
      <c r="G40" s="77">
        <v>3428730</v>
      </c>
      <c r="H40" s="77">
        <v>0</v>
      </c>
      <c r="I40" s="28">
        <f t="shared" si="10"/>
        <v>3428730</v>
      </c>
      <c r="J40" s="77">
        <v>9356747</v>
      </c>
      <c r="K40" s="77">
        <v>0</v>
      </c>
      <c r="L40" s="28">
        <f t="shared" si="11"/>
        <v>9356747</v>
      </c>
      <c r="M40" s="28">
        <v>0</v>
      </c>
      <c r="N40" s="28">
        <f t="shared" si="12"/>
        <v>22095536</v>
      </c>
      <c r="O40" s="3"/>
      <c r="P40" s="30"/>
      <c r="Q40" s="30"/>
      <c r="R40" s="30"/>
    </row>
    <row r="41" spans="1:18" x14ac:dyDescent="0.25">
      <c r="A41" s="15"/>
      <c r="B41" s="16" t="s">
        <v>41</v>
      </c>
      <c r="C41" s="3"/>
      <c r="D41" s="27">
        <v>6804623</v>
      </c>
      <c r="E41" s="28">
        <f>4440+189749+325000</f>
        <v>519189</v>
      </c>
      <c r="F41" s="28">
        <f t="shared" si="9"/>
        <v>7323812</v>
      </c>
      <c r="G41" s="77">
        <v>1867259</v>
      </c>
      <c r="H41" s="77">
        <v>0</v>
      </c>
      <c r="I41" s="28">
        <f t="shared" si="10"/>
        <v>1867259</v>
      </c>
      <c r="J41" s="77">
        <v>5312482</v>
      </c>
      <c r="K41" s="77">
        <v>399966</v>
      </c>
      <c r="L41" s="28">
        <f t="shared" si="11"/>
        <v>5712448</v>
      </c>
      <c r="M41" s="28">
        <v>0</v>
      </c>
      <c r="N41" s="28">
        <f t="shared" si="12"/>
        <v>14903519</v>
      </c>
      <c r="O41" s="3"/>
      <c r="P41" s="30"/>
      <c r="Q41" s="30"/>
      <c r="R41" s="30"/>
    </row>
    <row r="42" spans="1:18" x14ac:dyDescent="0.25">
      <c r="A42" s="15"/>
      <c r="B42" s="16" t="s">
        <v>42</v>
      </c>
      <c r="C42" s="3"/>
      <c r="D42" s="27">
        <v>2380818</v>
      </c>
      <c r="E42" s="28">
        <v>0</v>
      </c>
      <c r="F42" s="28">
        <f t="shared" si="9"/>
        <v>2380818</v>
      </c>
      <c r="G42" s="77">
        <v>0</v>
      </c>
      <c r="H42" s="77">
        <v>1169291</v>
      </c>
      <c r="I42" s="28">
        <f t="shared" si="10"/>
        <v>1169291</v>
      </c>
      <c r="J42" s="77">
        <v>0</v>
      </c>
      <c r="K42" s="77">
        <v>0</v>
      </c>
      <c r="L42" s="28">
        <f t="shared" si="11"/>
        <v>0</v>
      </c>
      <c r="M42" s="28">
        <v>0</v>
      </c>
      <c r="N42" s="28">
        <f t="shared" si="12"/>
        <v>3550109</v>
      </c>
      <c r="O42" s="3"/>
      <c r="P42" s="30"/>
      <c r="Q42" s="30"/>
      <c r="R42" s="30"/>
    </row>
    <row r="43" spans="1:18" x14ac:dyDescent="0.25">
      <c r="A43" s="17" t="s">
        <v>43</v>
      </c>
      <c r="B43" s="18"/>
      <c r="C43" s="6"/>
      <c r="D43" s="42">
        <f t="shared" ref="D43:M43" si="13">SUM(D37:D42)</f>
        <v>53799469</v>
      </c>
      <c r="E43" s="42">
        <f t="shared" si="13"/>
        <v>5009030</v>
      </c>
      <c r="F43" s="42">
        <f t="shared" si="13"/>
        <v>58808499</v>
      </c>
      <c r="G43" s="78">
        <f>SUM(G37:G42)</f>
        <v>18662014</v>
      </c>
      <c r="H43" s="78">
        <f>SUM(H37:H42)</f>
        <v>3350479</v>
      </c>
      <c r="I43" s="42">
        <f>SUM(I37:I42)</f>
        <v>22012493</v>
      </c>
      <c r="J43" s="78">
        <f>SUM(J37:J42)</f>
        <v>53318092</v>
      </c>
      <c r="K43" s="78">
        <f>SUM(K37:K42)</f>
        <v>5646326</v>
      </c>
      <c r="L43" s="42">
        <f t="shared" si="13"/>
        <v>58964418</v>
      </c>
      <c r="M43" s="42">
        <f t="shared" si="13"/>
        <v>3379752</v>
      </c>
      <c r="N43" s="83">
        <f t="shared" si="12"/>
        <v>143165162</v>
      </c>
      <c r="O43" s="6"/>
      <c r="P43" s="30"/>
      <c r="Q43" s="30"/>
      <c r="R43" s="30"/>
    </row>
    <row r="44" spans="1:18" x14ac:dyDescent="0.25">
      <c r="A44" s="14" t="s">
        <v>44</v>
      </c>
      <c r="B44" s="14" t="s">
        <v>45</v>
      </c>
      <c r="C44" s="3"/>
      <c r="D44" s="27">
        <v>18228779</v>
      </c>
      <c r="E44" s="28">
        <f>17847+1043592+10000</f>
        <v>1071439</v>
      </c>
      <c r="F44" s="28">
        <f t="shared" ref="F44:F53" si="14">D44+E44</f>
        <v>19300218</v>
      </c>
      <c r="G44" s="77">
        <v>6498929</v>
      </c>
      <c r="H44" s="77">
        <v>0</v>
      </c>
      <c r="I44" s="28">
        <f t="shared" ref="I44:I53" si="15">G44+H44</f>
        <v>6498929</v>
      </c>
      <c r="J44" s="77">
        <v>27160510</v>
      </c>
      <c r="K44" s="77">
        <v>968930</v>
      </c>
      <c r="L44" s="28">
        <f t="shared" ref="L44:L53" si="16">J44+K44</f>
        <v>28129440</v>
      </c>
      <c r="M44" s="28">
        <v>0</v>
      </c>
      <c r="N44" s="28">
        <f t="shared" si="12"/>
        <v>53928587</v>
      </c>
      <c r="O44" s="3"/>
      <c r="P44" s="30"/>
      <c r="Q44" s="30"/>
      <c r="R44" s="30"/>
    </row>
    <row r="45" spans="1:18" x14ac:dyDescent="0.25">
      <c r="A45" s="15"/>
      <c r="B45" s="16" t="s">
        <v>46</v>
      </c>
      <c r="C45" s="3"/>
      <c r="D45" s="27">
        <v>39058993</v>
      </c>
      <c r="E45" s="28">
        <f>31350+1975217</f>
        <v>2006567</v>
      </c>
      <c r="F45" s="28">
        <f t="shared" si="14"/>
        <v>41065560</v>
      </c>
      <c r="G45" s="77">
        <v>12955497</v>
      </c>
      <c r="H45" s="77">
        <v>0</v>
      </c>
      <c r="I45" s="28">
        <f t="shared" si="15"/>
        <v>12955497</v>
      </c>
      <c r="J45" s="77">
        <v>39183000</v>
      </c>
      <c r="K45" s="77">
        <f>397000+6335000</f>
        <v>6732000</v>
      </c>
      <c r="L45" s="28">
        <f t="shared" si="16"/>
        <v>45915000</v>
      </c>
      <c r="M45" s="28">
        <v>0</v>
      </c>
      <c r="N45" s="28">
        <f t="shared" si="12"/>
        <v>99936057</v>
      </c>
      <c r="O45" s="3"/>
      <c r="P45" s="30"/>
      <c r="Q45" s="30"/>
      <c r="R45" s="30"/>
    </row>
    <row r="46" spans="1:18" x14ac:dyDescent="0.25">
      <c r="A46" s="15"/>
      <c r="B46" s="16" t="s">
        <v>47</v>
      </c>
      <c r="C46" s="3"/>
      <c r="D46" s="27">
        <v>26196777</v>
      </c>
      <c r="E46" s="28">
        <f>25265+1273767+525604</f>
        <v>1824636</v>
      </c>
      <c r="F46" s="28">
        <f t="shared" si="14"/>
        <v>28021413</v>
      </c>
      <c r="G46" s="77">
        <v>9210526</v>
      </c>
      <c r="H46" s="77">
        <v>0</v>
      </c>
      <c r="I46" s="28">
        <f t="shared" si="15"/>
        <v>9210526</v>
      </c>
      <c r="J46" s="77">
        <v>28785927</v>
      </c>
      <c r="K46" s="77">
        <f>14783+454300</f>
        <v>469083</v>
      </c>
      <c r="L46" s="28">
        <f t="shared" si="16"/>
        <v>29255010</v>
      </c>
      <c r="M46" s="28">
        <v>0</v>
      </c>
      <c r="N46" s="28">
        <f t="shared" si="12"/>
        <v>66486949</v>
      </c>
      <c r="O46" s="3"/>
      <c r="P46" s="30"/>
      <c r="Q46" s="30"/>
      <c r="R46" s="30"/>
    </row>
    <row r="47" spans="1:18" x14ac:dyDescent="0.25">
      <c r="A47" s="15"/>
      <c r="B47" s="16" t="s">
        <v>48</v>
      </c>
      <c r="C47" s="3"/>
      <c r="D47" s="27">
        <v>21062703</v>
      </c>
      <c r="E47" s="28">
        <f>19657+1118401+500000</f>
        <v>1638058</v>
      </c>
      <c r="F47" s="28">
        <f t="shared" si="14"/>
        <v>22700761</v>
      </c>
      <c r="G47" s="77">
        <v>7410286</v>
      </c>
      <c r="H47" s="77">
        <v>0</v>
      </c>
      <c r="I47" s="28">
        <f t="shared" si="15"/>
        <v>7410286</v>
      </c>
      <c r="J47" s="77">
        <v>25276711</v>
      </c>
      <c r="K47" s="77">
        <f>793978+228500+2475100</f>
        <v>3497578</v>
      </c>
      <c r="L47" s="28">
        <f t="shared" si="16"/>
        <v>28774289</v>
      </c>
      <c r="M47" s="28">
        <v>0</v>
      </c>
      <c r="N47" s="28">
        <f t="shared" si="12"/>
        <v>58885336</v>
      </c>
      <c r="O47" s="3"/>
      <c r="P47" s="30"/>
      <c r="Q47" s="30"/>
      <c r="R47" s="30"/>
    </row>
    <row r="48" spans="1:18" x14ac:dyDescent="0.25">
      <c r="A48" s="15"/>
      <c r="B48" s="16" t="s">
        <v>49</v>
      </c>
      <c r="C48" s="3"/>
      <c r="D48" s="27">
        <v>28546402</v>
      </c>
      <c r="E48" s="28">
        <f>27415+1304728</f>
        <v>1332143</v>
      </c>
      <c r="F48" s="28">
        <f t="shared" si="14"/>
        <v>29878545</v>
      </c>
      <c r="G48" s="77">
        <v>10247839</v>
      </c>
      <c r="H48" s="77">
        <v>74923</v>
      </c>
      <c r="I48" s="28">
        <f t="shared" si="15"/>
        <v>10322762</v>
      </c>
      <c r="J48" s="77">
        <v>33848766</v>
      </c>
      <c r="K48" s="77">
        <f>652572+671055</f>
        <v>1323627</v>
      </c>
      <c r="L48" s="28">
        <f t="shared" si="16"/>
        <v>35172393</v>
      </c>
      <c r="M48" s="28">
        <v>0</v>
      </c>
      <c r="N48" s="28">
        <f t="shared" si="12"/>
        <v>75373700</v>
      </c>
      <c r="O48" s="3"/>
      <c r="P48" s="30"/>
      <c r="Q48" s="30"/>
      <c r="R48" s="30"/>
    </row>
    <row r="49" spans="1:18" x14ac:dyDescent="0.25">
      <c r="A49" s="15"/>
      <c r="B49" s="16" t="s">
        <v>50</v>
      </c>
      <c r="C49" s="3"/>
      <c r="D49" s="27">
        <v>45461320</v>
      </c>
      <c r="E49" s="28">
        <f>46501+2067508</f>
        <v>2114009</v>
      </c>
      <c r="F49" s="28">
        <f t="shared" si="14"/>
        <v>47575329</v>
      </c>
      <c r="G49" s="77">
        <v>16340635</v>
      </c>
      <c r="H49" s="77">
        <v>0</v>
      </c>
      <c r="I49" s="28">
        <f t="shared" si="15"/>
        <v>16340635</v>
      </c>
      <c r="J49" s="77">
        <v>49521156</v>
      </c>
      <c r="K49" s="77">
        <f>366105+7143426</f>
        <v>7509531</v>
      </c>
      <c r="L49" s="28">
        <f t="shared" si="16"/>
        <v>57030687</v>
      </c>
      <c r="M49" s="28">
        <v>0</v>
      </c>
      <c r="N49" s="28">
        <f t="shared" si="12"/>
        <v>120946651</v>
      </c>
      <c r="O49" s="3"/>
      <c r="P49" s="30"/>
      <c r="Q49" s="30"/>
      <c r="R49" s="30"/>
    </row>
    <row r="50" spans="1:18" x14ac:dyDescent="0.25">
      <c r="A50" s="15"/>
      <c r="B50" s="16" t="s">
        <v>51</v>
      </c>
      <c r="C50" s="3"/>
      <c r="D50" s="27">
        <v>1350906</v>
      </c>
      <c r="E50" s="28">
        <v>0</v>
      </c>
      <c r="F50" s="28">
        <f t="shared" si="14"/>
        <v>1350906</v>
      </c>
      <c r="G50" s="77">
        <v>0</v>
      </c>
      <c r="H50" s="77">
        <v>2061905</v>
      </c>
      <c r="I50" s="28">
        <f t="shared" si="15"/>
        <v>2061905</v>
      </c>
      <c r="J50" s="77">
        <v>0</v>
      </c>
      <c r="K50" s="77">
        <v>1150000</v>
      </c>
      <c r="L50" s="28">
        <f t="shared" si="16"/>
        <v>1150000</v>
      </c>
      <c r="M50" s="28">
        <v>0</v>
      </c>
      <c r="N50" s="28">
        <f t="shared" si="12"/>
        <v>4562811</v>
      </c>
      <c r="O50" s="3"/>
      <c r="P50" s="30"/>
      <c r="Q50" s="30"/>
      <c r="R50" s="30"/>
    </row>
    <row r="51" spans="1:18" x14ac:dyDescent="0.25">
      <c r="A51" s="15"/>
      <c r="B51" s="16" t="s">
        <v>52</v>
      </c>
      <c r="C51" s="3"/>
      <c r="D51" s="27">
        <v>61660916</v>
      </c>
      <c r="E51" s="28">
        <f>52573+2663249</f>
        <v>2715822</v>
      </c>
      <c r="F51" s="28">
        <f t="shared" si="14"/>
        <v>64376738</v>
      </c>
      <c r="G51" s="77">
        <v>20942299</v>
      </c>
      <c r="H51" s="77">
        <v>0</v>
      </c>
      <c r="I51" s="28">
        <f t="shared" si="15"/>
        <v>20942299</v>
      </c>
      <c r="J51" s="77">
        <v>55233574</v>
      </c>
      <c r="K51" s="77">
        <f>14000+4629037</f>
        <v>4643037</v>
      </c>
      <c r="L51" s="28">
        <f t="shared" si="16"/>
        <v>59876611</v>
      </c>
      <c r="M51" s="28">
        <v>0</v>
      </c>
      <c r="N51" s="28">
        <f t="shared" si="12"/>
        <v>145195648</v>
      </c>
      <c r="O51" s="3"/>
      <c r="P51" s="30"/>
      <c r="Q51" s="30"/>
      <c r="R51" s="30"/>
    </row>
    <row r="52" spans="1:18" x14ac:dyDescent="0.25">
      <c r="A52" s="15"/>
      <c r="B52" s="16" t="s">
        <v>53</v>
      </c>
      <c r="C52" s="3"/>
      <c r="D52" s="27">
        <v>35048680</v>
      </c>
      <c r="E52" s="28">
        <f>30759+1884915+90000</f>
        <v>2005674</v>
      </c>
      <c r="F52" s="28">
        <f t="shared" si="14"/>
        <v>37054354</v>
      </c>
      <c r="G52" s="77">
        <v>11698812</v>
      </c>
      <c r="H52" s="77">
        <v>0</v>
      </c>
      <c r="I52" s="28">
        <f t="shared" si="15"/>
        <v>11698812</v>
      </c>
      <c r="J52" s="77">
        <v>32631170</v>
      </c>
      <c r="K52" s="77">
        <f>801700+1110000+561000</f>
        <v>2472700</v>
      </c>
      <c r="L52" s="28">
        <f t="shared" si="16"/>
        <v>35103870</v>
      </c>
      <c r="M52" s="28">
        <v>0</v>
      </c>
      <c r="N52" s="28">
        <f t="shared" si="12"/>
        <v>83857036</v>
      </c>
      <c r="O52" s="3"/>
      <c r="P52" s="30"/>
      <c r="Q52" s="30"/>
      <c r="R52" s="30"/>
    </row>
    <row r="53" spans="1:18" x14ac:dyDescent="0.25">
      <c r="A53" s="15"/>
      <c r="B53" s="16" t="s">
        <v>54</v>
      </c>
      <c r="C53" s="3"/>
      <c r="D53" s="27">
        <v>41779723</v>
      </c>
      <c r="E53" s="28">
        <f>36828+2555912</f>
        <v>2592740</v>
      </c>
      <c r="F53" s="28">
        <f t="shared" si="14"/>
        <v>44372463</v>
      </c>
      <c r="G53" s="77">
        <v>17000729</v>
      </c>
      <c r="H53" s="77">
        <v>0</v>
      </c>
      <c r="I53" s="28">
        <f t="shared" si="15"/>
        <v>17000729</v>
      </c>
      <c r="J53" s="77">
        <v>56788454</v>
      </c>
      <c r="K53" s="77">
        <f>1017900+3489657</f>
        <v>4507557</v>
      </c>
      <c r="L53" s="28">
        <f t="shared" si="16"/>
        <v>61296011</v>
      </c>
      <c r="M53" s="28">
        <v>0</v>
      </c>
      <c r="N53" s="28">
        <f t="shared" si="12"/>
        <v>122669203</v>
      </c>
      <c r="O53" s="3"/>
      <c r="P53" s="30"/>
      <c r="Q53" s="30"/>
      <c r="R53" s="30"/>
    </row>
    <row r="54" spans="1:18" x14ac:dyDescent="0.25">
      <c r="A54" s="12" t="s">
        <v>55</v>
      </c>
      <c r="B54" s="13"/>
      <c r="C54" s="6"/>
      <c r="D54" s="83">
        <f t="shared" ref="D54:M54" si="17">SUM(D44:D53)</f>
        <v>318395199</v>
      </c>
      <c r="E54" s="83">
        <f t="shared" si="17"/>
        <v>17301088</v>
      </c>
      <c r="F54" s="83">
        <f t="shared" si="17"/>
        <v>335696287</v>
      </c>
      <c r="G54" s="74">
        <f>SUM(G44:G53)</f>
        <v>112305552</v>
      </c>
      <c r="H54" s="74">
        <f>SUM(H44:H53)</f>
        <v>2136828</v>
      </c>
      <c r="I54" s="83">
        <f>SUM(I44:I53)</f>
        <v>114442380</v>
      </c>
      <c r="J54" s="74">
        <f>SUM(J44:J53)</f>
        <v>348429268</v>
      </c>
      <c r="K54" s="74">
        <f>SUM(K44:K53)</f>
        <v>33274043</v>
      </c>
      <c r="L54" s="83">
        <f t="shared" si="17"/>
        <v>381703311</v>
      </c>
      <c r="M54" s="83">
        <f t="shared" si="17"/>
        <v>0</v>
      </c>
      <c r="N54" s="83">
        <f t="shared" si="12"/>
        <v>831841978</v>
      </c>
      <c r="O54" s="6"/>
      <c r="P54" s="30"/>
      <c r="Q54" s="30"/>
      <c r="R54" s="30"/>
    </row>
    <row r="55" spans="1:18" x14ac:dyDescent="0.25">
      <c r="A55" s="19" t="s">
        <v>56</v>
      </c>
      <c r="B55" s="20"/>
      <c r="C55" s="6"/>
      <c r="D55" s="83">
        <f t="shared" ref="D55:M55" si="18">D54+D43+D36+D23+D8+D7+D6</f>
        <v>1073864094</v>
      </c>
      <c r="E55" s="83">
        <f t="shared" si="18"/>
        <v>145977508</v>
      </c>
      <c r="F55" s="83">
        <f t="shared" si="18"/>
        <v>1219841602</v>
      </c>
      <c r="G55" s="74">
        <f>G54+G43+G36+G23+G8+G7+G6</f>
        <v>293192837</v>
      </c>
      <c r="H55" s="74">
        <f>H54+H43+H36+H23+H8+H7+H6</f>
        <v>412492523</v>
      </c>
      <c r="I55" s="83">
        <f>I54+I43+I36+I23+I8+I7+I6</f>
        <v>705685360</v>
      </c>
      <c r="J55" s="74">
        <f>J54+J43+J36+J23+J8+J7+J6</f>
        <v>768024809</v>
      </c>
      <c r="K55" s="74">
        <f>K54+K43+K36+K23+K8+K7+K6</f>
        <v>136312404</v>
      </c>
      <c r="L55" s="83">
        <f t="shared" si="18"/>
        <v>904337213</v>
      </c>
      <c r="M55" s="83">
        <f t="shared" si="18"/>
        <v>165764157</v>
      </c>
      <c r="N55" s="83">
        <f t="shared" si="12"/>
        <v>2995628332</v>
      </c>
      <c r="O55" s="6"/>
      <c r="P55" s="29"/>
      <c r="Q55" s="29"/>
      <c r="R55" s="30"/>
    </row>
    <row r="56" spans="1:18" s="32" customFormat="1" x14ac:dyDescent="0.25">
      <c r="A56" s="35" t="s">
        <v>63</v>
      </c>
      <c r="B56" s="35"/>
      <c r="C56" s="37"/>
      <c r="D56" s="41">
        <f>D55-D7-D24-D25-11281131</f>
        <v>881876747</v>
      </c>
      <c r="E56" s="41">
        <f>E55-E7-E24-E25-0</f>
        <v>130909622</v>
      </c>
      <c r="F56" s="41">
        <f>D56+E56</f>
        <v>1012786369</v>
      </c>
      <c r="G56" s="80">
        <f>G55-G7-G24-G25-0</f>
        <v>293192837</v>
      </c>
      <c r="H56" s="80">
        <f>H55-H7-H24-H25-217040845</f>
        <v>93367866</v>
      </c>
      <c r="I56" s="41">
        <f>I55-I7-I24-I25-217040845</f>
        <v>386560703</v>
      </c>
      <c r="J56" s="80">
        <f>J55-J7-J24-J25</f>
        <v>768024809</v>
      </c>
      <c r="K56" s="80">
        <f>K55-K7-K24-K25-45532267</f>
        <v>85941850</v>
      </c>
      <c r="L56" s="41">
        <f>J56+K56</f>
        <v>853966659</v>
      </c>
      <c r="M56" s="41">
        <f>M55-M7-M24-M25-58724160</f>
        <v>45199291</v>
      </c>
      <c r="N56" s="83">
        <f t="shared" si="12"/>
        <v>2298513022</v>
      </c>
      <c r="O56" s="37"/>
      <c r="P56" s="34"/>
      <c r="Q56" s="34"/>
      <c r="R56" s="34"/>
    </row>
    <row r="57" spans="1:18" x14ac:dyDescent="0.25">
      <c r="A57" s="7"/>
      <c r="B57" s="7"/>
      <c r="C57" s="7"/>
      <c r="D57" s="25">
        <f>D56+G56</f>
        <v>1175069584</v>
      </c>
      <c r="G57" s="25">
        <f>G55+D55</f>
        <v>1367056931</v>
      </c>
      <c r="O57" s="7"/>
    </row>
    <row r="58" spans="1:18" x14ac:dyDescent="0.25">
      <c r="A58" s="8"/>
    </row>
    <row r="59" spans="1:18" x14ac:dyDescent="0.25">
      <c r="D59" s="25">
        <f>D27+D28+D30+D33</f>
        <v>160284560</v>
      </c>
      <c r="E59" s="25">
        <f t="shared" ref="E59:G59" si="19">E27+E28+E30+E33</f>
        <v>15922187</v>
      </c>
      <c r="F59" s="25">
        <f t="shared" si="19"/>
        <v>176206747</v>
      </c>
      <c r="G59" s="25">
        <f t="shared" si="19"/>
        <v>66266542</v>
      </c>
      <c r="H59" s="25">
        <f>D59+G59</f>
        <v>226551102</v>
      </c>
      <c r="I59" s="25">
        <f>F59+G59</f>
        <v>242473289</v>
      </c>
      <c r="J59" s="25">
        <f t="shared" ref="J59" si="20">J27+J28+J30+J33</f>
        <v>229583984</v>
      </c>
    </row>
    <row r="60" spans="1:18" x14ac:dyDescent="0.25">
      <c r="D60" s="25">
        <f>D54-D50</f>
        <v>317044293</v>
      </c>
      <c r="E60" s="25">
        <f t="shared" ref="E60:F60" si="21">E54-E50</f>
        <v>17301088</v>
      </c>
      <c r="F60" s="25">
        <f t="shared" si="21"/>
        <v>334345381</v>
      </c>
      <c r="G60" s="25">
        <f>G54-G50</f>
        <v>112305552</v>
      </c>
      <c r="H60" s="25">
        <f>D60+G60</f>
        <v>429349845</v>
      </c>
      <c r="I60" s="25">
        <f t="shared" ref="I60:I63" si="22">F60+G60</f>
        <v>446650933</v>
      </c>
      <c r="J60" s="25">
        <f t="shared" ref="J60" si="23">J54-J50</f>
        <v>348429268</v>
      </c>
    </row>
    <row r="61" spans="1:18" x14ac:dyDescent="0.25">
      <c r="D61" s="25">
        <f>D41+D40+D38</f>
        <v>44184949</v>
      </c>
      <c r="E61" s="25">
        <f t="shared" ref="E61:G61" si="24">E41+E40+E38</f>
        <v>2996887</v>
      </c>
      <c r="F61" s="25">
        <f t="shared" si="24"/>
        <v>47181836</v>
      </c>
      <c r="G61" s="25">
        <f t="shared" si="24"/>
        <v>17006390</v>
      </c>
      <c r="H61" s="25">
        <f>D61+G61</f>
        <v>61191339</v>
      </c>
      <c r="I61" s="25">
        <f t="shared" si="22"/>
        <v>64188226</v>
      </c>
      <c r="J61" s="25">
        <f t="shared" ref="J61" si="25">J41+J40+J38</f>
        <v>48537797</v>
      </c>
    </row>
    <row r="62" spans="1:18" x14ac:dyDescent="0.25">
      <c r="D62" s="25">
        <f>D23-D14-D15</f>
        <v>125754349</v>
      </c>
      <c r="E62" s="25">
        <f t="shared" ref="E62:G62" si="26">E23-E14-E15</f>
        <v>5609842</v>
      </c>
      <c r="F62" s="25">
        <f t="shared" si="26"/>
        <v>131364191</v>
      </c>
      <c r="G62" s="25">
        <f t="shared" si="26"/>
        <v>42485162</v>
      </c>
      <c r="H62" s="25">
        <f>D62+G62</f>
        <v>168239511</v>
      </c>
      <c r="I62" s="25">
        <f t="shared" si="22"/>
        <v>173849353</v>
      </c>
      <c r="J62" s="25">
        <f t="shared" ref="J62" si="27">J23-J14-J15</f>
        <v>93229889</v>
      </c>
    </row>
    <row r="63" spans="1:18" x14ac:dyDescent="0.25">
      <c r="D63" s="25">
        <f t="shared" ref="D63:G63" si="28">SUM(D59:D62)</f>
        <v>647268151</v>
      </c>
      <c r="E63" s="25">
        <f t="shared" si="28"/>
        <v>41830004</v>
      </c>
      <c r="F63" s="25">
        <f t="shared" si="28"/>
        <v>689098155</v>
      </c>
      <c r="G63" s="25">
        <f t="shared" si="28"/>
        <v>238063646</v>
      </c>
      <c r="H63" s="25">
        <f>SUM(H59:H62)</f>
        <v>885331797</v>
      </c>
      <c r="I63" s="25">
        <f t="shared" si="22"/>
        <v>927161801</v>
      </c>
      <c r="J63" s="25">
        <f t="shared" ref="J63" si="29">SUM(J59:J62)</f>
        <v>719780938</v>
      </c>
    </row>
    <row r="65" spans="2:14" x14ac:dyDescent="0.25">
      <c r="F65" s="25">
        <f>F54-F50+F41+F40+F38+F33+F30+F28+F27+F23-F15-F14</f>
        <v>689098155</v>
      </c>
      <c r="G65" s="25">
        <f t="shared" ref="G65:J65" si="30">G54-G50+G41+G40+G38+G33+G30+G28+G27+G23-G15-G14</f>
        <v>238063646</v>
      </c>
      <c r="H65" s="25">
        <f t="shared" si="30"/>
        <v>8906097</v>
      </c>
      <c r="I65" s="25">
        <f t="shared" si="30"/>
        <v>246969743</v>
      </c>
      <c r="J65" s="25">
        <f t="shared" si="30"/>
        <v>719780938</v>
      </c>
    </row>
    <row r="67" spans="2:14" x14ac:dyDescent="0.25">
      <c r="D67" s="25">
        <f>D54-D50+D40+D38+D33+D28+D27</f>
        <v>509227195</v>
      </c>
      <c r="E67" s="25">
        <f t="shared" ref="E67:G67" si="31">E54-E50+E40+E38+E33+E28+E27</f>
        <v>35447703</v>
      </c>
      <c r="F67" s="25">
        <f t="shared" si="31"/>
        <v>544674898</v>
      </c>
      <c r="G67" s="25">
        <f t="shared" si="31"/>
        <v>191762859</v>
      </c>
      <c r="H67" s="25">
        <f t="shared" ref="H67:L67" si="32">H54-H50+H40+H38+H33+H28+H27+H34</f>
        <v>8906097</v>
      </c>
      <c r="I67" s="25">
        <f t="shared" si="32"/>
        <v>203124228</v>
      </c>
      <c r="J67" s="25">
        <f t="shared" si="32"/>
        <v>628409067</v>
      </c>
      <c r="K67" s="25">
        <f t="shared" si="32"/>
        <v>66023079</v>
      </c>
      <c r="L67" s="25">
        <f t="shared" si="32"/>
        <v>694432146</v>
      </c>
      <c r="M67" s="25">
        <f t="shared" ref="M67:N67" si="33">M54-M50+M40+M38+M33+M28+M27+M34</f>
        <v>0</v>
      </c>
      <c r="N67" s="25">
        <f t="shared" si="33"/>
        <v>1448495074</v>
      </c>
    </row>
    <row r="68" spans="2:14" x14ac:dyDescent="0.25">
      <c r="D68" s="25">
        <f>D41+D30+D23-D15-D14</f>
        <v>138040956</v>
      </c>
      <c r="E68" s="25">
        <f t="shared" ref="E68:L68" si="34">E41+E30+E23-E15-E14</f>
        <v>6382301</v>
      </c>
      <c r="F68" s="25">
        <f t="shared" si="34"/>
        <v>144423257</v>
      </c>
      <c r="G68" s="25">
        <f t="shared" si="34"/>
        <v>46300787</v>
      </c>
      <c r="H68" s="25">
        <f t="shared" si="34"/>
        <v>0</v>
      </c>
      <c r="I68" s="25">
        <f t="shared" si="34"/>
        <v>46300787</v>
      </c>
      <c r="J68" s="25">
        <f t="shared" si="34"/>
        <v>104170754</v>
      </c>
      <c r="K68" s="25">
        <f t="shared" si="34"/>
        <v>5223261</v>
      </c>
      <c r="L68" s="25">
        <f t="shared" si="34"/>
        <v>109394015</v>
      </c>
      <c r="M68" s="25">
        <f t="shared" ref="M68:N68" si="35">M41+M30+M23-M15-M14</f>
        <v>0</v>
      </c>
      <c r="N68" s="25">
        <f t="shared" si="35"/>
        <v>300118059</v>
      </c>
    </row>
    <row r="69" spans="2:14" x14ac:dyDescent="0.25">
      <c r="D69" s="25">
        <f>D68+D67</f>
        <v>647268151</v>
      </c>
      <c r="E69" s="25">
        <f t="shared" ref="E69:L69" si="36">E68+E67</f>
        <v>41830004</v>
      </c>
      <c r="F69" s="25">
        <f t="shared" si="36"/>
        <v>689098155</v>
      </c>
      <c r="G69" s="25">
        <f t="shared" si="36"/>
        <v>238063646</v>
      </c>
      <c r="H69" s="25">
        <f t="shared" si="36"/>
        <v>8906097</v>
      </c>
      <c r="I69" s="25">
        <f t="shared" si="36"/>
        <v>249425015</v>
      </c>
      <c r="J69" s="25">
        <f t="shared" si="36"/>
        <v>732579821</v>
      </c>
      <c r="K69" s="25">
        <f t="shared" si="36"/>
        <v>71246340</v>
      </c>
      <c r="L69" s="25">
        <f t="shared" si="36"/>
        <v>803826161</v>
      </c>
      <c r="M69" s="25">
        <f t="shared" ref="M69" si="37">M68+M67</f>
        <v>0</v>
      </c>
      <c r="N69" s="25">
        <f t="shared" ref="N69" si="38">N68+N67</f>
        <v>1748613133</v>
      </c>
    </row>
    <row r="70" spans="2:14" x14ac:dyDescent="0.25">
      <c r="G70" s="25">
        <f>G69+D69</f>
        <v>885331797</v>
      </c>
    </row>
    <row r="71" spans="2:14" x14ac:dyDescent="0.25">
      <c r="D71" s="25">
        <f>D39+D37+D35+D34+D32+D31+D26</f>
        <v>207325968</v>
      </c>
      <c r="E71" s="25">
        <f>E39+E37+E35+E34+E32+E31+E26</f>
        <v>42515865</v>
      </c>
      <c r="F71" s="25">
        <f>F39+F37+F35+F34+F32+F31+F26</f>
        <v>249841833</v>
      </c>
      <c r="G71" s="25">
        <f>G39+G37+G35+G34+G32+G31+G26</f>
        <v>51528834</v>
      </c>
    </row>
    <row r="72" spans="2:14" x14ac:dyDescent="0.25">
      <c r="B72" t="s">
        <v>110</v>
      </c>
      <c r="D72" s="25">
        <f>D73+D74-D37-D35-D26</f>
        <v>770239101</v>
      </c>
      <c r="E72" s="25">
        <f t="shared" ref="E72:L72" si="39">E73+E74-E37-E35-E26</f>
        <v>72313498</v>
      </c>
      <c r="F72" s="25">
        <f t="shared" si="39"/>
        <v>842552599</v>
      </c>
      <c r="G72" s="25">
        <f t="shared" si="39"/>
        <v>289592480</v>
      </c>
      <c r="H72" s="25">
        <f t="shared" si="39"/>
        <v>292648259</v>
      </c>
      <c r="I72" s="25">
        <f t="shared" si="39"/>
        <v>584696011</v>
      </c>
      <c r="J72" s="25">
        <f t="shared" si="39"/>
        <v>780823692</v>
      </c>
      <c r="K72" s="25">
        <f t="shared" si="39"/>
        <v>119701589</v>
      </c>
      <c r="L72" s="25">
        <f t="shared" si="39"/>
        <v>900525281</v>
      </c>
    </row>
    <row r="73" spans="2:14" x14ac:dyDescent="0.25">
      <c r="B73" t="s">
        <v>104</v>
      </c>
      <c r="D73" s="25">
        <f>D69</f>
        <v>647268151</v>
      </c>
      <c r="E73" s="25">
        <f t="shared" ref="E73:L73" si="40">E69</f>
        <v>41830004</v>
      </c>
      <c r="F73" s="25">
        <f t="shared" si="40"/>
        <v>689098155</v>
      </c>
      <c r="G73" s="25">
        <f t="shared" si="40"/>
        <v>238063646</v>
      </c>
      <c r="H73" s="25">
        <f t="shared" si="40"/>
        <v>8906097</v>
      </c>
      <c r="I73" s="25">
        <f t="shared" si="40"/>
        <v>249425015</v>
      </c>
      <c r="J73" s="25">
        <f t="shared" si="40"/>
        <v>732579821</v>
      </c>
      <c r="K73" s="25">
        <f t="shared" si="40"/>
        <v>71246340</v>
      </c>
      <c r="L73" s="25">
        <f t="shared" si="40"/>
        <v>803826161</v>
      </c>
    </row>
    <row r="74" spans="2:14" x14ac:dyDescent="0.25">
      <c r="B74" t="s">
        <v>105</v>
      </c>
      <c r="D74" s="25">
        <f>D39+D37+D35+D34+D32+D31+D26</f>
        <v>207325968</v>
      </c>
      <c r="E74" s="25">
        <f t="shared" ref="E74:L74" si="41">E39+E37+E35+E34+E32+E31+E26</f>
        <v>42515865</v>
      </c>
      <c r="F74" s="25">
        <f t="shared" si="41"/>
        <v>249841833</v>
      </c>
      <c r="G74" s="25">
        <f t="shared" si="41"/>
        <v>51528834</v>
      </c>
      <c r="H74" s="25">
        <f t="shared" si="41"/>
        <v>283742162</v>
      </c>
      <c r="I74" s="25">
        <f t="shared" si="41"/>
        <v>335270996</v>
      </c>
      <c r="J74" s="25">
        <f t="shared" si="41"/>
        <v>48243871</v>
      </c>
      <c r="K74" s="25">
        <f t="shared" si="41"/>
        <v>56088777</v>
      </c>
      <c r="L74" s="25">
        <f t="shared" si="41"/>
        <v>104332648</v>
      </c>
    </row>
    <row r="75" spans="2:14" x14ac:dyDescent="0.25">
      <c r="B75" t="s">
        <v>106</v>
      </c>
      <c r="D75" s="25">
        <f>D7</f>
        <v>158155057</v>
      </c>
      <c r="E75" s="25">
        <f t="shared" ref="E75:L75" si="42">E7</f>
        <v>15067886</v>
      </c>
      <c r="F75" s="25">
        <f t="shared" si="42"/>
        <v>173222943</v>
      </c>
      <c r="G75" s="25">
        <f t="shared" si="42"/>
        <v>0</v>
      </c>
      <c r="H75" s="25">
        <f t="shared" si="42"/>
        <v>641600</v>
      </c>
      <c r="I75" s="25">
        <f t="shared" si="42"/>
        <v>641600</v>
      </c>
      <c r="J75" s="25">
        <f t="shared" si="42"/>
        <v>0</v>
      </c>
      <c r="K75" s="25">
        <f t="shared" si="42"/>
        <v>120864</v>
      </c>
      <c r="L75" s="25">
        <f t="shared" si="42"/>
        <v>120864</v>
      </c>
    </row>
    <row r="76" spans="2:14" x14ac:dyDescent="0.25">
      <c r="B76" t="s">
        <v>107</v>
      </c>
      <c r="D76" s="25">
        <f>D50+D42+D29+D15+D14+D8+D6</f>
        <v>38563759</v>
      </c>
      <c r="E76" s="25">
        <f t="shared" ref="E76:L76" si="43">E50+E42+E29+E15+E14+E8+E6</f>
        <v>46563753</v>
      </c>
      <c r="F76" s="25">
        <f t="shared" si="43"/>
        <v>85127512</v>
      </c>
      <c r="G76" s="25">
        <f t="shared" si="43"/>
        <v>3600357</v>
      </c>
      <c r="H76" s="25">
        <f t="shared" si="43"/>
        <v>17760452</v>
      </c>
      <c r="I76" s="25">
        <f t="shared" si="43"/>
        <v>21360809</v>
      </c>
      <c r="J76" s="25">
        <f t="shared" si="43"/>
        <v>0</v>
      </c>
      <c r="K76" s="25">
        <f t="shared" si="43"/>
        <v>4250000</v>
      </c>
      <c r="L76" s="25">
        <f t="shared" si="43"/>
        <v>4250000</v>
      </c>
    </row>
    <row r="77" spans="2:14" x14ac:dyDescent="0.25">
      <c r="D77" s="25">
        <f>SUM(D73:D76)</f>
        <v>1051312935</v>
      </c>
      <c r="E77" s="25">
        <f t="shared" ref="E77:L77" si="44">SUM(E73:E76)</f>
        <v>145977508</v>
      </c>
      <c r="F77" s="25">
        <f t="shared" si="44"/>
        <v>1197290443</v>
      </c>
      <c r="G77" s="25">
        <f t="shared" si="44"/>
        <v>293192837</v>
      </c>
      <c r="H77" s="25">
        <f t="shared" si="44"/>
        <v>311050311</v>
      </c>
      <c r="I77" s="25">
        <f t="shared" si="44"/>
        <v>606698420</v>
      </c>
      <c r="J77" s="25">
        <f t="shared" si="44"/>
        <v>780823692</v>
      </c>
      <c r="K77" s="25">
        <f t="shared" si="44"/>
        <v>131705981</v>
      </c>
      <c r="L77" s="25">
        <f t="shared" si="44"/>
        <v>912529673</v>
      </c>
    </row>
    <row r="78" spans="2:14" x14ac:dyDescent="0.25">
      <c r="G78" s="25">
        <f>D73+G73</f>
        <v>885331797</v>
      </c>
    </row>
    <row r="79" spans="2:14" x14ac:dyDescent="0.25">
      <c r="G79" s="25">
        <f t="shared" ref="G79:G81" si="45">D74+G74</f>
        <v>258854802</v>
      </c>
    </row>
    <row r="80" spans="2:14" x14ac:dyDescent="0.25">
      <c r="G80" s="25">
        <f t="shared" si="45"/>
        <v>158155057</v>
      </c>
    </row>
    <row r="81" spans="7:7" x14ac:dyDescent="0.25">
      <c r="G81" s="25">
        <f t="shared" si="45"/>
        <v>42164116</v>
      </c>
    </row>
    <row r="82" spans="7:7" x14ac:dyDescent="0.25">
      <c r="G82" s="25">
        <f>SUM(G78:G81)</f>
        <v>1344505772</v>
      </c>
    </row>
  </sheetData>
  <pageMargins left="0.25" right="0.25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7"/>
  <sheetViews>
    <sheetView workbookViewId="0">
      <pane ySplit="5" topLeftCell="A42" activePane="bottomLeft" state="frozen"/>
      <selection pane="bottomLeft" activeCell="G55" sqref="G55"/>
    </sheetView>
  </sheetViews>
  <sheetFormatPr defaultRowHeight="15" x14ac:dyDescent="0.25"/>
  <cols>
    <col min="2" max="2" width="22.85546875" customWidth="1"/>
    <col min="3" max="3" width="1.42578125" customWidth="1"/>
    <col min="4" max="4" width="16.28515625" style="25" customWidth="1"/>
    <col min="5" max="5" width="19.5703125" style="25" customWidth="1"/>
    <col min="6" max="12" width="16.28515625" style="25" customWidth="1"/>
    <col min="13" max="13" width="1.42578125" customWidth="1"/>
    <col min="14" max="14" width="15.28515625" bestFit="1" customWidth="1"/>
  </cols>
  <sheetData>
    <row r="1" spans="1:15" s="99" customFormat="1" ht="18.75" x14ac:dyDescent="0.3">
      <c r="A1" s="99" t="s">
        <v>94</v>
      </c>
      <c r="D1" s="100"/>
      <c r="E1" s="100"/>
      <c r="F1" s="100"/>
      <c r="G1" s="100"/>
      <c r="H1" s="100"/>
      <c r="I1" s="100"/>
      <c r="J1" s="100"/>
      <c r="K1" s="100"/>
      <c r="L1" s="100"/>
    </row>
    <row r="2" spans="1:15" s="99" customFormat="1" ht="18.75" x14ac:dyDescent="0.3">
      <c r="A2" s="101" t="s">
        <v>76</v>
      </c>
      <c r="B2" s="101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5" s="99" customFormat="1" ht="18.75" x14ac:dyDescent="0.3">
      <c r="A3" s="102"/>
      <c r="B3" s="101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5" x14ac:dyDescent="0.25">
      <c r="A4" s="1"/>
      <c r="B4" s="2"/>
      <c r="C4" s="9"/>
      <c r="M4" s="9"/>
    </row>
    <row r="5" spans="1:15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59</v>
      </c>
      <c r="H5" s="73" t="s">
        <v>88</v>
      </c>
      <c r="I5" s="73" t="s">
        <v>68</v>
      </c>
      <c r="J5" s="26" t="s">
        <v>60</v>
      </c>
      <c r="K5" s="26" t="s">
        <v>61</v>
      </c>
      <c r="L5" s="26" t="s">
        <v>62</v>
      </c>
      <c r="M5" s="4"/>
    </row>
    <row r="6" spans="1:15" x14ac:dyDescent="0.25">
      <c r="A6" s="11" t="s">
        <v>2</v>
      </c>
      <c r="B6" s="11" t="s">
        <v>3</v>
      </c>
      <c r="C6" s="5"/>
      <c r="D6" s="83">
        <v>18444775</v>
      </c>
      <c r="E6" s="83">
        <v>30443600</v>
      </c>
      <c r="F6" s="83">
        <f>D6+E6</f>
        <v>48888375</v>
      </c>
      <c r="G6" s="83">
        <v>11540108</v>
      </c>
      <c r="H6" s="74">
        <v>0</v>
      </c>
      <c r="I6" s="74">
        <v>1426044</v>
      </c>
      <c r="J6" s="83">
        <f t="shared" ref="J6:J22" si="0">H6+I6</f>
        <v>1426044</v>
      </c>
      <c r="K6" s="83">
        <v>15563873</v>
      </c>
      <c r="L6" s="83">
        <f t="shared" ref="L6:L37" si="1">F6+G6+J6+K6</f>
        <v>77418400</v>
      </c>
      <c r="M6" s="5"/>
    </row>
    <row r="7" spans="1:15" x14ac:dyDescent="0.25">
      <c r="A7" s="21" t="s">
        <v>4</v>
      </c>
      <c r="B7" s="21" t="s">
        <v>4</v>
      </c>
      <c r="C7" s="22"/>
      <c r="D7" s="43">
        <v>84337798</v>
      </c>
      <c r="E7" s="44">
        <v>108270143</v>
      </c>
      <c r="F7" s="83">
        <f>D7+E7</f>
        <v>192607941</v>
      </c>
      <c r="G7" s="44">
        <v>403956</v>
      </c>
      <c r="H7" s="75">
        <v>0</v>
      </c>
      <c r="I7" s="75">
        <v>120864</v>
      </c>
      <c r="J7" s="83">
        <f t="shared" si="0"/>
        <v>120864</v>
      </c>
      <c r="K7" s="44">
        <v>52221573</v>
      </c>
      <c r="L7" s="83">
        <f t="shared" si="1"/>
        <v>245354334</v>
      </c>
      <c r="M7" s="22"/>
      <c r="N7" s="29"/>
      <c r="O7" s="30"/>
    </row>
    <row r="8" spans="1:15" x14ac:dyDescent="0.25">
      <c r="A8" s="23" t="s">
        <v>5</v>
      </c>
      <c r="B8" s="23" t="s">
        <v>5</v>
      </c>
      <c r="C8" s="24"/>
      <c r="D8" s="45">
        <v>2612402</v>
      </c>
      <c r="E8" s="46">
        <v>39051</v>
      </c>
      <c r="F8" s="83">
        <f>D8+E8</f>
        <v>2651453</v>
      </c>
      <c r="G8" s="46">
        <v>375000</v>
      </c>
      <c r="H8" s="76">
        <v>0</v>
      </c>
      <c r="I8" s="76">
        <v>1100000</v>
      </c>
      <c r="J8" s="83">
        <f t="shared" si="0"/>
        <v>1100000</v>
      </c>
      <c r="K8" s="46">
        <v>4034667</v>
      </c>
      <c r="L8" s="83">
        <f t="shared" si="1"/>
        <v>8161120</v>
      </c>
      <c r="M8" s="24"/>
      <c r="N8" s="30"/>
      <c r="O8" s="30"/>
    </row>
    <row r="9" spans="1:15" x14ac:dyDescent="0.25">
      <c r="A9" s="16" t="s">
        <v>6</v>
      </c>
      <c r="B9" s="16" t="s">
        <v>7</v>
      </c>
      <c r="C9" s="3"/>
      <c r="D9" s="27">
        <v>12119229</v>
      </c>
      <c r="E9" s="28">
        <v>470057</v>
      </c>
      <c r="F9" s="28">
        <f>D9+E9</f>
        <v>12589286</v>
      </c>
      <c r="G9" s="28">
        <v>0</v>
      </c>
      <c r="H9" s="77">
        <v>17537871</v>
      </c>
      <c r="I9" s="77">
        <v>104600</v>
      </c>
      <c r="J9" s="28">
        <f t="shared" si="0"/>
        <v>17642471</v>
      </c>
      <c r="K9" s="28">
        <v>0</v>
      </c>
      <c r="L9" s="28">
        <f t="shared" si="1"/>
        <v>30231757</v>
      </c>
      <c r="M9" s="3"/>
      <c r="N9" s="30"/>
      <c r="O9" s="30"/>
    </row>
    <row r="10" spans="1:15" x14ac:dyDescent="0.25">
      <c r="A10" s="15"/>
      <c r="B10" s="16" t="s">
        <v>8</v>
      </c>
      <c r="C10" s="3"/>
      <c r="D10" s="27">
        <v>9858843</v>
      </c>
      <c r="E10" s="28">
        <v>382386</v>
      </c>
      <c r="F10" s="28">
        <f>D10+E10</f>
        <v>10241229</v>
      </c>
      <c r="G10" s="28">
        <v>0</v>
      </c>
      <c r="H10" s="77">
        <v>14927976</v>
      </c>
      <c r="I10" s="77">
        <v>391500</v>
      </c>
      <c r="J10" s="28">
        <f t="shared" si="0"/>
        <v>15319476</v>
      </c>
      <c r="K10" s="28">
        <v>0</v>
      </c>
      <c r="L10" s="28">
        <f t="shared" si="1"/>
        <v>25560705</v>
      </c>
      <c r="M10" s="3"/>
      <c r="N10" s="30"/>
      <c r="O10" s="30"/>
    </row>
    <row r="11" spans="1:15" x14ac:dyDescent="0.25">
      <c r="A11" s="15"/>
      <c r="B11" s="16" t="s">
        <v>9</v>
      </c>
      <c r="C11" s="3"/>
      <c r="D11" s="27">
        <v>0</v>
      </c>
      <c r="E11" s="28">
        <v>0</v>
      </c>
      <c r="F11" s="28">
        <f t="shared" ref="F11:F22" si="2">D11+E11</f>
        <v>0</v>
      </c>
      <c r="G11" s="28">
        <v>0</v>
      </c>
      <c r="H11" s="77">
        <v>0</v>
      </c>
      <c r="I11" s="77">
        <v>0</v>
      </c>
      <c r="J11" s="28">
        <f t="shared" si="0"/>
        <v>0</v>
      </c>
      <c r="K11" s="28">
        <v>0</v>
      </c>
      <c r="L11" s="28">
        <f t="shared" si="1"/>
        <v>0</v>
      </c>
      <c r="M11" s="3"/>
      <c r="N11" s="30"/>
      <c r="O11" s="30"/>
    </row>
    <row r="12" spans="1:15" x14ac:dyDescent="0.25">
      <c r="A12" s="15"/>
      <c r="B12" s="16" t="s">
        <v>10</v>
      </c>
      <c r="C12" s="3"/>
      <c r="D12" s="27">
        <v>33152413</v>
      </c>
      <c r="E12" s="28">
        <v>2751832</v>
      </c>
      <c r="F12" s="28">
        <f t="shared" si="2"/>
        <v>35904245</v>
      </c>
      <c r="G12" s="28">
        <v>0</v>
      </c>
      <c r="H12" s="77">
        <v>52900000</v>
      </c>
      <c r="I12" s="77">
        <v>1100000</v>
      </c>
      <c r="J12" s="28">
        <f t="shared" si="0"/>
        <v>54000000</v>
      </c>
      <c r="K12" s="28">
        <v>0</v>
      </c>
      <c r="L12" s="28">
        <f t="shared" si="1"/>
        <v>89904245</v>
      </c>
      <c r="M12" s="3"/>
      <c r="N12" s="30"/>
      <c r="O12" s="30"/>
    </row>
    <row r="13" spans="1:15" x14ac:dyDescent="0.25">
      <c r="A13" s="15"/>
      <c r="B13" s="16" t="s">
        <v>11</v>
      </c>
      <c r="C13" s="3"/>
      <c r="D13" s="27">
        <v>3406645</v>
      </c>
      <c r="E13" s="28">
        <v>132130</v>
      </c>
      <c r="F13" s="28">
        <f t="shared" si="2"/>
        <v>3538775</v>
      </c>
      <c r="G13" s="28">
        <v>0</v>
      </c>
      <c r="H13" s="77">
        <v>4627587</v>
      </c>
      <c r="I13" s="77">
        <v>12783</v>
      </c>
      <c r="J13" s="28">
        <f t="shared" si="0"/>
        <v>4640370</v>
      </c>
      <c r="K13" s="28">
        <v>0</v>
      </c>
      <c r="L13" s="28">
        <f t="shared" si="1"/>
        <v>8179145</v>
      </c>
      <c r="M13" s="3"/>
      <c r="N13" s="30"/>
      <c r="O13" s="30"/>
    </row>
    <row r="14" spans="1:15" x14ac:dyDescent="0.25">
      <c r="A14" s="15"/>
      <c r="B14" s="16" t="s">
        <v>12</v>
      </c>
      <c r="C14" s="3"/>
      <c r="D14" s="27">
        <v>7193573</v>
      </c>
      <c r="E14" s="28">
        <v>10750000</v>
      </c>
      <c r="F14" s="28">
        <f t="shared" si="2"/>
        <v>17943573</v>
      </c>
      <c r="G14" s="28">
        <v>0</v>
      </c>
      <c r="H14" s="77">
        <v>0</v>
      </c>
      <c r="I14" s="77">
        <v>0</v>
      </c>
      <c r="J14" s="28">
        <f t="shared" si="0"/>
        <v>0</v>
      </c>
      <c r="K14" s="28">
        <v>0</v>
      </c>
      <c r="L14" s="28">
        <f t="shared" si="1"/>
        <v>17943573</v>
      </c>
      <c r="M14" s="3"/>
      <c r="N14" s="30"/>
      <c r="O14" s="30"/>
    </row>
    <row r="15" spans="1:15" x14ac:dyDescent="0.25">
      <c r="A15" s="15"/>
      <c r="B15" s="16" t="s">
        <v>13</v>
      </c>
      <c r="C15" s="3"/>
      <c r="D15" s="27">
        <v>1006212</v>
      </c>
      <c r="E15" s="28">
        <v>0</v>
      </c>
      <c r="F15" s="28">
        <f t="shared" si="2"/>
        <v>1006212</v>
      </c>
      <c r="G15" s="28">
        <v>0</v>
      </c>
      <c r="H15" s="77">
        <v>0</v>
      </c>
      <c r="I15" s="77">
        <v>0</v>
      </c>
      <c r="J15" s="28">
        <f t="shared" si="0"/>
        <v>0</v>
      </c>
      <c r="K15" s="28">
        <v>0</v>
      </c>
      <c r="L15" s="28">
        <f t="shared" si="1"/>
        <v>1006212</v>
      </c>
      <c r="M15" s="3"/>
      <c r="N15" s="30"/>
      <c r="O15" s="30"/>
    </row>
    <row r="16" spans="1:15" x14ac:dyDescent="0.25">
      <c r="A16" s="15"/>
      <c r="B16" s="16" t="s">
        <v>14</v>
      </c>
      <c r="C16" s="3"/>
      <c r="D16" s="27">
        <v>4638142</v>
      </c>
      <c r="E16" s="28">
        <v>176492</v>
      </c>
      <c r="F16" s="28">
        <f t="shared" si="2"/>
        <v>4814634</v>
      </c>
      <c r="G16" s="28">
        <v>0</v>
      </c>
      <c r="H16" s="77">
        <v>5904085</v>
      </c>
      <c r="I16" s="77">
        <v>50000</v>
      </c>
      <c r="J16" s="28">
        <f t="shared" si="0"/>
        <v>5954085</v>
      </c>
      <c r="K16" s="28">
        <v>0</v>
      </c>
      <c r="L16" s="28">
        <f t="shared" si="1"/>
        <v>10768719</v>
      </c>
      <c r="M16" s="3"/>
      <c r="N16" s="30"/>
      <c r="O16" s="30"/>
    </row>
    <row r="17" spans="1:15" x14ac:dyDescent="0.25">
      <c r="A17" s="15"/>
      <c r="B17" s="16" t="s">
        <v>15</v>
      </c>
      <c r="C17" s="3"/>
      <c r="D17" s="27">
        <v>46818879</v>
      </c>
      <c r="E17" s="28">
        <v>1766478</v>
      </c>
      <c r="F17" s="28">
        <f t="shared" si="2"/>
        <v>48585357</v>
      </c>
      <c r="G17" s="28">
        <v>0</v>
      </c>
      <c r="H17" s="77">
        <v>18250329</v>
      </c>
      <c r="I17" s="77">
        <f>466750+1322556</f>
        <v>1789306</v>
      </c>
      <c r="J17" s="28">
        <f t="shared" si="0"/>
        <v>20039635</v>
      </c>
      <c r="K17" s="28">
        <v>0</v>
      </c>
      <c r="L17" s="28">
        <f t="shared" si="1"/>
        <v>68624992</v>
      </c>
      <c r="M17" s="3"/>
      <c r="N17" s="30"/>
      <c r="O17" s="30"/>
    </row>
    <row r="18" spans="1:15" x14ac:dyDescent="0.25">
      <c r="A18" s="15"/>
      <c r="B18" s="16" t="s">
        <v>16</v>
      </c>
      <c r="C18" s="3"/>
      <c r="D18" s="27">
        <v>3803765</v>
      </c>
      <c r="E18" s="28">
        <v>147533</v>
      </c>
      <c r="F18" s="28">
        <f t="shared" si="2"/>
        <v>3951298</v>
      </c>
      <c r="G18" s="28">
        <v>0</v>
      </c>
      <c r="H18" s="77">
        <v>3837798</v>
      </c>
      <c r="I18" s="77">
        <f>32963+29239</f>
        <v>62202</v>
      </c>
      <c r="J18" s="28">
        <f t="shared" si="0"/>
        <v>3900000</v>
      </c>
      <c r="K18" s="28">
        <v>0</v>
      </c>
      <c r="L18" s="28">
        <f t="shared" si="1"/>
        <v>7851298</v>
      </c>
      <c r="M18" s="3"/>
      <c r="N18" s="30"/>
      <c r="O18" s="30"/>
    </row>
    <row r="19" spans="1:15" x14ac:dyDescent="0.25">
      <c r="A19" s="15"/>
      <c r="B19" s="16" t="s">
        <v>17</v>
      </c>
      <c r="C19" s="3"/>
      <c r="D19" s="27">
        <v>5832484</v>
      </c>
      <c r="E19" s="28">
        <v>226219</v>
      </c>
      <c r="F19" s="28">
        <f t="shared" si="2"/>
        <v>6058703</v>
      </c>
      <c r="G19" s="28">
        <v>0</v>
      </c>
      <c r="H19" s="77">
        <v>3197478</v>
      </c>
      <c r="I19" s="77">
        <f>62000+20000</f>
        <v>82000</v>
      </c>
      <c r="J19" s="28">
        <f t="shared" si="0"/>
        <v>3279478</v>
      </c>
      <c r="K19" s="28">
        <v>0</v>
      </c>
      <c r="L19" s="28">
        <f t="shared" si="1"/>
        <v>9338181</v>
      </c>
      <c r="M19" s="3"/>
      <c r="N19" s="30"/>
      <c r="O19" s="30"/>
    </row>
    <row r="20" spans="1:15" x14ac:dyDescent="0.25">
      <c r="A20" s="15"/>
      <c r="B20" s="16" t="s">
        <v>18</v>
      </c>
      <c r="C20" s="3"/>
      <c r="D20" s="27">
        <v>3461796</v>
      </c>
      <c r="E20" s="28">
        <v>134270</v>
      </c>
      <c r="F20" s="28">
        <f t="shared" si="2"/>
        <v>3596066</v>
      </c>
      <c r="G20" s="28">
        <v>0</v>
      </c>
      <c r="H20" s="77">
        <v>4750000</v>
      </c>
      <c r="I20" s="77">
        <v>0</v>
      </c>
      <c r="J20" s="28">
        <f t="shared" si="0"/>
        <v>4750000</v>
      </c>
      <c r="K20" s="28">
        <v>0</v>
      </c>
      <c r="L20" s="28">
        <f t="shared" si="1"/>
        <v>8346066</v>
      </c>
      <c r="M20" s="3"/>
      <c r="N20" s="30"/>
      <c r="O20" s="30"/>
    </row>
    <row r="21" spans="1:15" x14ac:dyDescent="0.25">
      <c r="A21" s="15"/>
      <c r="B21" s="16" t="s">
        <v>19</v>
      </c>
      <c r="C21" s="3"/>
      <c r="D21" s="27">
        <v>5497289</v>
      </c>
      <c r="E21" s="28">
        <v>213218</v>
      </c>
      <c r="F21" s="28">
        <f t="shared" si="2"/>
        <v>5710507</v>
      </c>
      <c r="G21" s="28">
        <v>0</v>
      </c>
      <c r="H21" s="77">
        <v>8757245</v>
      </c>
      <c r="I21" s="77">
        <v>96216</v>
      </c>
      <c r="J21" s="28">
        <f t="shared" si="0"/>
        <v>8853461</v>
      </c>
      <c r="K21" s="28">
        <v>0</v>
      </c>
      <c r="L21" s="28">
        <f t="shared" si="1"/>
        <v>14563968</v>
      </c>
      <c r="M21" s="3"/>
      <c r="N21" s="30"/>
      <c r="O21" s="30"/>
    </row>
    <row r="22" spans="1:15" x14ac:dyDescent="0.25">
      <c r="A22" s="15"/>
      <c r="B22" s="16" t="s">
        <v>20</v>
      </c>
      <c r="C22" s="3"/>
      <c r="D22" s="27">
        <v>6571292</v>
      </c>
      <c r="E22" s="28">
        <v>580076</v>
      </c>
      <c r="F22" s="28">
        <f t="shared" si="2"/>
        <v>7151368</v>
      </c>
      <c r="G22" s="28">
        <v>0</v>
      </c>
      <c r="H22" s="77">
        <v>4764451</v>
      </c>
      <c r="I22" s="77">
        <f>42000+1331331</f>
        <v>1373331</v>
      </c>
      <c r="J22" s="28">
        <f t="shared" si="0"/>
        <v>6137782</v>
      </c>
      <c r="K22" s="28">
        <v>0</v>
      </c>
      <c r="L22" s="28">
        <f t="shared" si="1"/>
        <v>13289150</v>
      </c>
      <c r="M22" s="3"/>
      <c r="N22" s="30"/>
      <c r="O22" s="30"/>
    </row>
    <row r="23" spans="1:15" x14ac:dyDescent="0.25">
      <c r="A23" s="17" t="s">
        <v>21</v>
      </c>
      <c r="B23" s="18"/>
      <c r="C23" s="6"/>
      <c r="D23" s="83">
        <f t="shared" ref="D23:K23" si="3">SUM(D9:D22)</f>
        <v>143360562</v>
      </c>
      <c r="E23" s="83">
        <f t="shared" si="3"/>
        <v>17730691</v>
      </c>
      <c r="F23" s="83">
        <f t="shared" si="3"/>
        <v>161091253</v>
      </c>
      <c r="G23" s="83">
        <f t="shared" si="3"/>
        <v>0</v>
      </c>
      <c r="H23" s="74">
        <f>SUM(H9:H22)</f>
        <v>139454820</v>
      </c>
      <c r="I23" s="74">
        <f>SUM(I9:I22)</f>
        <v>5061938</v>
      </c>
      <c r="J23" s="83">
        <f t="shared" si="3"/>
        <v>144516758</v>
      </c>
      <c r="K23" s="83">
        <f t="shared" si="3"/>
        <v>0</v>
      </c>
      <c r="L23" s="83">
        <f t="shared" si="1"/>
        <v>305608011</v>
      </c>
      <c r="M23" s="6"/>
      <c r="N23" s="30"/>
      <c r="O23" s="30"/>
    </row>
    <row r="24" spans="1:15" x14ac:dyDescent="0.25">
      <c r="A24" s="14" t="s">
        <v>22</v>
      </c>
      <c r="B24" s="14" t="s">
        <v>23</v>
      </c>
      <c r="C24" s="3"/>
      <c r="D24" s="27">
        <v>10513906</v>
      </c>
      <c r="E24" s="28">
        <v>0</v>
      </c>
      <c r="F24" s="28">
        <f t="shared" ref="F24:F35" si="4">D24+E24</f>
        <v>10513906</v>
      </c>
      <c r="G24" s="28">
        <v>102584279</v>
      </c>
      <c r="H24" s="77">
        <v>0</v>
      </c>
      <c r="I24" s="77">
        <v>2799145</v>
      </c>
      <c r="J24" s="28">
        <f t="shared" ref="J24:J35" si="5">H24+I24</f>
        <v>2799145</v>
      </c>
      <c r="K24" s="28">
        <v>8058474</v>
      </c>
      <c r="L24" s="28">
        <f t="shared" si="1"/>
        <v>123955804</v>
      </c>
      <c r="M24" s="3"/>
      <c r="N24" s="29"/>
      <c r="O24" s="30"/>
    </row>
    <row r="25" spans="1:15" x14ac:dyDescent="0.25">
      <c r="A25" s="15"/>
      <c r="B25" s="16" t="s">
        <v>24</v>
      </c>
      <c r="C25" s="3"/>
      <c r="D25" s="27">
        <v>11392296</v>
      </c>
      <c r="E25" s="28">
        <v>0</v>
      </c>
      <c r="F25" s="28">
        <f t="shared" si="4"/>
        <v>11392296</v>
      </c>
      <c r="G25" s="28">
        <v>37215891</v>
      </c>
      <c r="H25" s="77">
        <v>0</v>
      </c>
      <c r="I25" s="77">
        <v>1918278</v>
      </c>
      <c r="J25" s="28">
        <f t="shared" si="5"/>
        <v>1918278</v>
      </c>
      <c r="K25" s="28">
        <v>3782232</v>
      </c>
      <c r="L25" s="28">
        <f t="shared" si="1"/>
        <v>54308697</v>
      </c>
      <c r="M25" s="3"/>
      <c r="N25" s="29"/>
      <c r="O25" s="30"/>
    </row>
    <row r="26" spans="1:15" x14ac:dyDescent="0.25">
      <c r="A26" s="15"/>
      <c r="B26" s="16" t="s">
        <v>25</v>
      </c>
      <c r="C26" s="3"/>
      <c r="D26" s="27">
        <v>66704460</v>
      </c>
      <c r="E26" s="28">
        <v>10357205</v>
      </c>
      <c r="F26" s="28">
        <f t="shared" si="4"/>
        <v>77061665</v>
      </c>
      <c r="G26" s="28">
        <v>0</v>
      </c>
      <c r="H26" s="77">
        <v>0</v>
      </c>
      <c r="I26" s="77">
        <v>6807967</v>
      </c>
      <c r="J26" s="28">
        <f t="shared" si="5"/>
        <v>6807967</v>
      </c>
      <c r="K26" s="28">
        <v>13018275</v>
      </c>
      <c r="L26" s="28">
        <f t="shared" si="1"/>
        <v>96887907</v>
      </c>
      <c r="M26" s="3"/>
      <c r="N26" s="30"/>
      <c r="O26" s="30"/>
    </row>
    <row r="27" spans="1:15" x14ac:dyDescent="0.25">
      <c r="A27" s="15"/>
      <c r="B27" s="16" t="s">
        <v>26</v>
      </c>
      <c r="C27" s="3"/>
      <c r="D27" s="27">
        <v>8091785</v>
      </c>
      <c r="E27" s="28">
        <v>270277</v>
      </c>
      <c r="F27" s="28">
        <f t="shared" si="4"/>
        <v>8362062</v>
      </c>
      <c r="G27" s="28">
        <v>0</v>
      </c>
      <c r="H27" s="77">
        <v>9589911</v>
      </c>
      <c r="I27" s="77">
        <v>1402452</v>
      </c>
      <c r="J27" s="28">
        <f t="shared" si="5"/>
        <v>10992363</v>
      </c>
      <c r="K27" s="28">
        <v>0</v>
      </c>
      <c r="L27" s="28">
        <f t="shared" si="1"/>
        <v>19354425</v>
      </c>
      <c r="M27" s="3"/>
      <c r="N27" s="30"/>
      <c r="O27" s="30"/>
    </row>
    <row r="28" spans="1:15" x14ac:dyDescent="0.25">
      <c r="A28" s="15"/>
      <c r="B28" s="16" t="s">
        <v>27</v>
      </c>
      <c r="C28" s="3"/>
      <c r="D28" s="27">
        <v>152453174</v>
      </c>
      <c r="E28" s="28">
        <v>12487198</v>
      </c>
      <c r="F28" s="28">
        <f t="shared" si="4"/>
        <v>164940372</v>
      </c>
      <c r="G28" s="28">
        <v>6715292</v>
      </c>
      <c r="H28" s="77">
        <v>231542078</v>
      </c>
      <c r="I28" s="77">
        <f>10278853+27800555</f>
        <v>38079408</v>
      </c>
      <c r="J28" s="28">
        <f t="shared" si="5"/>
        <v>269621486</v>
      </c>
      <c r="K28" s="28">
        <v>0</v>
      </c>
      <c r="L28" s="28">
        <f t="shared" si="1"/>
        <v>441277150</v>
      </c>
      <c r="M28" s="3"/>
      <c r="N28" s="30"/>
      <c r="O28" s="30"/>
    </row>
    <row r="29" spans="1:15" x14ac:dyDescent="0.25">
      <c r="A29" s="15"/>
      <c r="B29" s="16" t="s">
        <v>28</v>
      </c>
      <c r="C29" s="3"/>
      <c r="D29" s="27">
        <v>4205014</v>
      </c>
      <c r="E29" s="28">
        <v>0</v>
      </c>
      <c r="F29" s="28">
        <f t="shared" si="4"/>
        <v>4205014</v>
      </c>
      <c r="G29" s="28">
        <v>0</v>
      </c>
      <c r="H29" s="77">
        <v>0</v>
      </c>
      <c r="I29" s="77">
        <v>0</v>
      </c>
      <c r="J29" s="28">
        <f t="shared" si="5"/>
        <v>0</v>
      </c>
      <c r="K29" s="28">
        <v>0</v>
      </c>
      <c r="L29" s="28">
        <f t="shared" si="1"/>
        <v>4205014</v>
      </c>
      <c r="M29" s="3"/>
      <c r="N29" s="30"/>
      <c r="O29" s="30"/>
    </row>
    <row r="30" spans="1:15" x14ac:dyDescent="0.25">
      <c r="A30" s="15"/>
      <c r="B30" s="16" t="s">
        <v>29</v>
      </c>
      <c r="C30" s="3"/>
      <c r="D30" s="27">
        <v>6001054</v>
      </c>
      <c r="E30" s="28">
        <v>251562</v>
      </c>
      <c r="F30" s="28">
        <f t="shared" si="4"/>
        <v>6252616</v>
      </c>
      <c r="G30" s="28">
        <v>0</v>
      </c>
      <c r="H30" s="77">
        <v>6641485</v>
      </c>
      <c r="I30" s="77">
        <v>951415</v>
      </c>
      <c r="J30" s="28">
        <f t="shared" si="5"/>
        <v>7592900</v>
      </c>
      <c r="K30" s="28">
        <v>0</v>
      </c>
      <c r="L30" s="28">
        <f t="shared" si="1"/>
        <v>13845516</v>
      </c>
      <c r="M30" s="3"/>
      <c r="N30" s="30"/>
      <c r="O30" s="30"/>
    </row>
    <row r="31" spans="1:15" x14ac:dyDescent="0.25">
      <c r="A31" s="15"/>
      <c r="B31" s="16" t="s">
        <v>30</v>
      </c>
      <c r="C31" s="3"/>
      <c r="D31" s="27">
        <v>76076985</v>
      </c>
      <c r="E31" s="28">
        <v>20998185</v>
      </c>
      <c r="F31" s="28">
        <f t="shared" si="4"/>
        <v>97075170</v>
      </c>
      <c r="G31" s="28">
        <v>38169464</v>
      </c>
      <c r="H31" s="77">
        <v>29473022</v>
      </c>
      <c r="I31" s="77">
        <f>1406229+15423047</f>
        <v>16829276</v>
      </c>
      <c r="J31" s="28">
        <f t="shared" si="5"/>
        <v>46302298</v>
      </c>
      <c r="K31" s="28">
        <v>0</v>
      </c>
      <c r="L31" s="28">
        <f t="shared" si="1"/>
        <v>181546932</v>
      </c>
      <c r="M31" s="3"/>
      <c r="N31" s="30"/>
      <c r="O31" s="30"/>
    </row>
    <row r="32" spans="1:15" x14ac:dyDescent="0.25">
      <c r="A32" s="15"/>
      <c r="B32" s="16" t="s">
        <v>31</v>
      </c>
      <c r="C32" s="3"/>
      <c r="D32" s="27">
        <v>48984128</v>
      </c>
      <c r="E32" s="28">
        <v>9253721</v>
      </c>
      <c r="F32" s="28">
        <f t="shared" si="4"/>
        <v>58237849</v>
      </c>
      <c r="G32" s="28">
        <v>235338575</v>
      </c>
      <c r="H32" s="77">
        <v>9521137</v>
      </c>
      <c r="I32" s="77">
        <f>45487517+20400+8893697</f>
        <v>54401614</v>
      </c>
      <c r="J32" s="28">
        <f t="shared" si="5"/>
        <v>63922751</v>
      </c>
      <c r="K32" s="28">
        <v>58724160</v>
      </c>
      <c r="L32" s="28">
        <f t="shared" si="1"/>
        <v>416223335</v>
      </c>
      <c r="M32" s="3"/>
      <c r="N32" s="29"/>
      <c r="O32" s="30"/>
    </row>
    <row r="33" spans="1:15" x14ac:dyDescent="0.25">
      <c r="A33" s="15"/>
      <c r="B33" s="16" t="s">
        <v>32</v>
      </c>
      <c r="C33" s="3"/>
      <c r="D33" s="27">
        <v>11494970</v>
      </c>
      <c r="E33" s="28">
        <v>636149</v>
      </c>
      <c r="F33" s="28">
        <f t="shared" si="4"/>
        <v>12131119</v>
      </c>
      <c r="G33" s="28">
        <v>0</v>
      </c>
      <c r="H33" s="77">
        <v>17218640</v>
      </c>
      <c r="I33" s="77">
        <f>18000+1507112</f>
        <v>1525112</v>
      </c>
      <c r="J33" s="28">
        <f t="shared" si="5"/>
        <v>18743752</v>
      </c>
      <c r="K33" s="28">
        <v>0</v>
      </c>
      <c r="L33" s="28">
        <f t="shared" si="1"/>
        <v>30874871</v>
      </c>
      <c r="M33" s="3"/>
      <c r="N33" s="30"/>
      <c r="O33" s="30"/>
    </row>
    <row r="34" spans="1:15" x14ac:dyDescent="0.25">
      <c r="A34" s="15"/>
      <c r="B34" s="16" t="s">
        <v>33</v>
      </c>
      <c r="C34" s="3"/>
      <c r="D34" s="27">
        <v>6529100</v>
      </c>
      <c r="E34" s="28">
        <v>401817</v>
      </c>
      <c r="F34" s="28">
        <f t="shared" si="4"/>
        <v>6930917</v>
      </c>
      <c r="G34" s="28">
        <v>0</v>
      </c>
      <c r="H34" s="77">
        <v>15279500</v>
      </c>
      <c r="I34" s="77">
        <f>18200+151167</f>
        <v>169367</v>
      </c>
      <c r="J34" s="28">
        <f t="shared" si="5"/>
        <v>15448867</v>
      </c>
      <c r="K34" s="28">
        <v>0</v>
      </c>
      <c r="L34" s="28">
        <f t="shared" si="1"/>
        <v>22379784</v>
      </c>
      <c r="M34" s="3"/>
      <c r="N34" s="30"/>
      <c r="O34" s="30"/>
    </row>
    <row r="35" spans="1:15" x14ac:dyDescent="0.25">
      <c r="A35" s="15"/>
      <c r="B35" s="16" t="s">
        <v>34</v>
      </c>
      <c r="C35" s="3"/>
      <c r="D35" s="27">
        <v>13331233</v>
      </c>
      <c r="E35" s="28">
        <v>94872</v>
      </c>
      <c r="F35" s="28">
        <f t="shared" si="4"/>
        <v>13426105</v>
      </c>
      <c r="G35" s="28">
        <v>0</v>
      </c>
      <c r="H35" s="77">
        <v>0</v>
      </c>
      <c r="I35" s="77">
        <v>825561</v>
      </c>
      <c r="J35" s="28">
        <f t="shared" si="5"/>
        <v>825561</v>
      </c>
      <c r="K35" s="28">
        <v>0</v>
      </c>
      <c r="L35" s="28">
        <f t="shared" si="1"/>
        <v>14251666</v>
      </c>
      <c r="M35" s="3"/>
      <c r="N35" s="30"/>
      <c r="O35" s="30"/>
    </row>
    <row r="36" spans="1:15" x14ac:dyDescent="0.25">
      <c r="A36" s="17" t="s">
        <v>35</v>
      </c>
      <c r="B36" s="18"/>
      <c r="C36" s="6"/>
      <c r="D36" s="83">
        <f t="shared" ref="D36:K36" si="6">SUM(D24:D35)</f>
        <v>415778105</v>
      </c>
      <c r="E36" s="83">
        <f t="shared" si="6"/>
        <v>54750986</v>
      </c>
      <c r="F36" s="83">
        <f t="shared" si="6"/>
        <v>470529091</v>
      </c>
      <c r="G36" s="83">
        <f t="shared" si="6"/>
        <v>420023501</v>
      </c>
      <c r="H36" s="74">
        <f>SUM(H24:H35)</f>
        <v>319265773</v>
      </c>
      <c r="I36" s="74">
        <f>SUM(I24:I35)</f>
        <v>125709595</v>
      </c>
      <c r="J36" s="83">
        <f t="shared" si="6"/>
        <v>444975368</v>
      </c>
      <c r="K36" s="83">
        <f t="shared" si="6"/>
        <v>83583141</v>
      </c>
      <c r="L36" s="83">
        <f t="shared" si="1"/>
        <v>1419111101</v>
      </c>
      <c r="M36" s="6"/>
      <c r="N36" s="30"/>
      <c r="O36" s="30"/>
    </row>
    <row r="37" spans="1:15" x14ac:dyDescent="0.25">
      <c r="A37" s="14" t="s">
        <v>36</v>
      </c>
      <c r="B37" s="14" t="s">
        <v>37</v>
      </c>
      <c r="C37" s="3"/>
      <c r="D37" s="27">
        <v>2695128</v>
      </c>
      <c r="E37" s="28">
        <v>1906010</v>
      </c>
      <c r="F37" s="28">
        <f t="shared" ref="F37:F42" si="7">D37+E37</f>
        <v>4601138</v>
      </c>
      <c r="G37" s="28">
        <v>0</v>
      </c>
      <c r="H37" s="77">
        <v>0</v>
      </c>
      <c r="I37" s="77">
        <v>0</v>
      </c>
      <c r="J37" s="28">
        <f t="shared" ref="J37:J42" si="8">H37+I37</f>
        <v>0</v>
      </c>
      <c r="K37" s="28">
        <v>3379752</v>
      </c>
      <c r="L37" s="28">
        <f t="shared" si="1"/>
        <v>7980890</v>
      </c>
      <c r="M37" s="3"/>
      <c r="N37" s="30"/>
      <c r="O37" s="30"/>
    </row>
    <row r="38" spans="1:15" x14ac:dyDescent="0.25">
      <c r="A38" s="15"/>
      <c r="B38" s="16" t="s">
        <v>38</v>
      </c>
      <c r="C38" s="3"/>
      <c r="D38" s="27">
        <v>31083400</v>
      </c>
      <c r="E38" s="28">
        <v>1869072</v>
      </c>
      <c r="F38" s="28">
        <f t="shared" si="7"/>
        <v>32952472</v>
      </c>
      <c r="G38" s="28">
        <v>1726702</v>
      </c>
      <c r="H38" s="77">
        <v>34257789</v>
      </c>
      <c r="I38" s="77">
        <v>9771359</v>
      </c>
      <c r="J38" s="28">
        <f t="shared" si="8"/>
        <v>44029148</v>
      </c>
      <c r="K38" s="28">
        <v>0</v>
      </c>
      <c r="L38" s="28">
        <f t="shared" ref="L38:L56" si="9">F38+G38+J38+K38</f>
        <v>78708322</v>
      </c>
      <c r="M38" s="3"/>
      <c r="N38" s="30"/>
      <c r="O38" s="30"/>
    </row>
    <row r="39" spans="1:15" x14ac:dyDescent="0.25">
      <c r="A39" s="15"/>
      <c r="B39" s="16" t="s">
        <v>39</v>
      </c>
      <c r="C39" s="3"/>
      <c r="D39" s="27">
        <v>4811315</v>
      </c>
      <c r="E39" s="28">
        <v>204050</v>
      </c>
      <c r="F39" s="28">
        <f t="shared" si="7"/>
        <v>5015365</v>
      </c>
      <c r="G39" s="28">
        <v>0</v>
      </c>
      <c r="H39" s="77">
        <v>8213901</v>
      </c>
      <c r="I39" s="77">
        <v>588878</v>
      </c>
      <c r="J39" s="28">
        <f t="shared" si="8"/>
        <v>8802779</v>
      </c>
      <c r="K39" s="28">
        <v>0</v>
      </c>
      <c r="L39" s="28">
        <f t="shared" si="9"/>
        <v>13818144</v>
      </c>
      <c r="M39" s="3"/>
      <c r="N39" s="30"/>
      <c r="O39" s="30"/>
    </row>
    <row r="40" spans="1:15" x14ac:dyDescent="0.25">
      <c r="A40" s="15"/>
      <c r="B40" s="16" t="s">
        <v>40</v>
      </c>
      <c r="C40" s="3"/>
      <c r="D40" s="27">
        <v>9932501</v>
      </c>
      <c r="E40" s="28">
        <v>584251</v>
      </c>
      <c r="F40" s="28">
        <f t="shared" si="7"/>
        <v>10516752</v>
      </c>
      <c r="G40" s="28">
        <v>0</v>
      </c>
      <c r="H40" s="77">
        <v>10314922</v>
      </c>
      <c r="I40" s="77">
        <v>951217</v>
      </c>
      <c r="J40" s="28">
        <f t="shared" si="8"/>
        <v>11266139</v>
      </c>
      <c r="K40" s="28">
        <v>0</v>
      </c>
      <c r="L40" s="28">
        <f t="shared" si="9"/>
        <v>21782891</v>
      </c>
      <c r="M40" s="3"/>
      <c r="N40" s="30"/>
      <c r="O40" s="30"/>
    </row>
    <row r="41" spans="1:15" x14ac:dyDescent="0.25">
      <c r="A41" s="15"/>
      <c r="B41" s="16" t="s">
        <v>41</v>
      </c>
      <c r="C41" s="3"/>
      <c r="D41" s="27">
        <v>6686136</v>
      </c>
      <c r="E41" s="28">
        <v>191210</v>
      </c>
      <c r="F41" s="28">
        <f t="shared" si="7"/>
        <v>6877346</v>
      </c>
      <c r="G41" s="28">
        <v>0</v>
      </c>
      <c r="H41" s="77">
        <v>6130579</v>
      </c>
      <c r="I41" s="77">
        <v>837721</v>
      </c>
      <c r="J41" s="28">
        <f t="shared" si="8"/>
        <v>6968300</v>
      </c>
      <c r="K41" s="28">
        <v>0</v>
      </c>
      <c r="L41" s="28">
        <f t="shared" si="9"/>
        <v>13845646</v>
      </c>
      <c r="M41" s="3"/>
      <c r="N41" s="30"/>
      <c r="O41" s="30"/>
    </row>
    <row r="42" spans="1:15" x14ac:dyDescent="0.25">
      <c r="A42" s="15"/>
      <c r="B42" s="16" t="s">
        <v>42</v>
      </c>
      <c r="C42" s="3"/>
      <c r="D42" s="27">
        <v>2300077</v>
      </c>
      <c r="E42" s="28">
        <v>0</v>
      </c>
      <c r="F42" s="28">
        <f t="shared" si="7"/>
        <v>2300077</v>
      </c>
      <c r="G42" s="28">
        <v>0</v>
      </c>
      <c r="H42" s="77">
        <v>0</v>
      </c>
      <c r="I42" s="77">
        <v>0</v>
      </c>
      <c r="J42" s="28">
        <f t="shared" si="8"/>
        <v>0</v>
      </c>
      <c r="K42" s="28">
        <v>0</v>
      </c>
      <c r="L42" s="28">
        <f t="shared" si="9"/>
        <v>2300077</v>
      </c>
      <c r="M42" s="3"/>
      <c r="N42" s="30"/>
      <c r="O42" s="30"/>
    </row>
    <row r="43" spans="1:15" x14ac:dyDescent="0.25">
      <c r="A43" s="17" t="s">
        <v>43</v>
      </c>
      <c r="B43" s="18"/>
      <c r="C43" s="6"/>
      <c r="D43" s="42">
        <f t="shared" ref="D43:K43" si="10">SUM(D37:D42)</f>
        <v>57508557</v>
      </c>
      <c r="E43" s="42">
        <f t="shared" si="10"/>
        <v>4754593</v>
      </c>
      <c r="F43" s="42">
        <f t="shared" si="10"/>
        <v>62263150</v>
      </c>
      <c r="G43" s="42">
        <f t="shared" si="10"/>
        <v>1726702</v>
      </c>
      <c r="H43" s="78">
        <f>SUM(H37:H42)</f>
        <v>58917191</v>
      </c>
      <c r="I43" s="78">
        <f>SUM(I37:I42)</f>
        <v>12149175</v>
      </c>
      <c r="J43" s="42">
        <f t="shared" si="10"/>
        <v>71066366</v>
      </c>
      <c r="K43" s="42">
        <f t="shared" si="10"/>
        <v>3379752</v>
      </c>
      <c r="L43" s="83">
        <f t="shared" si="9"/>
        <v>138435970</v>
      </c>
      <c r="M43" s="6"/>
      <c r="N43" s="30"/>
      <c r="O43" s="30"/>
    </row>
    <row r="44" spans="1:15" x14ac:dyDescent="0.25">
      <c r="A44" s="14" t="s">
        <v>44</v>
      </c>
      <c r="B44" s="14" t="s">
        <v>45</v>
      </c>
      <c r="C44" s="3"/>
      <c r="D44" s="27">
        <v>18474222</v>
      </c>
      <c r="E44" s="28">
        <v>1051625</v>
      </c>
      <c r="F44" s="28">
        <f t="shared" ref="F44:F53" si="11">D44+E44</f>
        <v>19525847</v>
      </c>
      <c r="G44" s="28">
        <v>0</v>
      </c>
      <c r="H44" s="77">
        <v>31921420</v>
      </c>
      <c r="I44" s="77">
        <v>3477100</v>
      </c>
      <c r="J44" s="28">
        <f t="shared" ref="J44:J53" si="12">H44+I44</f>
        <v>35398520</v>
      </c>
      <c r="K44" s="28">
        <v>0</v>
      </c>
      <c r="L44" s="28">
        <f t="shared" si="9"/>
        <v>54924367</v>
      </c>
      <c r="M44" s="3"/>
      <c r="N44" s="30"/>
      <c r="O44" s="30"/>
    </row>
    <row r="45" spans="1:15" x14ac:dyDescent="0.25">
      <c r="A45" s="15"/>
      <c r="B45" s="16" t="s">
        <v>46</v>
      </c>
      <c r="C45" s="3"/>
      <c r="D45" s="27">
        <v>42229896</v>
      </c>
      <c r="E45" s="28">
        <v>1990421</v>
      </c>
      <c r="F45" s="28">
        <f t="shared" si="11"/>
        <v>44220317</v>
      </c>
      <c r="G45" s="28">
        <v>0</v>
      </c>
      <c r="H45" s="77">
        <v>47273000</v>
      </c>
      <c r="I45" s="77">
        <f>169000+8492930</f>
        <v>8661930</v>
      </c>
      <c r="J45" s="28">
        <f t="shared" si="12"/>
        <v>55934930</v>
      </c>
      <c r="K45" s="28">
        <v>0</v>
      </c>
      <c r="L45" s="28">
        <f t="shared" si="9"/>
        <v>100155247</v>
      </c>
      <c r="M45" s="3"/>
      <c r="N45" s="30"/>
      <c r="O45" s="30"/>
    </row>
    <row r="46" spans="1:15" x14ac:dyDescent="0.25">
      <c r="A46" s="15"/>
      <c r="B46" s="16" t="s">
        <v>47</v>
      </c>
      <c r="C46" s="3"/>
      <c r="D46" s="27">
        <v>26984614</v>
      </c>
      <c r="E46" s="28">
        <v>1809176</v>
      </c>
      <c r="F46" s="28">
        <f t="shared" si="11"/>
        <v>28793790</v>
      </c>
      <c r="G46" s="28">
        <v>0</v>
      </c>
      <c r="H46" s="77">
        <v>32100358</v>
      </c>
      <c r="I46" s="77">
        <f>14783+4044689</f>
        <v>4059472</v>
      </c>
      <c r="J46" s="28">
        <f t="shared" si="12"/>
        <v>36159830</v>
      </c>
      <c r="K46" s="28">
        <v>0</v>
      </c>
      <c r="L46" s="28">
        <f t="shared" si="9"/>
        <v>64953620</v>
      </c>
      <c r="M46" s="3"/>
      <c r="N46" s="30"/>
      <c r="O46" s="30"/>
    </row>
    <row r="47" spans="1:15" x14ac:dyDescent="0.25">
      <c r="A47" s="15"/>
      <c r="B47" s="16" t="s">
        <v>48</v>
      </c>
      <c r="C47" s="3"/>
      <c r="D47" s="27">
        <v>22290653</v>
      </c>
      <c r="E47" s="28">
        <v>1127010</v>
      </c>
      <c r="F47" s="28">
        <f t="shared" si="11"/>
        <v>23417663</v>
      </c>
      <c r="G47" s="28">
        <v>0</v>
      </c>
      <c r="H47" s="77">
        <v>28239067</v>
      </c>
      <c r="I47" s="77">
        <f>48156+235000+5976408</f>
        <v>6259564</v>
      </c>
      <c r="J47" s="28">
        <f t="shared" si="12"/>
        <v>34498631</v>
      </c>
      <c r="K47" s="28">
        <v>0</v>
      </c>
      <c r="L47" s="28">
        <f t="shared" si="9"/>
        <v>57916294</v>
      </c>
      <c r="M47" s="3"/>
      <c r="N47" s="30"/>
      <c r="O47" s="30"/>
    </row>
    <row r="48" spans="1:15" x14ac:dyDescent="0.25">
      <c r="A48" s="15"/>
      <c r="B48" s="16" t="s">
        <v>49</v>
      </c>
      <c r="C48" s="3"/>
      <c r="D48" s="27">
        <v>30849417</v>
      </c>
      <c r="E48" s="28">
        <v>1314771</v>
      </c>
      <c r="F48" s="28">
        <f t="shared" si="11"/>
        <v>32164188</v>
      </c>
      <c r="G48" s="28">
        <v>74923</v>
      </c>
      <c r="H48" s="77">
        <v>37794693</v>
      </c>
      <c r="I48" s="77">
        <f>656510+4540606</f>
        <v>5197116</v>
      </c>
      <c r="J48" s="28">
        <f t="shared" si="12"/>
        <v>42991809</v>
      </c>
      <c r="K48" s="28">
        <v>0</v>
      </c>
      <c r="L48" s="28">
        <f t="shared" si="9"/>
        <v>75230920</v>
      </c>
      <c r="M48" s="3"/>
      <c r="N48" s="30"/>
      <c r="O48" s="30"/>
    </row>
    <row r="49" spans="1:15" x14ac:dyDescent="0.25">
      <c r="A49" s="15"/>
      <c r="B49" s="16" t="s">
        <v>50</v>
      </c>
      <c r="C49" s="3"/>
      <c r="D49" s="27">
        <v>47867208</v>
      </c>
      <c r="E49" s="28">
        <v>2083422</v>
      </c>
      <c r="F49" s="28">
        <f t="shared" si="11"/>
        <v>49950630</v>
      </c>
      <c r="G49" s="28">
        <v>0</v>
      </c>
      <c r="H49" s="77">
        <v>56347611</v>
      </c>
      <c r="I49" s="77">
        <f>426975+12598174</f>
        <v>13025149</v>
      </c>
      <c r="J49" s="28">
        <f t="shared" si="12"/>
        <v>69372760</v>
      </c>
      <c r="K49" s="28">
        <v>0</v>
      </c>
      <c r="L49" s="28">
        <f t="shared" si="9"/>
        <v>119323390</v>
      </c>
      <c r="M49" s="3"/>
      <c r="N49" s="30"/>
      <c r="O49" s="30"/>
    </row>
    <row r="50" spans="1:15" x14ac:dyDescent="0.25">
      <c r="A50" s="15"/>
      <c r="B50" s="16" t="s">
        <v>51</v>
      </c>
      <c r="C50" s="3"/>
      <c r="D50" s="27">
        <v>1605302</v>
      </c>
      <c r="E50" s="28">
        <v>0</v>
      </c>
      <c r="F50" s="28">
        <f t="shared" si="11"/>
        <v>1605302</v>
      </c>
      <c r="G50" s="28">
        <v>36000</v>
      </c>
      <c r="H50" s="77">
        <v>0</v>
      </c>
      <c r="I50" s="77">
        <v>1150000</v>
      </c>
      <c r="J50" s="28">
        <f t="shared" si="12"/>
        <v>1150000</v>
      </c>
      <c r="K50" s="28">
        <v>0</v>
      </c>
      <c r="L50" s="28">
        <f t="shared" si="9"/>
        <v>2791302</v>
      </c>
      <c r="M50" s="3"/>
      <c r="N50" s="30"/>
      <c r="O50" s="30"/>
    </row>
    <row r="51" spans="1:15" x14ac:dyDescent="0.25">
      <c r="A51" s="15"/>
      <c r="B51" s="16" t="s">
        <v>52</v>
      </c>
      <c r="C51" s="3"/>
      <c r="D51" s="27">
        <v>65125417</v>
      </c>
      <c r="E51" s="28">
        <v>2683748</v>
      </c>
      <c r="F51" s="28">
        <f t="shared" si="11"/>
        <v>67809165</v>
      </c>
      <c r="G51" s="28">
        <v>0</v>
      </c>
      <c r="H51" s="77">
        <v>62428722</v>
      </c>
      <c r="I51" s="77">
        <v>13503310</v>
      </c>
      <c r="J51" s="28">
        <f t="shared" si="12"/>
        <v>75932032</v>
      </c>
      <c r="K51" s="28">
        <v>0</v>
      </c>
      <c r="L51" s="28">
        <f t="shared" si="9"/>
        <v>143741197</v>
      </c>
      <c r="M51" s="3"/>
      <c r="N51" s="30"/>
      <c r="O51" s="30"/>
    </row>
    <row r="52" spans="1:15" x14ac:dyDescent="0.25">
      <c r="A52" s="15"/>
      <c r="B52" s="16" t="s">
        <v>53</v>
      </c>
      <c r="C52" s="3"/>
      <c r="D52" s="27">
        <v>35703648</v>
      </c>
      <c r="E52" s="28">
        <v>1899424</v>
      </c>
      <c r="F52" s="28">
        <f t="shared" si="11"/>
        <v>37603072</v>
      </c>
      <c r="G52" s="28">
        <v>0</v>
      </c>
      <c r="H52" s="77">
        <v>37104070</v>
      </c>
      <c r="I52" s="77">
        <f>52600+1090000+4925173</f>
        <v>6067773</v>
      </c>
      <c r="J52" s="28">
        <f t="shared" si="12"/>
        <v>43171843</v>
      </c>
      <c r="K52" s="28">
        <v>0</v>
      </c>
      <c r="L52" s="28">
        <f t="shared" si="9"/>
        <v>80774915</v>
      </c>
      <c r="M52" s="3"/>
      <c r="N52" s="30"/>
      <c r="O52" s="30"/>
    </row>
    <row r="53" spans="1:15" x14ac:dyDescent="0.25">
      <c r="A53" s="15"/>
      <c r="B53" s="16" t="s">
        <v>54</v>
      </c>
      <c r="C53" s="3"/>
      <c r="D53" s="27">
        <v>45100735</v>
      </c>
      <c r="E53" s="28">
        <v>2575586</v>
      </c>
      <c r="F53" s="28">
        <f t="shared" si="11"/>
        <v>47676321</v>
      </c>
      <c r="G53" s="28">
        <v>0</v>
      </c>
      <c r="H53" s="77">
        <v>61695878</v>
      </c>
      <c r="I53" s="77">
        <f>899631+9681891</f>
        <v>10581522</v>
      </c>
      <c r="J53" s="28">
        <f t="shared" si="12"/>
        <v>72277400</v>
      </c>
      <c r="K53" s="28">
        <v>0</v>
      </c>
      <c r="L53" s="28">
        <f t="shared" si="9"/>
        <v>119953721</v>
      </c>
      <c r="M53" s="3"/>
      <c r="N53" s="30"/>
      <c r="O53" s="30"/>
    </row>
    <row r="54" spans="1:15" x14ac:dyDescent="0.25">
      <c r="A54" s="12" t="s">
        <v>55</v>
      </c>
      <c r="B54" s="13"/>
      <c r="C54" s="6"/>
      <c r="D54" s="83">
        <f t="shared" ref="D54:K54" si="13">SUM(D44:D53)</f>
        <v>336231112</v>
      </c>
      <c r="E54" s="83">
        <f t="shared" si="13"/>
        <v>16535183</v>
      </c>
      <c r="F54" s="83">
        <f t="shared" si="13"/>
        <v>352766295</v>
      </c>
      <c r="G54" s="83">
        <f t="shared" si="13"/>
        <v>110923</v>
      </c>
      <c r="H54" s="74">
        <f>SUM(H44:H53)</f>
        <v>394904819</v>
      </c>
      <c r="I54" s="74">
        <f>SUM(I44:I53)</f>
        <v>71982936</v>
      </c>
      <c r="J54" s="83">
        <f t="shared" si="13"/>
        <v>466887755</v>
      </c>
      <c r="K54" s="83">
        <f t="shared" si="13"/>
        <v>0</v>
      </c>
      <c r="L54" s="83">
        <f t="shared" si="9"/>
        <v>819764973</v>
      </c>
      <c r="M54" s="6"/>
      <c r="N54" s="30"/>
      <c r="O54" s="30"/>
    </row>
    <row r="55" spans="1:15" x14ac:dyDescent="0.25">
      <c r="A55" s="19" t="s">
        <v>56</v>
      </c>
      <c r="B55" s="20"/>
      <c r="C55" s="6"/>
      <c r="D55" s="83">
        <f t="shared" ref="D55:K55" si="14">D54+D43+D36+D23+D8+D7+D6</f>
        <v>1058273311</v>
      </c>
      <c r="E55" s="83">
        <f t="shared" si="14"/>
        <v>232524247</v>
      </c>
      <c r="F55" s="83">
        <f t="shared" si="14"/>
        <v>1290797558</v>
      </c>
      <c r="G55" s="83">
        <f t="shared" si="14"/>
        <v>434180190</v>
      </c>
      <c r="H55" s="74">
        <f>H54+H43+H36+H23+H8+H7+H6</f>
        <v>912542603</v>
      </c>
      <c r="I55" s="74">
        <f>I54+I43+I36+I23+I8+I7+I6</f>
        <v>217550552</v>
      </c>
      <c r="J55" s="83">
        <f t="shared" si="14"/>
        <v>1130093155</v>
      </c>
      <c r="K55" s="83">
        <f t="shared" si="14"/>
        <v>158783006</v>
      </c>
      <c r="L55" s="83">
        <f t="shared" si="9"/>
        <v>3013853909</v>
      </c>
      <c r="M55" s="6"/>
      <c r="N55" s="29"/>
      <c r="O55" s="30"/>
    </row>
    <row r="56" spans="1:15" s="32" customFormat="1" x14ac:dyDescent="0.25">
      <c r="A56" s="35" t="s">
        <v>63</v>
      </c>
      <c r="B56" s="35"/>
      <c r="C56" s="37"/>
      <c r="D56" s="41">
        <f>D55-D7-D24-D25-9777086</f>
        <v>942252225</v>
      </c>
      <c r="E56" s="41">
        <f>E55-E7-E24-E25-0</f>
        <v>124254104</v>
      </c>
      <c r="F56" s="41">
        <f>D56+E56</f>
        <v>1066506329</v>
      </c>
      <c r="G56" s="41">
        <f>G55-G7-G24-G25-209316120</f>
        <v>84659944</v>
      </c>
      <c r="H56" s="80">
        <f>H55-H7-H24-H25-0</f>
        <v>912542603</v>
      </c>
      <c r="I56" s="80">
        <f>I55-I7-I24-I25-45532267</f>
        <v>167179998</v>
      </c>
      <c r="J56" s="41">
        <f>H56+I56</f>
        <v>1079722601</v>
      </c>
      <c r="K56" s="41">
        <f>K55-K7-K24-K25-58724160</f>
        <v>35996567</v>
      </c>
      <c r="L56" s="83">
        <f t="shared" si="9"/>
        <v>2266885441</v>
      </c>
      <c r="M56" s="37"/>
      <c r="N56" s="34"/>
      <c r="O56" s="34"/>
    </row>
    <row r="57" spans="1:15" x14ac:dyDescent="0.25">
      <c r="A57" s="7"/>
      <c r="B57" s="7"/>
      <c r="C57" s="7"/>
      <c r="M57" s="7"/>
    </row>
    <row r="58" spans="1:15" x14ac:dyDescent="0.25">
      <c r="A58" s="8"/>
    </row>
    <row r="65" spans="2:12" x14ac:dyDescent="0.25">
      <c r="F65" s="25">
        <f>F54-F50+F41+F40+F38+F33+F30+F28+F27+F23-F15-F14</f>
        <v>735335200</v>
      </c>
      <c r="H65" s="25">
        <f t="shared" ref="H65:J65" si="15">H54-H50+H41+H40+H38+H33+H30+H28+H27+H23-H15-H14</f>
        <v>850055043</v>
      </c>
      <c r="I65" s="25">
        <f t="shared" si="15"/>
        <v>129413558</v>
      </c>
      <c r="J65" s="25">
        <f t="shared" si="15"/>
        <v>979468601</v>
      </c>
    </row>
    <row r="67" spans="2:12" x14ac:dyDescent="0.25">
      <c r="D67" s="25">
        <f>D54-D50+D40+D38+D33+D28+D27</f>
        <v>547681640</v>
      </c>
      <c r="E67" s="25">
        <f t="shared" ref="E67:L67" si="16">E54-E50+E40+E38+E33+E28+E27+E34</f>
        <v>32783947</v>
      </c>
      <c r="F67" s="25">
        <f t="shared" si="16"/>
        <v>586994687</v>
      </c>
      <c r="G67" s="25">
        <f t="shared" si="16"/>
        <v>8516917</v>
      </c>
      <c r="H67" s="25">
        <f t="shared" si="16"/>
        <v>713107659</v>
      </c>
      <c r="I67" s="25">
        <f t="shared" si="16"/>
        <v>122731851</v>
      </c>
      <c r="J67" s="25">
        <f t="shared" si="16"/>
        <v>835839510</v>
      </c>
      <c r="K67" s="25">
        <f t="shared" si="16"/>
        <v>0</v>
      </c>
      <c r="L67" s="25">
        <f t="shared" si="16"/>
        <v>1431351114</v>
      </c>
    </row>
    <row r="68" spans="2:12" x14ac:dyDescent="0.25">
      <c r="D68" s="25">
        <f>D41+D30+D23-D15-D14</f>
        <v>147847967</v>
      </c>
      <c r="E68" s="25">
        <f t="shared" ref="E68:L68" si="17">E41+E30+E23-E15-E14</f>
        <v>7423463</v>
      </c>
      <c r="F68" s="25">
        <f t="shared" si="17"/>
        <v>155271430</v>
      </c>
      <c r="G68" s="25">
        <f t="shared" si="17"/>
        <v>0</v>
      </c>
      <c r="H68" s="25">
        <f t="shared" si="17"/>
        <v>152226884</v>
      </c>
      <c r="I68" s="25">
        <f t="shared" si="17"/>
        <v>6851074</v>
      </c>
      <c r="J68" s="25">
        <f t="shared" si="17"/>
        <v>159077958</v>
      </c>
      <c r="K68" s="25">
        <f t="shared" si="17"/>
        <v>0</v>
      </c>
      <c r="L68" s="25">
        <f t="shared" si="17"/>
        <v>314349388</v>
      </c>
    </row>
    <row r="69" spans="2:12" x14ac:dyDescent="0.25">
      <c r="D69" s="25">
        <f>D68+D67</f>
        <v>695529607</v>
      </c>
      <c r="E69" s="25">
        <f t="shared" ref="E69:L69" si="18">E68+E67</f>
        <v>40207410</v>
      </c>
      <c r="F69" s="25">
        <f t="shared" si="18"/>
        <v>742266117</v>
      </c>
      <c r="G69" s="25">
        <f t="shared" si="18"/>
        <v>8516917</v>
      </c>
      <c r="H69" s="25">
        <f t="shared" si="18"/>
        <v>865334543</v>
      </c>
      <c r="I69" s="25">
        <f t="shared" si="18"/>
        <v>129582925</v>
      </c>
      <c r="J69" s="25">
        <f t="shared" si="18"/>
        <v>994917468</v>
      </c>
      <c r="K69" s="25">
        <f t="shared" si="18"/>
        <v>0</v>
      </c>
      <c r="L69" s="25">
        <f t="shared" si="18"/>
        <v>1745700502</v>
      </c>
    </row>
    <row r="72" spans="2:12" x14ac:dyDescent="0.25">
      <c r="B72" t="s">
        <v>110</v>
      </c>
      <c r="D72" s="25">
        <f>D73+D74-D37-D35-D26</f>
        <v>831931135</v>
      </c>
      <c r="E72" s="25">
        <f t="shared" ref="E72:L72" si="19">E73+E74-E37-E35-E26</f>
        <v>71065183</v>
      </c>
      <c r="F72" s="25">
        <f t="shared" si="19"/>
        <v>909525418</v>
      </c>
      <c r="G72" s="25">
        <f t="shared" si="19"/>
        <v>282024956</v>
      </c>
      <c r="H72" s="25">
        <f t="shared" si="19"/>
        <v>927822103</v>
      </c>
      <c r="I72" s="25">
        <f t="shared" si="19"/>
        <v>201572060</v>
      </c>
      <c r="J72" s="25">
        <f t="shared" si="19"/>
        <v>1129394163</v>
      </c>
      <c r="K72" s="25">
        <f t="shared" si="19"/>
        <v>58724160</v>
      </c>
      <c r="L72" s="25">
        <f t="shared" si="19"/>
        <v>2379668697</v>
      </c>
    </row>
    <row r="73" spans="2:12" x14ac:dyDescent="0.25">
      <c r="B73" t="s">
        <v>104</v>
      </c>
      <c r="D73" s="25">
        <f>D69</f>
        <v>695529607</v>
      </c>
      <c r="E73" s="25">
        <f t="shared" ref="E73:L73" si="20">E69</f>
        <v>40207410</v>
      </c>
      <c r="F73" s="25">
        <f t="shared" si="20"/>
        <v>742266117</v>
      </c>
      <c r="G73" s="25">
        <f t="shared" si="20"/>
        <v>8516917</v>
      </c>
      <c r="H73" s="25">
        <f t="shared" si="20"/>
        <v>865334543</v>
      </c>
      <c r="I73" s="25">
        <f t="shared" si="20"/>
        <v>129582925</v>
      </c>
      <c r="J73" s="25">
        <f t="shared" si="20"/>
        <v>994917468</v>
      </c>
      <c r="K73" s="25">
        <f t="shared" si="20"/>
        <v>0</v>
      </c>
      <c r="L73" s="25">
        <f t="shared" si="20"/>
        <v>1745700502</v>
      </c>
    </row>
    <row r="74" spans="2:12" x14ac:dyDescent="0.25">
      <c r="B74" t="s">
        <v>105</v>
      </c>
      <c r="D74" s="25">
        <f>D39+D37+D35+D34+D32+D31+D26</f>
        <v>219132349</v>
      </c>
      <c r="E74" s="25">
        <f t="shared" ref="E74:L74" si="21">E39+E37+E35+E34+E32+E31+E26</f>
        <v>43215860</v>
      </c>
      <c r="F74" s="25">
        <f t="shared" si="21"/>
        <v>262348209</v>
      </c>
      <c r="G74" s="25">
        <f t="shared" si="21"/>
        <v>273508039</v>
      </c>
      <c r="H74" s="25">
        <f t="shared" si="21"/>
        <v>62487560</v>
      </c>
      <c r="I74" s="25">
        <f t="shared" si="21"/>
        <v>79622663</v>
      </c>
      <c r="J74" s="25">
        <f t="shared" si="21"/>
        <v>142110223</v>
      </c>
      <c r="K74" s="25">
        <f t="shared" si="21"/>
        <v>75122187</v>
      </c>
      <c r="L74" s="25">
        <f t="shared" si="21"/>
        <v>753088658</v>
      </c>
    </row>
    <row r="75" spans="2:12" x14ac:dyDescent="0.25">
      <c r="B75" t="s">
        <v>106</v>
      </c>
      <c r="D75" s="25">
        <f>D7</f>
        <v>84337798</v>
      </c>
      <c r="E75" s="25">
        <f t="shared" ref="E75:L75" si="22">E7</f>
        <v>108270143</v>
      </c>
      <c r="F75" s="25">
        <f t="shared" si="22"/>
        <v>192607941</v>
      </c>
      <c r="G75" s="25">
        <f t="shared" si="22"/>
        <v>403956</v>
      </c>
      <c r="H75" s="25">
        <f t="shared" si="22"/>
        <v>0</v>
      </c>
      <c r="I75" s="25">
        <f t="shared" si="22"/>
        <v>120864</v>
      </c>
      <c r="J75" s="25">
        <f t="shared" si="22"/>
        <v>120864</v>
      </c>
      <c r="K75" s="25">
        <f t="shared" si="22"/>
        <v>52221573</v>
      </c>
      <c r="L75" s="25">
        <f t="shared" si="22"/>
        <v>245354334</v>
      </c>
    </row>
    <row r="76" spans="2:12" x14ac:dyDescent="0.25">
      <c r="B76" t="s">
        <v>107</v>
      </c>
      <c r="D76" s="25">
        <f>D50+D42+D29+D15+D14+D8+D6</f>
        <v>37367355</v>
      </c>
      <c r="E76" s="25">
        <f t="shared" ref="E76:L76" si="23">E50+E42+E29+E15+E14+E8+E6</f>
        <v>41232651</v>
      </c>
      <c r="F76" s="25">
        <f t="shared" si="23"/>
        <v>78600006</v>
      </c>
      <c r="G76" s="25">
        <f t="shared" si="23"/>
        <v>11951108</v>
      </c>
      <c r="H76" s="25">
        <f t="shared" si="23"/>
        <v>0</v>
      </c>
      <c r="I76" s="25">
        <f t="shared" si="23"/>
        <v>3676044</v>
      </c>
      <c r="J76" s="25">
        <f t="shared" si="23"/>
        <v>3676044</v>
      </c>
      <c r="K76" s="25">
        <f t="shared" si="23"/>
        <v>19598540</v>
      </c>
      <c r="L76" s="25">
        <f t="shared" si="23"/>
        <v>113825698</v>
      </c>
    </row>
    <row r="77" spans="2:12" x14ac:dyDescent="0.25">
      <c r="D77" s="25">
        <f>SUM(D73:D76)</f>
        <v>1036367109</v>
      </c>
      <c r="E77" s="25">
        <f t="shared" ref="E77:L77" si="24">SUM(E73:E76)</f>
        <v>232926064</v>
      </c>
      <c r="F77" s="25">
        <f t="shared" si="24"/>
        <v>1275822273</v>
      </c>
      <c r="G77" s="25">
        <f t="shared" si="24"/>
        <v>294380020</v>
      </c>
      <c r="H77" s="25">
        <f t="shared" si="24"/>
        <v>927822103</v>
      </c>
      <c r="I77" s="25">
        <f t="shared" si="24"/>
        <v>213002496</v>
      </c>
      <c r="J77" s="25">
        <f t="shared" si="24"/>
        <v>1140824599</v>
      </c>
      <c r="K77" s="25">
        <f t="shared" si="24"/>
        <v>146942300</v>
      </c>
      <c r="L77" s="25">
        <f t="shared" si="24"/>
        <v>2857969192</v>
      </c>
    </row>
  </sheetData>
  <pageMargins left="0.25" right="0.25" top="0.75" bottom="0.75" header="0.3" footer="0.3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7"/>
  <sheetViews>
    <sheetView workbookViewId="0">
      <pane ySplit="5" topLeftCell="A42" activePane="bottomLeft" state="frozen"/>
      <selection pane="bottomLeft" activeCell="G55" sqref="G55"/>
    </sheetView>
  </sheetViews>
  <sheetFormatPr defaultRowHeight="15" x14ac:dyDescent="0.25"/>
  <cols>
    <col min="2" max="2" width="22.85546875" customWidth="1"/>
    <col min="3" max="3" width="1.42578125" customWidth="1"/>
    <col min="4" max="4" width="16.28515625" style="25" customWidth="1"/>
    <col min="5" max="5" width="18.85546875" style="25" customWidth="1"/>
    <col min="6" max="12" width="16.28515625" style="25" customWidth="1"/>
    <col min="13" max="13" width="1.42578125" customWidth="1"/>
    <col min="14" max="14" width="12.5703125" bestFit="1" customWidth="1"/>
    <col min="15" max="15" width="15.28515625" bestFit="1" customWidth="1"/>
  </cols>
  <sheetData>
    <row r="1" spans="1:16" s="99" customFormat="1" ht="18.75" x14ac:dyDescent="0.3">
      <c r="A1" s="99" t="s">
        <v>94</v>
      </c>
      <c r="D1" s="100"/>
      <c r="E1" s="100"/>
      <c r="F1" s="100"/>
      <c r="G1" s="100"/>
      <c r="H1" s="100"/>
      <c r="I1" s="100"/>
      <c r="J1" s="100"/>
      <c r="K1" s="100"/>
      <c r="L1" s="100"/>
    </row>
    <row r="2" spans="1:16" s="99" customFormat="1" ht="18.75" x14ac:dyDescent="0.3">
      <c r="A2" s="101" t="s">
        <v>77</v>
      </c>
      <c r="B2" s="101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6" s="99" customFormat="1" ht="18.75" x14ac:dyDescent="0.3">
      <c r="A3" s="102"/>
      <c r="B3" s="101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6" x14ac:dyDescent="0.25">
      <c r="A4" s="1"/>
      <c r="B4" s="2"/>
      <c r="C4" s="9"/>
      <c r="M4" s="9"/>
    </row>
    <row r="5" spans="1:16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59</v>
      </c>
      <c r="H5" s="73" t="s">
        <v>88</v>
      </c>
      <c r="I5" s="73" t="s">
        <v>68</v>
      </c>
      <c r="J5" s="26" t="s">
        <v>60</v>
      </c>
      <c r="K5" s="26" t="s">
        <v>61</v>
      </c>
      <c r="L5" s="26" t="s">
        <v>62</v>
      </c>
      <c r="M5" s="4"/>
    </row>
    <row r="6" spans="1:16" x14ac:dyDescent="0.25">
      <c r="A6" s="11" t="s">
        <v>2</v>
      </c>
      <c r="B6" s="11" t="s">
        <v>3</v>
      </c>
      <c r="C6" s="5"/>
      <c r="D6" s="83">
        <v>14624521</v>
      </c>
      <c r="E6" s="83">
        <v>30330000</v>
      </c>
      <c r="F6" s="83">
        <f>D6+E6</f>
        <v>44954521</v>
      </c>
      <c r="G6" s="83">
        <v>4040108</v>
      </c>
      <c r="H6" s="74">
        <v>0</v>
      </c>
      <c r="I6" s="74">
        <v>1426044</v>
      </c>
      <c r="J6" s="83">
        <f t="shared" ref="J6:J22" si="0">H6+I6</f>
        <v>1426044</v>
      </c>
      <c r="K6" s="83">
        <v>15563873</v>
      </c>
      <c r="L6" s="83">
        <f t="shared" ref="L6:L37" si="1">F6+G6+J6+K6</f>
        <v>65984546</v>
      </c>
      <c r="M6" s="5"/>
    </row>
    <row r="7" spans="1:16" x14ac:dyDescent="0.25">
      <c r="A7" s="21" t="s">
        <v>4</v>
      </c>
      <c r="B7" s="21" t="s">
        <v>4</v>
      </c>
      <c r="C7" s="22"/>
      <c r="D7" s="43">
        <v>132137556</v>
      </c>
      <c r="E7" s="44">
        <v>70112970</v>
      </c>
      <c r="F7" s="83">
        <f>D7+E7</f>
        <v>202250526</v>
      </c>
      <c r="G7" s="44">
        <v>243956</v>
      </c>
      <c r="H7" s="75">
        <v>0</v>
      </c>
      <c r="I7" s="75">
        <v>120864</v>
      </c>
      <c r="J7" s="83">
        <f t="shared" si="0"/>
        <v>120864</v>
      </c>
      <c r="K7" s="44">
        <v>46073263</v>
      </c>
      <c r="L7" s="83">
        <f t="shared" si="1"/>
        <v>248688609</v>
      </c>
      <c r="M7" s="22"/>
      <c r="N7" s="33"/>
      <c r="O7" s="29"/>
      <c r="P7" s="30"/>
    </row>
    <row r="8" spans="1:16" x14ac:dyDescent="0.25">
      <c r="A8" s="23" t="s">
        <v>5</v>
      </c>
      <c r="B8" s="23" t="s">
        <v>5</v>
      </c>
      <c r="C8" s="24"/>
      <c r="D8" s="45">
        <v>2399849</v>
      </c>
      <c r="E8" s="46">
        <v>39798</v>
      </c>
      <c r="F8" s="83">
        <f>D8+E8</f>
        <v>2439647</v>
      </c>
      <c r="G8" s="46">
        <v>375000</v>
      </c>
      <c r="H8" s="76">
        <v>0</v>
      </c>
      <c r="I8" s="76">
        <v>7285000</v>
      </c>
      <c r="J8" s="83">
        <f t="shared" si="0"/>
        <v>7285000</v>
      </c>
      <c r="K8" s="46">
        <v>4034667</v>
      </c>
      <c r="L8" s="83">
        <f t="shared" si="1"/>
        <v>14134314</v>
      </c>
      <c r="M8" s="24"/>
      <c r="N8" s="30"/>
      <c r="O8" s="30"/>
      <c r="P8" s="30"/>
    </row>
    <row r="9" spans="1:16" x14ac:dyDescent="0.25">
      <c r="A9" s="16" t="s">
        <v>6</v>
      </c>
      <c r="B9" s="16" t="s">
        <v>7</v>
      </c>
      <c r="C9" s="3"/>
      <c r="D9" s="27">
        <v>9843390</v>
      </c>
      <c r="E9" s="28">
        <v>479046</v>
      </c>
      <c r="F9" s="28">
        <f>D9+E9</f>
        <v>10322436</v>
      </c>
      <c r="G9" s="28">
        <v>0</v>
      </c>
      <c r="H9" s="77">
        <v>16970214</v>
      </c>
      <c r="I9" s="77">
        <v>150405</v>
      </c>
      <c r="J9" s="28">
        <f t="shared" si="0"/>
        <v>17120619</v>
      </c>
      <c r="K9" s="28">
        <v>0</v>
      </c>
      <c r="L9" s="28">
        <f t="shared" si="1"/>
        <v>27443055</v>
      </c>
      <c r="M9" s="3"/>
      <c r="N9" s="30"/>
      <c r="O9" s="30"/>
      <c r="P9" s="30"/>
    </row>
    <row r="10" spans="1:16" x14ac:dyDescent="0.25">
      <c r="A10" s="15"/>
      <c r="B10" s="16" t="s">
        <v>8</v>
      </c>
      <c r="C10" s="3"/>
      <c r="D10" s="27">
        <v>8093056</v>
      </c>
      <c r="E10" s="28">
        <v>389699</v>
      </c>
      <c r="F10" s="28">
        <f>D10+E10</f>
        <v>8482755</v>
      </c>
      <c r="G10" s="28">
        <v>0</v>
      </c>
      <c r="H10" s="77">
        <v>17667305</v>
      </c>
      <c r="I10" s="77">
        <v>42600</v>
      </c>
      <c r="J10" s="28">
        <f t="shared" si="0"/>
        <v>17709905</v>
      </c>
      <c r="K10" s="28">
        <v>0</v>
      </c>
      <c r="L10" s="28">
        <f t="shared" si="1"/>
        <v>26192660</v>
      </c>
      <c r="M10" s="3"/>
      <c r="N10" s="30"/>
      <c r="O10" s="30"/>
      <c r="P10" s="30"/>
    </row>
    <row r="11" spans="1:16" x14ac:dyDescent="0.25">
      <c r="A11" s="15"/>
      <c r="B11" s="16" t="s">
        <v>9</v>
      </c>
      <c r="C11" s="3"/>
      <c r="D11" s="27">
        <v>6194767</v>
      </c>
      <c r="E11" s="28">
        <v>278319</v>
      </c>
      <c r="F11" s="28">
        <f t="shared" ref="F11:F22" si="2">D11+E11</f>
        <v>6473086</v>
      </c>
      <c r="G11" s="28">
        <v>0</v>
      </c>
      <c r="H11" s="77">
        <v>3622581</v>
      </c>
      <c r="I11" s="77">
        <v>0</v>
      </c>
      <c r="J11" s="28">
        <f t="shared" si="0"/>
        <v>3622581</v>
      </c>
      <c r="K11" s="28">
        <v>0</v>
      </c>
      <c r="L11" s="28">
        <f t="shared" si="1"/>
        <v>10095667</v>
      </c>
      <c r="M11" s="3"/>
      <c r="N11" s="30"/>
      <c r="O11" s="30"/>
      <c r="P11" s="30"/>
    </row>
    <row r="12" spans="1:16" x14ac:dyDescent="0.25">
      <c r="A12" s="15"/>
      <c r="B12" s="16" t="s">
        <v>10</v>
      </c>
      <c r="C12" s="3"/>
      <c r="D12" s="27">
        <v>28341866</v>
      </c>
      <c r="E12" s="28">
        <v>1663899</v>
      </c>
      <c r="F12" s="28">
        <f t="shared" si="2"/>
        <v>30005765</v>
      </c>
      <c r="G12" s="28">
        <v>0</v>
      </c>
      <c r="H12" s="77">
        <v>58578415</v>
      </c>
      <c r="I12" s="77">
        <v>1100000</v>
      </c>
      <c r="J12" s="28">
        <f t="shared" si="0"/>
        <v>59678415</v>
      </c>
      <c r="K12" s="28">
        <v>0</v>
      </c>
      <c r="L12" s="28">
        <f t="shared" si="1"/>
        <v>89684180</v>
      </c>
      <c r="M12" s="3"/>
      <c r="N12" s="30"/>
      <c r="O12" s="30"/>
      <c r="P12" s="30"/>
    </row>
    <row r="13" spans="1:16" x14ac:dyDescent="0.25">
      <c r="A13" s="15"/>
      <c r="B13" s="16" t="s">
        <v>11</v>
      </c>
      <c r="C13" s="3"/>
      <c r="D13" s="27">
        <v>2917523</v>
      </c>
      <c r="E13" s="28">
        <v>134657</v>
      </c>
      <c r="F13" s="28">
        <f t="shared" si="2"/>
        <v>3052180</v>
      </c>
      <c r="G13" s="28">
        <v>0</v>
      </c>
      <c r="H13" s="77">
        <v>5258138</v>
      </c>
      <c r="I13" s="77">
        <v>12000</v>
      </c>
      <c r="J13" s="28">
        <f t="shared" si="0"/>
        <v>5270138</v>
      </c>
      <c r="K13" s="28">
        <v>0</v>
      </c>
      <c r="L13" s="28">
        <f t="shared" si="1"/>
        <v>8322318</v>
      </c>
      <c r="M13" s="3"/>
      <c r="N13" s="30"/>
      <c r="O13" s="30"/>
      <c r="P13" s="30"/>
    </row>
    <row r="14" spans="1:16" x14ac:dyDescent="0.25">
      <c r="A14" s="15"/>
      <c r="B14" s="16" t="s">
        <v>12</v>
      </c>
      <c r="C14" s="3"/>
      <c r="D14" s="27">
        <v>6140746</v>
      </c>
      <c r="E14" s="28">
        <v>10000000</v>
      </c>
      <c r="F14" s="28">
        <f t="shared" si="2"/>
        <v>16140746</v>
      </c>
      <c r="G14" s="28">
        <v>0</v>
      </c>
      <c r="H14" s="77">
        <v>0</v>
      </c>
      <c r="I14" s="77">
        <v>0</v>
      </c>
      <c r="J14" s="28">
        <f t="shared" si="0"/>
        <v>0</v>
      </c>
      <c r="K14" s="28">
        <v>0</v>
      </c>
      <c r="L14" s="28">
        <f t="shared" si="1"/>
        <v>16140746</v>
      </c>
      <c r="M14" s="3"/>
      <c r="N14" s="30"/>
      <c r="O14" s="30"/>
      <c r="P14" s="30"/>
    </row>
    <row r="15" spans="1:16" x14ac:dyDescent="0.25">
      <c r="A15" s="15"/>
      <c r="B15" s="16" t="s">
        <v>13</v>
      </c>
      <c r="C15" s="3"/>
      <c r="D15" s="27">
        <v>1004516</v>
      </c>
      <c r="E15" s="28">
        <v>0</v>
      </c>
      <c r="F15" s="28">
        <f t="shared" si="2"/>
        <v>1004516</v>
      </c>
      <c r="G15" s="28">
        <v>0</v>
      </c>
      <c r="H15" s="77">
        <v>0</v>
      </c>
      <c r="I15" s="77">
        <v>0</v>
      </c>
      <c r="J15" s="28">
        <f t="shared" si="0"/>
        <v>0</v>
      </c>
      <c r="K15" s="28">
        <v>0</v>
      </c>
      <c r="L15" s="28">
        <f t="shared" si="1"/>
        <v>1004516</v>
      </c>
      <c r="M15" s="3"/>
      <c r="N15" s="30"/>
      <c r="O15" s="30"/>
      <c r="P15" s="30"/>
    </row>
    <row r="16" spans="1:16" x14ac:dyDescent="0.25">
      <c r="A16" s="15"/>
      <c r="B16" s="16" t="s">
        <v>14</v>
      </c>
      <c r="C16" s="3"/>
      <c r="D16" s="27">
        <v>8269271</v>
      </c>
      <c r="E16" s="28">
        <v>414247</v>
      </c>
      <c r="F16" s="28">
        <f t="shared" si="2"/>
        <v>8683518</v>
      </c>
      <c r="G16" s="28">
        <v>0</v>
      </c>
      <c r="H16" s="77">
        <v>9493432</v>
      </c>
      <c r="I16" s="77">
        <v>14000</v>
      </c>
      <c r="J16" s="28">
        <f t="shared" si="0"/>
        <v>9507432</v>
      </c>
      <c r="K16" s="28">
        <v>0</v>
      </c>
      <c r="L16" s="28">
        <f t="shared" si="1"/>
        <v>18190950</v>
      </c>
      <c r="M16" s="3"/>
      <c r="N16" s="30"/>
      <c r="O16" s="30"/>
      <c r="P16" s="30"/>
    </row>
    <row r="17" spans="1:16" x14ac:dyDescent="0.25">
      <c r="A17" s="15"/>
      <c r="B17" s="16" t="s">
        <v>15</v>
      </c>
      <c r="C17" s="3"/>
      <c r="D17" s="27">
        <v>19036868</v>
      </c>
      <c r="E17" s="28">
        <v>833709</v>
      </c>
      <c r="F17" s="28">
        <f t="shared" si="2"/>
        <v>19870577</v>
      </c>
      <c r="G17" s="28">
        <v>0</v>
      </c>
      <c r="H17" s="77">
        <v>8125002</v>
      </c>
      <c r="I17" s="77">
        <f>145115+169409</f>
        <v>314524</v>
      </c>
      <c r="J17" s="28">
        <f t="shared" si="0"/>
        <v>8439526</v>
      </c>
      <c r="K17" s="28">
        <v>0</v>
      </c>
      <c r="L17" s="28">
        <f t="shared" si="1"/>
        <v>28310103</v>
      </c>
      <c r="M17" s="3"/>
      <c r="N17" s="30"/>
      <c r="O17" s="30"/>
      <c r="P17" s="30"/>
    </row>
    <row r="18" spans="1:16" x14ac:dyDescent="0.25">
      <c r="A18" s="15"/>
      <c r="B18" s="16" t="s">
        <v>16</v>
      </c>
      <c r="C18" s="3"/>
      <c r="D18" s="27">
        <v>3261548</v>
      </c>
      <c r="E18" s="28">
        <v>150354</v>
      </c>
      <c r="F18" s="28">
        <f t="shared" si="2"/>
        <v>3411902</v>
      </c>
      <c r="G18" s="28">
        <v>0</v>
      </c>
      <c r="H18" s="77">
        <v>4200581</v>
      </c>
      <c r="I18" s="77">
        <f>19850+21200</f>
        <v>41050</v>
      </c>
      <c r="J18" s="28">
        <f t="shared" si="0"/>
        <v>4241631</v>
      </c>
      <c r="K18" s="28">
        <v>0</v>
      </c>
      <c r="L18" s="28">
        <f t="shared" si="1"/>
        <v>7653533</v>
      </c>
      <c r="M18" s="3"/>
      <c r="N18" s="30"/>
      <c r="O18" s="30"/>
      <c r="P18" s="30"/>
    </row>
    <row r="19" spans="1:16" x14ac:dyDescent="0.25">
      <c r="A19" s="15"/>
      <c r="B19" s="16" t="s">
        <v>17</v>
      </c>
      <c r="C19" s="3"/>
      <c r="D19" s="27">
        <v>4990854</v>
      </c>
      <c r="E19" s="28">
        <v>230545</v>
      </c>
      <c r="F19" s="28">
        <f t="shared" si="2"/>
        <v>5221399</v>
      </c>
      <c r="G19" s="28">
        <v>0</v>
      </c>
      <c r="H19" s="77">
        <v>4592135</v>
      </c>
      <c r="I19" s="77">
        <v>19000</v>
      </c>
      <c r="J19" s="28">
        <f t="shared" si="0"/>
        <v>4611135</v>
      </c>
      <c r="K19" s="28">
        <v>0</v>
      </c>
      <c r="L19" s="28">
        <f t="shared" si="1"/>
        <v>9832534</v>
      </c>
      <c r="M19" s="3"/>
      <c r="N19" s="30"/>
      <c r="O19" s="30"/>
      <c r="P19" s="30"/>
    </row>
    <row r="20" spans="1:16" x14ac:dyDescent="0.25">
      <c r="A20" s="15"/>
      <c r="B20" s="16" t="s">
        <v>18</v>
      </c>
      <c r="C20" s="3"/>
      <c r="D20" s="27">
        <v>3242151</v>
      </c>
      <c r="E20" s="28">
        <v>136837</v>
      </c>
      <c r="F20" s="28">
        <f t="shared" si="2"/>
        <v>3378988</v>
      </c>
      <c r="G20" s="28">
        <v>0</v>
      </c>
      <c r="H20" s="77">
        <v>4885686</v>
      </c>
      <c r="I20" s="77">
        <v>0</v>
      </c>
      <c r="J20" s="28">
        <f t="shared" si="0"/>
        <v>4885686</v>
      </c>
      <c r="K20" s="28">
        <v>0</v>
      </c>
      <c r="L20" s="28">
        <f t="shared" si="1"/>
        <v>8264674</v>
      </c>
      <c r="M20" s="3"/>
      <c r="N20" s="30"/>
      <c r="O20" s="30"/>
      <c r="P20" s="30"/>
    </row>
    <row r="21" spans="1:16" x14ac:dyDescent="0.25">
      <c r="A21" s="15"/>
      <c r="B21" s="16" t="s">
        <v>19</v>
      </c>
      <c r="C21" s="3"/>
      <c r="D21" s="27">
        <v>14137201</v>
      </c>
      <c r="E21" s="28">
        <v>671150</v>
      </c>
      <c r="F21" s="28">
        <f t="shared" si="2"/>
        <v>14808351</v>
      </c>
      <c r="G21" s="28">
        <v>0</v>
      </c>
      <c r="H21" s="77">
        <v>13555912</v>
      </c>
      <c r="I21" s="77">
        <v>109807</v>
      </c>
      <c r="J21" s="28">
        <f t="shared" si="0"/>
        <v>13665719</v>
      </c>
      <c r="K21" s="28">
        <v>0</v>
      </c>
      <c r="L21" s="28">
        <f t="shared" si="1"/>
        <v>28474070</v>
      </c>
      <c r="M21" s="3"/>
      <c r="N21" s="30"/>
      <c r="O21" s="30"/>
      <c r="P21" s="30"/>
    </row>
    <row r="22" spans="1:16" x14ac:dyDescent="0.25">
      <c r="A22" s="15"/>
      <c r="B22" s="16" t="s">
        <v>20</v>
      </c>
      <c r="C22" s="3"/>
      <c r="D22" s="27">
        <v>5625382</v>
      </c>
      <c r="E22" s="28">
        <v>640868</v>
      </c>
      <c r="F22" s="28">
        <f t="shared" si="2"/>
        <v>6266250</v>
      </c>
      <c r="G22" s="28">
        <v>0</v>
      </c>
      <c r="H22" s="77">
        <v>5785517</v>
      </c>
      <c r="I22" s="77">
        <f>35000+405000</f>
        <v>440000</v>
      </c>
      <c r="J22" s="28">
        <f t="shared" si="0"/>
        <v>6225517</v>
      </c>
      <c r="K22" s="28">
        <v>0</v>
      </c>
      <c r="L22" s="28">
        <f t="shared" si="1"/>
        <v>12491767</v>
      </c>
      <c r="M22" s="3"/>
      <c r="N22" s="30"/>
      <c r="O22" s="30"/>
      <c r="P22" s="30"/>
    </row>
    <row r="23" spans="1:16" x14ac:dyDescent="0.25">
      <c r="A23" s="17" t="s">
        <v>21</v>
      </c>
      <c r="B23" s="18"/>
      <c r="C23" s="6"/>
      <c r="D23" s="83">
        <f t="shared" ref="D23:K23" si="3">SUM(D9:D22)</f>
        <v>121099139</v>
      </c>
      <c r="E23" s="83">
        <f t="shared" si="3"/>
        <v>16023330</v>
      </c>
      <c r="F23" s="83">
        <f t="shared" si="3"/>
        <v>137122469</v>
      </c>
      <c r="G23" s="83">
        <f t="shared" si="3"/>
        <v>0</v>
      </c>
      <c r="H23" s="74">
        <f>SUM(H9:H22)</f>
        <v>152734918</v>
      </c>
      <c r="I23" s="74">
        <f>SUM(I9:I22)</f>
        <v>2243386</v>
      </c>
      <c r="J23" s="83">
        <f t="shared" si="3"/>
        <v>154978304</v>
      </c>
      <c r="K23" s="83">
        <f t="shared" si="3"/>
        <v>0</v>
      </c>
      <c r="L23" s="83">
        <f t="shared" si="1"/>
        <v>292100773</v>
      </c>
      <c r="M23" s="6"/>
      <c r="N23" s="30"/>
      <c r="O23" s="30"/>
      <c r="P23" s="30"/>
    </row>
    <row r="24" spans="1:16" x14ac:dyDescent="0.25">
      <c r="A24" s="14" t="s">
        <v>22</v>
      </c>
      <c r="B24" s="14" t="s">
        <v>23</v>
      </c>
      <c r="C24" s="3"/>
      <c r="D24" s="27">
        <v>8794375</v>
      </c>
      <c r="E24" s="28">
        <v>0</v>
      </c>
      <c r="F24" s="28">
        <f t="shared" ref="F24:F35" si="4">D24+E24</f>
        <v>8794375</v>
      </c>
      <c r="G24" s="28">
        <v>79263491</v>
      </c>
      <c r="H24" s="77">
        <v>0</v>
      </c>
      <c r="I24" s="77">
        <v>8750286</v>
      </c>
      <c r="J24" s="28">
        <f t="shared" ref="J24:J35" si="5">H24+I24</f>
        <v>8750286</v>
      </c>
      <c r="K24" s="28">
        <v>8058474</v>
      </c>
      <c r="L24" s="28">
        <f t="shared" si="1"/>
        <v>104866626</v>
      </c>
      <c r="M24" s="3"/>
      <c r="N24" s="29"/>
      <c r="O24" s="29"/>
      <c r="P24" s="30"/>
    </row>
    <row r="25" spans="1:16" x14ac:dyDescent="0.25">
      <c r="A25" s="15"/>
      <c r="B25" s="16" t="s">
        <v>24</v>
      </c>
      <c r="C25" s="3"/>
      <c r="D25" s="27">
        <v>9635049</v>
      </c>
      <c r="E25" s="28">
        <v>0</v>
      </c>
      <c r="F25" s="28">
        <f t="shared" si="4"/>
        <v>9635049</v>
      </c>
      <c r="G25" s="28">
        <v>35399042</v>
      </c>
      <c r="H25" s="77">
        <v>0</v>
      </c>
      <c r="I25" s="77">
        <v>4563703</v>
      </c>
      <c r="J25" s="28">
        <f t="shared" si="5"/>
        <v>4563703</v>
      </c>
      <c r="K25" s="28">
        <v>3782232</v>
      </c>
      <c r="L25" s="28">
        <f t="shared" si="1"/>
        <v>53380026</v>
      </c>
      <c r="M25" s="3"/>
      <c r="N25" s="29"/>
      <c r="O25" s="29"/>
      <c r="P25" s="30"/>
    </row>
    <row r="26" spans="1:16" x14ac:dyDescent="0.25">
      <c r="A26" s="15"/>
      <c r="B26" s="16" t="s">
        <v>25</v>
      </c>
      <c r="C26" s="3"/>
      <c r="D26" s="27">
        <v>66233086</v>
      </c>
      <c r="E26" s="28">
        <v>5260167</v>
      </c>
      <c r="F26" s="28">
        <f t="shared" si="4"/>
        <v>71493253</v>
      </c>
      <c r="G26" s="28">
        <v>0</v>
      </c>
      <c r="H26" s="77">
        <v>0</v>
      </c>
      <c r="I26" s="77">
        <v>6807967</v>
      </c>
      <c r="J26" s="28">
        <f t="shared" si="5"/>
        <v>6807967</v>
      </c>
      <c r="K26" s="28">
        <v>13018275</v>
      </c>
      <c r="L26" s="28">
        <f t="shared" si="1"/>
        <v>91319495</v>
      </c>
      <c r="M26" s="3"/>
      <c r="N26" s="30"/>
      <c r="O26" s="30"/>
      <c r="P26" s="30"/>
    </row>
    <row r="27" spans="1:16" x14ac:dyDescent="0.25">
      <c r="A27" s="15"/>
      <c r="B27" s="16" t="s">
        <v>26</v>
      </c>
      <c r="C27" s="3"/>
      <c r="D27" s="27">
        <v>6512969</v>
      </c>
      <c r="E27" s="28">
        <v>275446</v>
      </c>
      <c r="F27" s="28">
        <f t="shared" si="4"/>
        <v>6788415</v>
      </c>
      <c r="G27" s="28">
        <v>0</v>
      </c>
      <c r="H27" s="77">
        <v>9115459</v>
      </c>
      <c r="I27" s="77">
        <v>565042</v>
      </c>
      <c r="J27" s="28">
        <f t="shared" si="5"/>
        <v>9680501</v>
      </c>
      <c r="K27" s="28">
        <v>0</v>
      </c>
      <c r="L27" s="28">
        <f t="shared" si="1"/>
        <v>16468916</v>
      </c>
      <c r="M27" s="3"/>
      <c r="N27" s="30"/>
      <c r="O27" s="30"/>
      <c r="P27" s="30"/>
    </row>
    <row r="28" spans="1:16" x14ac:dyDescent="0.25">
      <c r="A28" s="15"/>
      <c r="B28" s="16" t="s">
        <v>27</v>
      </c>
      <c r="C28" s="3"/>
      <c r="D28" s="27">
        <v>132464883</v>
      </c>
      <c r="E28" s="28">
        <v>12546440</v>
      </c>
      <c r="F28" s="28">
        <f t="shared" si="4"/>
        <v>145011323</v>
      </c>
      <c r="G28" s="28">
        <v>6688242</v>
      </c>
      <c r="H28" s="77">
        <v>270652383</v>
      </c>
      <c r="I28" s="77">
        <f>9944182+13092669</f>
        <v>23036851</v>
      </c>
      <c r="J28" s="28">
        <f t="shared" si="5"/>
        <v>293689234</v>
      </c>
      <c r="K28" s="28">
        <v>0</v>
      </c>
      <c r="L28" s="28">
        <f t="shared" si="1"/>
        <v>445388799</v>
      </c>
      <c r="M28" s="3"/>
      <c r="N28" s="30"/>
      <c r="O28" s="30"/>
      <c r="P28" s="30"/>
    </row>
    <row r="29" spans="1:16" x14ac:dyDescent="0.25">
      <c r="A29" s="15"/>
      <c r="B29" s="16" t="s">
        <v>28</v>
      </c>
      <c r="C29" s="3"/>
      <c r="D29" s="27">
        <v>3587595</v>
      </c>
      <c r="E29" s="28">
        <v>0</v>
      </c>
      <c r="F29" s="28">
        <f t="shared" si="4"/>
        <v>3587595</v>
      </c>
      <c r="G29" s="28">
        <v>0</v>
      </c>
      <c r="H29" s="77">
        <v>0</v>
      </c>
      <c r="I29" s="77">
        <v>0</v>
      </c>
      <c r="J29" s="28">
        <f t="shared" si="5"/>
        <v>0</v>
      </c>
      <c r="K29" s="28">
        <v>0</v>
      </c>
      <c r="L29" s="28">
        <f t="shared" si="1"/>
        <v>3587595</v>
      </c>
      <c r="M29" s="3"/>
      <c r="N29" s="30"/>
      <c r="O29" s="30"/>
      <c r="P29" s="30"/>
    </row>
    <row r="30" spans="1:16" x14ac:dyDescent="0.25">
      <c r="A30" s="15"/>
      <c r="B30" s="16" t="s">
        <v>29</v>
      </c>
      <c r="C30" s="3"/>
      <c r="D30" s="27">
        <v>4925617</v>
      </c>
      <c r="E30" s="28">
        <v>256373</v>
      </c>
      <c r="F30" s="28">
        <f t="shared" si="4"/>
        <v>5181990</v>
      </c>
      <c r="G30" s="28">
        <v>0</v>
      </c>
      <c r="H30" s="77">
        <v>7448837</v>
      </c>
      <c r="I30" s="77">
        <v>81000</v>
      </c>
      <c r="J30" s="28">
        <f t="shared" si="5"/>
        <v>7529837</v>
      </c>
      <c r="K30" s="28">
        <v>0</v>
      </c>
      <c r="L30" s="28">
        <f t="shared" si="1"/>
        <v>12711827</v>
      </c>
      <c r="M30" s="3"/>
      <c r="N30" s="30"/>
      <c r="O30" s="30"/>
      <c r="P30" s="30"/>
    </row>
    <row r="31" spans="1:16" x14ac:dyDescent="0.25">
      <c r="A31" s="15"/>
      <c r="B31" s="16" t="s">
        <v>30</v>
      </c>
      <c r="C31" s="3"/>
      <c r="D31" s="27">
        <v>76475289</v>
      </c>
      <c r="E31" s="28">
        <v>20746106</v>
      </c>
      <c r="F31" s="28">
        <f t="shared" si="4"/>
        <v>97221395</v>
      </c>
      <c r="G31" s="28">
        <v>38169464</v>
      </c>
      <c r="H31" s="77">
        <v>33672249</v>
      </c>
      <c r="I31" s="77">
        <f>1183364+199791</f>
        <v>1383155</v>
      </c>
      <c r="J31" s="28">
        <f t="shared" si="5"/>
        <v>35055404</v>
      </c>
      <c r="K31" s="28">
        <v>0</v>
      </c>
      <c r="L31" s="28">
        <f t="shared" si="1"/>
        <v>170446263</v>
      </c>
      <c r="M31" s="3"/>
      <c r="N31" s="30"/>
      <c r="O31" s="30"/>
      <c r="P31" s="30"/>
    </row>
    <row r="32" spans="1:16" x14ac:dyDescent="0.25">
      <c r="A32" s="15"/>
      <c r="B32" s="16" t="s">
        <v>31</v>
      </c>
      <c r="C32" s="3"/>
      <c r="D32" s="27">
        <v>47784922</v>
      </c>
      <c r="E32" s="28">
        <v>14176493</v>
      </c>
      <c r="F32" s="28">
        <f t="shared" si="4"/>
        <v>61961415</v>
      </c>
      <c r="G32" s="28">
        <v>226310713</v>
      </c>
      <c r="H32" s="77">
        <v>11972191</v>
      </c>
      <c r="I32" s="77">
        <f>45487517+20400+18809456</f>
        <v>64317373</v>
      </c>
      <c r="J32" s="28">
        <f t="shared" si="5"/>
        <v>76289564</v>
      </c>
      <c r="K32" s="28">
        <v>58724160</v>
      </c>
      <c r="L32" s="28">
        <f t="shared" si="1"/>
        <v>423285852</v>
      </c>
      <c r="M32" s="3"/>
      <c r="N32" s="33"/>
      <c r="O32" s="29"/>
      <c r="P32" s="30"/>
    </row>
    <row r="33" spans="1:16" x14ac:dyDescent="0.25">
      <c r="A33" s="15"/>
      <c r="B33" s="16" t="s">
        <v>32</v>
      </c>
      <c r="C33" s="3"/>
      <c r="D33" s="27">
        <v>9597094</v>
      </c>
      <c r="E33" s="28">
        <v>648314</v>
      </c>
      <c r="F33" s="28">
        <f t="shared" si="4"/>
        <v>10245408</v>
      </c>
      <c r="G33" s="28">
        <v>0</v>
      </c>
      <c r="H33" s="77">
        <v>18492357</v>
      </c>
      <c r="I33" s="77">
        <f>15500+146900</f>
        <v>162400</v>
      </c>
      <c r="J33" s="28">
        <f t="shared" si="5"/>
        <v>18654757</v>
      </c>
      <c r="K33" s="28">
        <v>0</v>
      </c>
      <c r="L33" s="28">
        <f t="shared" si="1"/>
        <v>28900165</v>
      </c>
      <c r="M33" s="3"/>
      <c r="N33" s="30"/>
      <c r="O33" s="30"/>
      <c r="P33" s="30"/>
    </row>
    <row r="34" spans="1:16" x14ac:dyDescent="0.25">
      <c r="A34" s="15"/>
      <c r="B34" s="16" t="s">
        <v>33</v>
      </c>
      <c r="C34" s="3"/>
      <c r="D34" s="27">
        <v>5546234</v>
      </c>
      <c r="E34" s="28">
        <v>409501</v>
      </c>
      <c r="F34" s="28">
        <f t="shared" si="4"/>
        <v>5955735</v>
      </c>
      <c r="G34" s="28">
        <v>0</v>
      </c>
      <c r="H34" s="77">
        <v>17625197</v>
      </c>
      <c r="I34" s="77">
        <f>11778+115861</f>
        <v>127639</v>
      </c>
      <c r="J34" s="28">
        <f t="shared" si="5"/>
        <v>17752836</v>
      </c>
      <c r="K34" s="28">
        <v>0</v>
      </c>
      <c r="L34" s="28">
        <f t="shared" si="1"/>
        <v>23708571</v>
      </c>
      <c r="M34" s="3"/>
      <c r="N34" s="30"/>
      <c r="O34" s="30"/>
      <c r="P34" s="30"/>
    </row>
    <row r="35" spans="1:16" x14ac:dyDescent="0.25">
      <c r="A35" s="15"/>
      <c r="B35" s="16" t="s">
        <v>34</v>
      </c>
      <c r="C35" s="3"/>
      <c r="D35" s="27">
        <v>12684571</v>
      </c>
      <c r="E35" s="28">
        <v>96686</v>
      </c>
      <c r="F35" s="28">
        <f t="shared" si="4"/>
        <v>12781257</v>
      </c>
      <c r="G35" s="28">
        <v>0</v>
      </c>
      <c r="H35" s="77">
        <v>0</v>
      </c>
      <c r="I35" s="77">
        <v>825561</v>
      </c>
      <c r="J35" s="28">
        <f t="shared" si="5"/>
        <v>825561</v>
      </c>
      <c r="K35" s="28">
        <v>0</v>
      </c>
      <c r="L35" s="28">
        <f t="shared" si="1"/>
        <v>13606818</v>
      </c>
      <c r="M35" s="3"/>
      <c r="N35" s="30"/>
      <c r="O35" s="30"/>
      <c r="P35" s="30"/>
    </row>
    <row r="36" spans="1:16" x14ac:dyDescent="0.25">
      <c r="A36" s="17" t="s">
        <v>35</v>
      </c>
      <c r="B36" s="18"/>
      <c r="C36" s="6"/>
      <c r="D36" s="83">
        <f t="shared" ref="D36:K36" si="6">SUM(D24:D35)</f>
        <v>384241684</v>
      </c>
      <c r="E36" s="83">
        <f t="shared" si="6"/>
        <v>54415526</v>
      </c>
      <c r="F36" s="83">
        <f t="shared" si="6"/>
        <v>438657210</v>
      </c>
      <c r="G36" s="83">
        <f t="shared" si="6"/>
        <v>385830952</v>
      </c>
      <c r="H36" s="74">
        <f>SUM(H24:H35)</f>
        <v>368978673</v>
      </c>
      <c r="I36" s="74">
        <f>SUM(I24:I35)</f>
        <v>110620977</v>
      </c>
      <c r="J36" s="83">
        <f t="shared" si="6"/>
        <v>479599650</v>
      </c>
      <c r="K36" s="83">
        <f t="shared" si="6"/>
        <v>83583141</v>
      </c>
      <c r="L36" s="83">
        <f t="shared" si="1"/>
        <v>1387670953</v>
      </c>
      <c r="M36" s="6"/>
      <c r="N36" s="30"/>
      <c r="O36" s="30"/>
      <c r="P36" s="30"/>
    </row>
    <row r="37" spans="1:16" x14ac:dyDescent="0.25">
      <c r="A37" s="14" t="s">
        <v>36</v>
      </c>
      <c r="B37" s="14" t="s">
        <v>37</v>
      </c>
      <c r="C37" s="3"/>
      <c r="D37" s="27">
        <v>2576842</v>
      </c>
      <c r="E37" s="28">
        <v>1807081</v>
      </c>
      <c r="F37" s="28">
        <f t="shared" ref="F37:F42" si="7">D37+E37</f>
        <v>4383923</v>
      </c>
      <c r="G37" s="28">
        <v>0</v>
      </c>
      <c r="H37" s="77">
        <v>0</v>
      </c>
      <c r="I37" s="77">
        <v>0</v>
      </c>
      <c r="J37" s="28">
        <f t="shared" ref="J37:J42" si="8">H37+I37</f>
        <v>0</v>
      </c>
      <c r="K37" s="28">
        <v>3654209</v>
      </c>
      <c r="L37" s="28">
        <f t="shared" si="1"/>
        <v>8038132</v>
      </c>
      <c r="M37" s="3"/>
      <c r="N37" s="30"/>
      <c r="O37" s="30"/>
      <c r="P37" s="30"/>
    </row>
    <row r="38" spans="1:16" x14ac:dyDescent="0.25">
      <c r="A38" s="15"/>
      <c r="B38" s="16" t="s">
        <v>38</v>
      </c>
      <c r="C38" s="3"/>
      <c r="D38" s="27">
        <f>24525010+3650000</f>
        <v>28175010</v>
      </c>
      <c r="E38" s="28">
        <v>1904815</v>
      </c>
      <c r="F38" s="28">
        <f t="shared" si="7"/>
        <v>30079825</v>
      </c>
      <c r="G38" s="28">
        <v>1668005</v>
      </c>
      <c r="H38" s="77">
        <v>37451464</v>
      </c>
      <c r="I38" s="77">
        <v>6363273</v>
      </c>
      <c r="J38" s="28">
        <f t="shared" si="8"/>
        <v>43814737</v>
      </c>
      <c r="K38" s="28">
        <v>0</v>
      </c>
      <c r="L38" s="28">
        <f t="shared" ref="L38:L56" si="9">F38+G38+J38+K38</f>
        <v>75562567</v>
      </c>
      <c r="M38" s="3"/>
      <c r="N38" s="30"/>
      <c r="O38" s="30"/>
      <c r="P38" s="30"/>
    </row>
    <row r="39" spans="1:16" x14ac:dyDescent="0.25">
      <c r="A39" s="15"/>
      <c r="B39" s="16" t="s">
        <v>39</v>
      </c>
      <c r="C39" s="3"/>
      <c r="D39" s="27">
        <v>4069635</v>
      </c>
      <c r="E39" s="28">
        <v>207952</v>
      </c>
      <c r="F39" s="28">
        <f t="shared" si="7"/>
        <v>4277587</v>
      </c>
      <c r="G39" s="28">
        <v>0</v>
      </c>
      <c r="H39" s="77">
        <v>8492876</v>
      </c>
      <c r="I39" s="77">
        <v>44981</v>
      </c>
      <c r="J39" s="28">
        <f t="shared" si="8"/>
        <v>8537857</v>
      </c>
      <c r="K39" s="28">
        <v>0</v>
      </c>
      <c r="L39" s="28">
        <f t="shared" si="9"/>
        <v>12815444</v>
      </c>
      <c r="M39" s="3"/>
      <c r="N39" s="30"/>
      <c r="O39" s="30"/>
      <c r="P39" s="30"/>
    </row>
    <row r="40" spans="1:16" x14ac:dyDescent="0.25">
      <c r="A40" s="15"/>
      <c r="B40" s="16" t="s">
        <v>40</v>
      </c>
      <c r="C40" s="3"/>
      <c r="D40" s="27">
        <v>7579337</v>
      </c>
      <c r="E40" s="28">
        <v>594468</v>
      </c>
      <c r="F40" s="28">
        <f t="shared" si="7"/>
        <v>8173805</v>
      </c>
      <c r="G40" s="28">
        <v>0</v>
      </c>
      <c r="H40" s="77">
        <v>11097420</v>
      </c>
      <c r="I40" s="77">
        <v>0</v>
      </c>
      <c r="J40" s="28">
        <f t="shared" si="8"/>
        <v>11097420</v>
      </c>
      <c r="K40" s="28">
        <v>0</v>
      </c>
      <c r="L40" s="28">
        <f t="shared" si="9"/>
        <v>19271225</v>
      </c>
      <c r="M40" s="3"/>
      <c r="N40" s="30"/>
      <c r="O40" s="30"/>
      <c r="P40" s="30"/>
    </row>
    <row r="41" spans="1:16" x14ac:dyDescent="0.25">
      <c r="A41" s="15"/>
      <c r="B41" s="16" t="s">
        <v>41</v>
      </c>
      <c r="C41" s="3"/>
      <c r="D41" s="27">
        <f>5658617+250000</f>
        <v>5908617</v>
      </c>
      <c r="E41" s="28">
        <v>194866</v>
      </c>
      <c r="F41" s="28">
        <f t="shared" si="7"/>
        <v>6103483</v>
      </c>
      <c r="G41" s="28">
        <v>0</v>
      </c>
      <c r="H41" s="77">
        <v>6131429</v>
      </c>
      <c r="I41" s="77">
        <v>197070</v>
      </c>
      <c r="J41" s="28">
        <f t="shared" si="8"/>
        <v>6328499</v>
      </c>
      <c r="K41" s="28">
        <v>0</v>
      </c>
      <c r="L41" s="28">
        <f t="shared" si="9"/>
        <v>12431982</v>
      </c>
      <c r="M41" s="3"/>
      <c r="N41" s="30"/>
      <c r="O41" s="30"/>
      <c r="P41" s="30"/>
    </row>
    <row r="42" spans="1:16" x14ac:dyDescent="0.25">
      <c r="A42" s="15"/>
      <c r="B42" s="16" t="s">
        <v>42</v>
      </c>
      <c r="C42" s="3"/>
      <c r="D42" s="27">
        <v>2485683</v>
      </c>
      <c r="E42" s="28">
        <v>0</v>
      </c>
      <c r="F42" s="28">
        <f t="shared" si="7"/>
        <v>2485683</v>
      </c>
      <c r="G42" s="28">
        <v>0</v>
      </c>
      <c r="H42" s="77">
        <v>0</v>
      </c>
      <c r="I42" s="77">
        <v>0</v>
      </c>
      <c r="J42" s="28">
        <f t="shared" si="8"/>
        <v>0</v>
      </c>
      <c r="K42" s="28">
        <v>0</v>
      </c>
      <c r="L42" s="28">
        <f t="shared" si="9"/>
        <v>2485683</v>
      </c>
      <c r="M42" s="3"/>
      <c r="N42" s="30"/>
      <c r="O42" s="30"/>
      <c r="P42" s="30"/>
    </row>
    <row r="43" spans="1:16" x14ac:dyDescent="0.25">
      <c r="A43" s="17" t="s">
        <v>43</v>
      </c>
      <c r="B43" s="18"/>
      <c r="C43" s="6"/>
      <c r="D43" s="42">
        <f t="shared" ref="D43:K43" si="10">SUM(D37:D42)</f>
        <v>50795124</v>
      </c>
      <c r="E43" s="42">
        <f t="shared" si="10"/>
        <v>4709182</v>
      </c>
      <c r="F43" s="42">
        <f t="shared" si="10"/>
        <v>55504306</v>
      </c>
      <c r="G43" s="42">
        <f t="shared" si="10"/>
        <v>1668005</v>
      </c>
      <c r="H43" s="78">
        <f>SUM(H37:H42)</f>
        <v>63173189</v>
      </c>
      <c r="I43" s="78">
        <f>SUM(I37:I42)</f>
        <v>6605324</v>
      </c>
      <c r="J43" s="42">
        <f t="shared" si="10"/>
        <v>69778513</v>
      </c>
      <c r="K43" s="42">
        <f t="shared" si="10"/>
        <v>3654209</v>
      </c>
      <c r="L43" s="83">
        <f t="shared" si="9"/>
        <v>130605033</v>
      </c>
      <c r="M43" s="6"/>
      <c r="N43" s="30"/>
      <c r="O43" s="30"/>
      <c r="P43" s="30"/>
    </row>
    <row r="44" spans="1:16" x14ac:dyDescent="0.25">
      <c r="A44" s="14" t="s">
        <v>44</v>
      </c>
      <c r="B44" s="14" t="s">
        <v>45</v>
      </c>
      <c r="C44" s="3"/>
      <c r="D44" s="27">
        <v>15443100</v>
      </c>
      <c r="E44" s="28">
        <v>1071736</v>
      </c>
      <c r="F44" s="28">
        <f t="shared" ref="F44:F53" si="11">D44+E44</f>
        <v>16514836</v>
      </c>
      <c r="G44" s="28">
        <v>0</v>
      </c>
      <c r="H44" s="77">
        <v>35027884</v>
      </c>
      <c r="I44" s="77">
        <v>854564</v>
      </c>
      <c r="J44" s="28">
        <f t="shared" ref="J44:J53" si="12">H44+I44</f>
        <v>35882448</v>
      </c>
      <c r="K44" s="28">
        <v>0</v>
      </c>
      <c r="L44" s="28">
        <f t="shared" si="9"/>
        <v>52397284</v>
      </c>
      <c r="M44" s="3"/>
      <c r="N44" s="30"/>
      <c r="O44" s="30"/>
      <c r="P44" s="30"/>
    </row>
    <row r="45" spans="1:16" x14ac:dyDescent="0.25">
      <c r="A45" s="15"/>
      <c r="B45" s="16" t="s">
        <v>46</v>
      </c>
      <c r="C45" s="3"/>
      <c r="D45" s="27">
        <v>36300322</v>
      </c>
      <c r="E45" s="28">
        <v>2028485</v>
      </c>
      <c r="F45" s="28">
        <f t="shared" si="11"/>
        <v>38328807</v>
      </c>
      <c r="G45" s="28">
        <v>0</v>
      </c>
      <c r="H45" s="77">
        <v>54733000</v>
      </c>
      <c r="I45" s="77">
        <f>77000+3505999</f>
        <v>3582999</v>
      </c>
      <c r="J45" s="28">
        <f t="shared" si="12"/>
        <v>58315999</v>
      </c>
      <c r="K45" s="28">
        <v>0</v>
      </c>
      <c r="L45" s="28">
        <f t="shared" si="9"/>
        <v>96644806</v>
      </c>
      <c r="M45" s="3"/>
      <c r="N45" s="30"/>
      <c r="O45" s="30"/>
      <c r="P45" s="30"/>
    </row>
    <row r="46" spans="1:16" x14ac:dyDescent="0.25">
      <c r="A46" s="15"/>
      <c r="B46" s="16" t="s">
        <v>47</v>
      </c>
      <c r="C46" s="3"/>
      <c r="D46" s="27">
        <v>21998802</v>
      </c>
      <c r="E46" s="28">
        <v>1711322</v>
      </c>
      <c r="F46" s="28">
        <f t="shared" si="11"/>
        <v>23710124</v>
      </c>
      <c r="G46" s="28">
        <v>0</v>
      </c>
      <c r="H46" s="77">
        <v>35670828</v>
      </c>
      <c r="I46" s="77">
        <f>17748+465295</f>
        <v>483043</v>
      </c>
      <c r="J46" s="28">
        <f t="shared" si="12"/>
        <v>36153871</v>
      </c>
      <c r="K46" s="28">
        <v>0</v>
      </c>
      <c r="L46" s="28">
        <f t="shared" si="9"/>
        <v>59863995</v>
      </c>
      <c r="M46" s="3"/>
      <c r="N46" s="30"/>
      <c r="O46" s="30"/>
      <c r="P46" s="30"/>
    </row>
    <row r="47" spans="1:16" x14ac:dyDescent="0.25">
      <c r="A47" s="15"/>
      <c r="B47" s="16" t="s">
        <v>48</v>
      </c>
      <c r="C47" s="3"/>
      <c r="D47" s="27">
        <v>17652808</v>
      </c>
      <c r="E47" s="28">
        <v>1148563</v>
      </c>
      <c r="F47" s="28">
        <f t="shared" si="11"/>
        <v>18801371</v>
      </c>
      <c r="G47" s="28">
        <v>0</v>
      </c>
      <c r="H47" s="77">
        <v>30237559</v>
      </c>
      <c r="I47" s="77">
        <f>53465+208200+3699269</f>
        <v>3960934</v>
      </c>
      <c r="J47" s="28">
        <f t="shared" si="12"/>
        <v>34198493</v>
      </c>
      <c r="K47" s="28">
        <v>0</v>
      </c>
      <c r="L47" s="28">
        <f t="shared" si="9"/>
        <v>52999864</v>
      </c>
      <c r="M47" s="3"/>
      <c r="N47" s="30"/>
      <c r="O47" s="30"/>
      <c r="P47" s="30"/>
    </row>
    <row r="48" spans="1:16" x14ac:dyDescent="0.25">
      <c r="A48" s="15"/>
      <c r="B48" s="16" t="s">
        <v>49</v>
      </c>
      <c r="C48" s="3"/>
      <c r="D48" s="27">
        <v>25431316</v>
      </c>
      <c r="E48" s="28">
        <v>1339914</v>
      </c>
      <c r="F48" s="28">
        <f t="shared" si="11"/>
        <v>26771230</v>
      </c>
      <c r="G48" s="28">
        <v>74923</v>
      </c>
      <c r="H48" s="77">
        <v>42812195</v>
      </c>
      <c r="I48" s="77">
        <f>41933+613597</f>
        <v>655530</v>
      </c>
      <c r="J48" s="28">
        <f t="shared" si="12"/>
        <v>43467725</v>
      </c>
      <c r="K48" s="28">
        <v>0</v>
      </c>
      <c r="L48" s="28">
        <f t="shared" si="9"/>
        <v>70313878</v>
      </c>
      <c r="M48" s="3"/>
      <c r="N48" s="30"/>
      <c r="O48" s="30"/>
      <c r="P48" s="30"/>
    </row>
    <row r="49" spans="1:16" x14ac:dyDescent="0.25">
      <c r="A49" s="15"/>
      <c r="B49" s="16" t="s">
        <v>50</v>
      </c>
      <c r="C49" s="3"/>
      <c r="D49" s="27">
        <v>38162464</v>
      </c>
      <c r="E49" s="28">
        <v>2123264</v>
      </c>
      <c r="F49" s="28">
        <f t="shared" si="11"/>
        <v>40285728</v>
      </c>
      <c r="G49" s="28">
        <v>0</v>
      </c>
      <c r="H49" s="77">
        <v>64947412</v>
      </c>
      <c r="I49" s="77">
        <f>496934+3998087</f>
        <v>4495021</v>
      </c>
      <c r="J49" s="28">
        <f t="shared" si="12"/>
        <v>69442433</v>
      </c>
      <c r="K49" s="28">
        <v>0</v>
      </c>
      <c r="L49" s="28">
        <f t="shared" si="9"/>
        <v>109728161</v>
      </c>
      <c r="M49" s="3"/>
      <c r="N49" s="30"/>
      <c r="O49" s="30"/>
      <c r="P49" s="30"/>
    </row>
    <row r="50" spans="1:16" x14ac:dyDescent="0.25">
      <c r="A50" s="15"/>
      <c r="B50" s="16" t="s">
        <v>51</v>
      </c>
      <c r="C50" s="3"/>
      <c r="D50" s="27">
        <v>1061493</v>
      </c>
      <c r="E50" s="28">
        <v>0</v>
      </c>
      <c r="F50" s="28">
        <f t="shared" si="11"/>
        <v>1061493</v>
      </c>
      <c r="G50" s="28">
        <v>0</v>
      </c>
      <c r="H50" s="77">
        <v>0</v>
      </c>
      <c r="I50" s="77">
        <v>2214000</v>
      </c>
      <c r="J50" s="28">
        <f t="shared" si="12"/>
        <v>2214000</v>
      </c>
      <c r="K50" s="28">
        <v>0</v>
      </c>
      <c r="L50" s="28">
        <f t="shared" si="9"/>
        <v>3275493</v>
      </c>
      <c r="M50" s="3"/>
      <c r="N50" s="30"/>
      <c r="O50" s="30"/>
      <c r="P50" s="30"/>
    </row>
    <row r="51" spans="1:16" x14ac:dyDescent="0.25">
      <c r="A51" s="15"/>
      <c r="B51" s="16" t="s">
        <v>52</v>
      </c>
      <c r="C51" s="3"/>
      <c r="D51" s="27">
        <v>55397431</v>
      </c>
      <c r="E51" s="28">
        <v>2735071</v>
      </c>
      <c r="F51" s="28">
        <f t="shared" si="11"/>
        <v>58132502</v>
      </c>
      <c r="G51" s="28">
        <v>0</v>
      </c>
      <c r="H51" s="77">
        <v>69729300</v>
      </c>
      <c r="I51" s="77">
        <v>4783130</v>
      </c>
      <c r="J51" s="28">
        <f t="shared" si="12"/>
        <v>74512430</v>
      </c>
      <c r="K51" s="28">
        <v>0</v>
      </c>
      <c r="L51" s="28">
        <f t="shared" si="9"/>
        <v>132644932</v>
      </c>
      <c r="M51" s="3"/>
      <c r="N51" s="30"/>
      <c r="O51" s="30"/>
      <c r="P51" s="30"/>
    </row>
    <row r="52" spans="1:16" x14ac:dyDescent="0.25">
      <c r="A52" s="15"/>
      <c r="B52" s="16" t="s">
        <v>53</v>
      </c>
      <c r="C52" s="3"/>
      <c r="D52" s="27">
        <v>29808507</v>
      </c>
      <c r="E52" s="28">
        <v>1935748</v>
      </c>
      <c r="F52" s="28">
        <f t="shared" si="11"/>
        <v>31744255</v>
      </c>
      <c r="G52" s="28">
        <v>0</v>
      </c>
      <c r="H52" s="77">
        <v>40249575</v>
      </c>
      <c r="I52" s="77">
        <f>49100+1050000+455566</f>
        <v>1554666</v>
      </c>
      <c r="J52" s="28">
        <f t="shared" si="12"/>
        <v>41804241</v>
      </c>
      <c r="K52" s="28">
        <v>0</v>
      </c>
      <c r="L52" s="28">
        <f t="shared" si="9"/>
        <v>73548496</v>
      </c>
      <c r="M52" s="3"/>
      <c r="N52" s="30"/>
      <c r="O52" s="30"/>
      <c r="P52" s="30"/>
    </row>
    <row r="53" spans="1:16" x14ac:dyDescent="0.25">
      <c r="A53" s="15"/>
      <c r="B53" s="16" t="s">
        <v>54</v>
      </c>
      <c r="C53" s="3"/>
      <c r="D53" s="27">
        <v>36756393</v>
      </c>
      <c r="E53" s="28">
        <v>2624840</v>
      </c>
      <c r="F53" s="28">
        <f t="shared" si="11"/>
        <v>39381233</v>
      </c>
      <c r="G53" s="28">
        <v>0</v>
      </c>
      <c r="H53" s="77">
        <v>65170399</v>
      </c>
      <c r="I53" s="77">
        <f>995376+5073558</f>
        <v>6068934</v>
      </c>
      <c r="J53" s="28">
        <f t="shared" si="12"/>
        <v>71239333</v>
      </c>
      <c r="K53" s="28">
        <v>0</v>
      </c>
      <c r="L53" s="28">
        <f t="shared" si="9"/>
        <v>110620566</v>
      </c>
      <c r="M53" s="3"/>
      <c r="N53" s="30"/>
      <c r="O53" s="30"/>
      <c r="P53" s="30"/>
    </row>
    <row r="54" spans="1:16" x14ac:dyDescent="0.25">
      <c r="A54" s="12" t="s">
        <v>55</v>
      </c>
      <c r="B54" s="13"/>
      <c r="C54" s="6"/>
      <c r="D54" s="83">
        <f t="shared" ref="D54:K54" si="13">SUM(D44:D53)</f>
        <v>278012636</v>
      </c>
      <c r="E54" s="83">
        <f t="shared" si="13"/>
        <v>16718943</v>
      </c>
      <c r="F54" s="83">
        <f t="shared" si="13"/>
        <v>294731579</v>
      </c>
      <c r="G54" s="83">
        <f t="shared" si="13"/>
        <v>74923</v>
      </c>
      <c r="H54" s="74">
        <f>SUM(H44:H53)</f>
        <v>438578152</v>
      </c>
      <c r="I54" s="74">
        <f>SUM(I44:I53)</f>
        <v>28652821</v>
      </c>
      <c r="J54" s="83">
        <f t="shared" si="13"/>
        <v>467230973</v>
      </c>
      <c r="K54" s="83">
        <f t="shared" si="13"/>
        <v>0</v>
      </c>
      <c r="L54" s="83">
        <f t="shared" si="9"/>
        <v>762037475</v>
      </c>
      <c r="M54" s="6"/>
      <c r="N54" s="30"/>
      <c r="O54" s="30"/>
      <c r="P54" s="30"/>
    </row>
    <row r="55" spans="1:16" x14ac:dyDescent="0.25">
      <c r="A55" s="19" t="s">
        <v>56</v>
      </c>
      <c r="B55" s="20"/>
      <c r="C55" s="6"/>
      <c r="D55" s="83">
        <f t="shared" ref="D55:K55" si="14">D54+D43+D36+D23+D8+D7+D6</f>
        <v>983310509</v>
      </c>
      <c r="E55" s="83">
        <f t="shared" si="14"/>
        <v>192349749</v>
      </c>
      <c r="F55" s="83">
        <f t="shared" si="14"/>
        <v>1175660258</v>
      </c>
      <c r="G55" s="83">
        <f t="shared" si="14"/>
        <v>392232944</v>
      </c>
      <c r="H55" s="74">
        <f>H54+H43+H36+H23+H8+H7+H6</f>
        <v>1023464932</v>
      </c>
      <c r="I55" s="74">
        <f>I54+I43+I36+I23+I8+I7+I6</f>
        <v>156954416</v>
      </c>
      <c r="J55" s="83">
        <f t="shared" si="14"/>
        <v>1180419348</v>
      </c>
      <c r="K55" s="83">
        <f t="shared" si="14"/>
        <v>152909153</v>
      </c>
      <c r="L55" s="83">
        <f t="shared" si="9"/>
        <v>2901221703</v>
      </c>
      <c r="M55" s="6"/>
      <c r="N55" s="29"/>
      <c r="O55" s="29"/>
      <c r="P55" s="30"/>
    </row>
    <row r="56" spans="1:16" s="32" customFormat="1" x14ac:dyDescent="0.25">
      <c r="A56" s="35" t="s">
        <v>63</v>
      </c>
      <c r="B56" s="35"/>
      <c r="C56" s="37"/>
      <c r="D56" s="41">
        <f>D55-D7-D24-D25-9504246</f>
        <v>823239283</v>
      </c>
      <c r="E56" s="41">
        <f>E55-E7-E24-E25-0</f>
        <v>122236779</v>
      </c>
      <c r="F56" s="41">
        <f>D56+E56</f>
        <v>945476062</v>
      </c>
      <c r="G56" s="41">
        <f>G55-G7-G24-G25-200307420</f>
        <v>77019035</v>
      </c>
      <c r="H56" s="80">
        <f>H55-H7-H24-H25-0</f>
        <v>1023464932</v>
      </c>
      <c r="I56" s="80">
        <f>I55-I7-I24-I25-63167357</f>
        <v>80352206</v>
      </c>
      <c r="J56" s="41">
        <f>H56+I56</f>
        <v>1103817138</v>
      </c>
      <c r="K56" s="41">
        <f>K55-K7-K24-K25-58724160</f>
        <v>36271024</v>
      </c>
      <c r="L56" s="83">
        <f t="shared" si="9"/>
        <v>2162583259</v>
      </c>
      <c r="M56" s="37"/>
      <c r="N56" s="34"/>
      <c r="O56" s="34"/>
      <c r="P56" s="34"/>
    </row>
    <row r="57" spans="1:16" x14ac:dyDescent="0.25">
      <c r="A57" s="7"/>
      <c r="B57" s="7"/>
      <c r="C57" s="7"/>
      <c r="M57" s="7"/>
    </row>
    <row r="58" spans="1:16" x14ac:dyDescent="0.25">
      <c r="A58" s="8"/>
    </row>
    <row r="65" spans="2:12" x14ac:dyDescent="0.25">
      <c r="F65" s="25">
        <f>F54-F50+F41+F40+F38+F33+F30+F28+F27+F23-F15-F14</f>
        <v>625231542</v>
      </c>
      <c r="H65" s="25">
        <f t="shared" ref="H65:J65" si="15">H54-H50+H41+H40+H38+H33+H30+H28+H27+H23-H15-H14</f>
        <v>951702419</v>
      </c>
      <c r="I65" s="25">
        <f t="shared" si="15"/>
        <v>59087843</v>
      </c>
      <c r="J65" s="25">
        <f t="shared" si="15"/>
        <v>1010790262</v>
      </c>
    </row>
    <row r="67" spans="2:12" x14ac:dyDescent="0.25">
      <c r="D67" s="25">
        <f>D54-D50+D40+D38+D33+D28+D27</f>
        <v>461280436</v>
      </c>
      <c r="E67" s="25">
        <f t="shared" ref="E67:L67" si="16">E54-E50+E40+E38+E33+E28+E27+E34</f>
        <v>33097927</v>
      </c>
      <c r="F67" s="25">
        <f t="shared" si="16"/>
        <v>499924597</v>
      </c>
      <c r="G67" s="25">
        <f t="shared" si="16"/>
        <v>8431170</v>
      </c>
      <c r="H67" s="25">
        <f t="shared" si="16"/>
        <v>803012432</v>
      </c>
      <c r="I67" s="25">
        <f t="shared" si="16"/>
        <v>56694026</v>
      </c>
      <c r="J67" s="25">
        <f t="shared" si="16"/>
        <v>859706458</v>
      </c>
      <c r="K67" s="25">
        <f t="shared" si="16"/>
        <v>0</v>
      </c>
      <c r="L67" s="25">
        <f t="shared" si="16"/>
        <v>1368062225</v>
      </c>
    </row>
    <row r="68" spans="2:12" x14ac:dyDescent="0.25">
      <c r="D68" s="25">
        <f>D41+D30+D23-D15-D14</f>
        <v>124788111</v>
      </c>
      <c r="E68" s="25">
        <f t="shared" ref="E68:L68" si="17">E41+E30+E23-E15-E14</f>
        <v>6474569</v>
      </c>
      <c r="F68" s="25">
        <f t="shared" si="17"/>
        <v>131262680</v>
      </c>
      <c r="G68" s="25">
        <f t="shared" si="17"/>
        <v>0</v>
      </c>
      <c r="H68" s="25">
        <f t="shared" si="17"/>
        <v>166315184</v>
      </c>
      <c r="I68" s="25">
        <f t="shared" si="17"/>
        <v>2521456</v>
      </c>
      <c r="J68" s="25">
        <f t="shared" si="17"/>
        <v>168836640</v>
      </c>
      <c r="K68" s="25">
        <f t="shared" si="17"/>
        <v>0</v>
      </c>
      <c r="L68" s="25">
        <f t="shared" si="17"/>
        <v>300099320</v>
      </c>
    </row>
    <row r="69" spans="2:12" x14ac:dyDescent="0.25">
      <c r="D69" s="25">
        <f>D68+D67</f>
        <v>586068547</v>
      </c>
      <c r="E69" s="25">
        <f t="shared" ref="E69:L69" si="18">E68+E67</f>
        <v>39572496</v>
      </c>
      <c r="F69" s="25">
        <f t="shared" si="18"/>
        <v>631187277</v>
      </c>
      <c r="G69" s="25">
        <f t="shared" si="18"/>
        <v>8431170</v>
      </c>
      <c r="H69" s="25">
        <f t="shared" si="18"/>
        <v>969327616</v>
      </c>
      <c r="I69" s="25">
        <f t="shared" si="18"/>
        <v>59215482</v>
      </c>
      <c r="J69" s="25">
        <f t="shared" si="18"/>
        <v>1028543098</v>
      </c>
      <c r="K69" s="25">
        <f t="shared" si="18"/>
        <v>0</v>
      </c>
      <c r="L69" s="25">
        <f t="shared" si="18"/>
        <v>1668161545</v>
      </c>
    </row>
    <row r="72" spans="2:12" x14ac:dyDescent="0.25">
      <c r="B72" t="s">
        <v>110</v>
      </c>
      <c r="D72" s="25">
        <f>D73+D74-D37-D35-D26</f>
        <v>719944627</v>
      </c>
      <c r="E72" s="25">
        <f t="shared" ref="E72:L72" si="19">E73+E74-E37-E35-E26</f>
        <v>75112548</v>
      </c>
      <c r="F72" s="25">
        <f t="shared" si="19"/>
        <v>800603409</v>
      </c>
      <c r="G72" s="25">
        <f t="shared" si="19"/>
        <v>272911347</v>
      </c>
      <c r="H72" s="25">
        <f t="shared" si="19"/>
        <v>1041090129</v>
      </c>
      <c r="I72" s="25">
        <f t="shared" si="19"/>
        <v>125088630</v>
      </c>
      <c r="J72" s="25">
        <f t="shared" si="19"/>
        <v>1166178759</v>
      </c>
      <c r="K72" s="25">
        <f t="shared" si="19"/>
        <v>58724160</v>
      </c>
      <c r="L72" s="25">
        <f t="shared" si="19"/>
        <v>2298417675</v>
      </c>
    </row>
    <row r="73" spans="2:12" x14ac:dyDescent="0.25">
      <c r="B73" t="s">
        <v>104</v>
      </c>
      <c r="D73" s="25">
        <f>D69</f>
        <v>586068547</v>
      </c>
      <c r="E73" s="25">
        <f t="shared" ref="E73:L73" si="20">E69</f>
        <v>39572496</v>
      </c>
      <c r="F73" s="25">
        <f t="shared" si="20"/>
        <v>631187277</v>
      </c>
      <c r="G73" s="25">
        <f t="shared" si="20"/>
        <v>8431170</v>
      </c>
      <c r="H73" s="25">
        <f t="shared" si="20"/>
        <v>969327616</v>
      </c>
      <c r="I73" s="25">
        <f t="shared" si="20"/>
        <v>59215482</v>
      </c>
      <c r="J73" s="25">
        <f t="shared" si="20"/>
        <v>1028543098</v>
      </c>
      <c r="K73" s="25">
        <f t="shared" si="20"/>
        <v>0</v>
      </c>
      <c r="L73" s="25">
        <f t="shared" si="20"/>
        <v>1668161545</v>
      </c>
    </row>
    <row r="74" spans="2:12" x14ac:dyDescent="0.25">
      <c r="B74" t="s">
        <v>105</v>
      </c>
      <c r="D74" s="25">
        <f>D39+D37+D35+D34+D32+D31+D26</f>
        <v>215370579</v>
      </c>
      <c r="E74" s="25">
        <f t="shared" ref="E74:L74" si="21">E39+E37+E35+E34+E32+E31+E26</f>
        <v>42703986</v>
      </c>
      <c r="F74" s="25">
        <f t="shared" si="21"/>
        <v>258074565</v>
      </c>
      <c r="G74" s="25">
        <f t="shared" si="21"/>
        <v>264480177</v>
      </c>
      <c r="H74" s="25">
        <f t="shared" si="21"/>
        <v>71762513</v>
      </c>
      <c r="I74" s="25">
        <f t="shared" si="21"/>
        <v>73506676</v>
      </c>
      <c r="J74" s="25">
        <f t="shared" si="21"/>
        <v>145269189</v>
      </c>
      <c r="K74" s="25">
        <f t="shared" si="21"/>
        <v>75396644</v>
      </c>
      <c r="L74" s="25">
        <f t="shared" si="21"/>
        <v>743220575</v>
      </c>
    </row>
    <row r="75" spans="2:12" x14ac:dyDescent="0.25">
      <c r="B75" t="s">
        <v>106</v>
      </c>
      <c r="D75" s="25">
        <f>D7</f>
        <v>132137556</v>
      </c>
      <c r="E75" s="25">
        <f t="shared" ref="E75:L75" si="22">E7</f>
        <v>70112970</v>
      </c>
      <c r="F75" s="25">
        <f t="shared" si="22"/>
        <v>202250526</v>
      </c>
      <c r="G75" s="25">
        <f t="shared" si="22"/>
        <v>243956</v>
      </c>
      <c r="H75" s="25">
        <f t="shared" si="22"/>
        <v>0</v>
      </c>
      <c r="I75" s="25">
        <f t="shared" si="22"/>
        <v>120864</v>
      </c>
      <c r="J75" s="25">
        <f t="shared" si="22"/>
        <v>120864</v>
      </c>
      <c r="K75" s="25">
        <f t="shared" si="22"/>
        <v>46073263</v>
      </c>
      <c r="L75" s="25">
        <f t="shared" si="22"/>
        <v>248688609</v>
      </c>
    </row>
    <row r="76" spans="2:12" x14ac:dyDescent="0.25">
      <c r="B76" t="s">
        <v>107</v>
      </c>
      <c r="D76" s="25">
        <f>D50+D42+D29+D15+D14+D8+D6</f>
        <v>31304403</v>
      </c>
      <c r="E76" s="25">
        <f t="shared" ref="E76:L76" si="23">E50+E42+E29+E15+E14+E8+E6</f>
        <v>40369798</v>
      </c>
      <c r="F76" s="25">
        <f t="shared" si="23"/>
        <v>71674201</v>
      </c>
      <c r="G76" s="25">
        <f t="shared" si="23"/>
        <v>4415108</v>
      </c>
      <c r="H76" s="25">
        <f t="shared" si="23"/>
        <v>0</v>
      </c>
      <c r="I76" s="25">
        <f t="shared" si="23"/>
        <v>10925044</v>
      </c>
      <c r="J76" s="25">
        <f t="shared" si="23"/>
        <v>10925044</v>
      </c>
      <c r="K76" s="25">
        <f t="shared" si="23"/>
        <v>19598540</v>
      </c>
      <c r="L76" s="25">
        <f t="shared" si="23"/>
        <v>106612893</v>
      </c>
    </row>
    <row r="77" spans="2:12" x14ac:dyDescent="0.25">
      <c r="D77" s="25">
        <f>SUM(D73:D76)</f>
        <v>964881085</v>
      </c>
      <c r="E77" s="25">
        <f t="shared" ref="E77:L77" si="24">SUM(E73:E76)</f>
        <v>192759250</v>
      </c>
      <c r="F77" s="25">
        <f t="shared" si="24"/>
        <v>1163186569</v>
      </c>
      <c r="G77" s="25">
        <f t="shared" si="24"/>
        <v>277570411</v>
      </c>
      <c r="H77" s="25">
        <f t="shared" si="24"/>
        <v>1041090129</v>
      </c>
      <c r="I77" s="25">
        <f t="shared" si="24"/>
        <v>143768066</v>
      </c>
      <c r="J77" s="25">
        <f t="shared" si="24"/>
        <v>1184858195</v>
      </c>
      <c r="K77" s="25">
        <f t="shared" si="24"/>
        <v>141068447</v>
      </c>
      <c r="L77" s="25">
        <f t="shared" si="24"/>
        <v>2766683622</v>
      </c>
    </row>
  </sheetData>
  <pageMargins left="0.25" right="0.25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7"/>
  <sheetViews>
    <sheetView workbookViewId="0">
      <pane ySplit="5" topLeftCell="A36" activePane="bottomLeft" state="frozen"/>
      <selection pane="bottomLeft" activeCell="G55" sqref="G55"/>
    </sheetView>
  </sheetViews>
  <sheetFormatPr defaultRowHeight="15" x14ac:dyDescent="0.25"/>
  <cols>
    <col min="2" max="2" width="22.85546875" customWidth="1"/>
    <col min="3" max="3" width="1.42578125" customWidth="1"/>
    <col min="4" max="12" width="16.28515625" style="25" customWidth="1"/>
    <col min="13" max="13" width="1.42578125" customWidth="1"/>
    <col min="14" max="14" width="12.5703125" bestFit="1" customWidth="1"/>
    <col min="15" max="15" width="15.28515625" bestFit="1" customWidth="1"/>
  </cols>
  <sheetData>
    <row r="1" spans="1:16" s="99" customFormat="1" ht="18.75" x14ac:dyDescent="0.3">
      <c r="A1" s="99" t="s">
        <v>94</v>
      </c>
      <c r="D1" s="100"/>
      <c r="E1" s="100"/>
      <c r="F1" s="100"/>
      <c r="G1" s="100"/>
      <c r="H1" s="100"/>
      <c r="I1" s="100"/>
      <c r="J1" s="100"/>
      <c r="K1" s="100"/>
      <c r="L1" s="100"/>
    </row>
    <row r="2" spans="1:16" s="99" customFormat="1" ht="18.75" x14ac:dyDescent="0.3">
      <c r="A2" s="101" t="s">
        <v>78</v>
      </c>
      <c r="B2" s="101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6" s="99" customFormat="1" ht="18.75" x14ac:dyDescent="0.3">
      <c r="A3" s="102"/>
      <c r="B3" s="101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6" x14ac:dyDescent="0.25">
      <c r="A4" s="1"/>
      <c r="B4" s="2"/>
      <c r="C4" s="9"/>
      <c r="M4" s="9"/>
    </row>
    <row r="5" spans="1:16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59</v>
      </c>
      <c r="H5" s="73" t="s">
        <v>88</v>
      </c>
      <c r="I5" s="73" t="s">
        <v>68</v>
      </c>
      <c r="J5" s="26" t="s">
        <v>60</v>
      </c>
      <c r="K5" s="26" t="s">
        <v>61</v>
      </c>
      <c r="L5" s="26" t="s">
        <v>62</v>
      </c>
      <c r="M5" s="4"/>
    </row>
    <row r="6" spans="1:16" x14ac:dyDescent="0.25">
      <c r="A6" s="11" t="s">
        <v>2</v>
      </c>
      <c r="B6" s="11" t="s">
        <v>3</v>
      </c>
      <c r="C6" s="5"/>
      <c r="D6" s="83">
        <v>8229791</v>
      </c>
      <c r="E6" s="83">
        <v>33547489</v>
      </c>
      <c r="F6" s="83">
        <f>D6+E6</f>
        <v>41777280</v>
      </c>
      <c r="G6" s="83">
        <v>4040108</v>
      </c>
      <c r="H6" s="74">
        <v>0</v>
      </c>
      <c r="I6" s="74">
        <v>1426044</v>
      </c>
      <c r="J6" s="83">
        <f t="shared" ref="J6:J22" si="0">H6+I6</f>
        <v>1426044</v>
      </c>
      <c r="K6" s="83">
        <v>13363873</v>
      </c>
      <c r="L6" s="83">
        <f t="shared" ref="L6:L37" si="1">F6+G6+J6+K6</f>
        <v>60607305</v>
      </c>
      <c r="M6" s="5"/>
    </row>
    <row r="7" spans="1:16" x14ac:dyDescent="0.25">
      <c r="A7" s="21" t="s">
        <v>4</v>
      </c>
      <c r="B7" s="21" t="s">
        <v>4</v>
      </c>
      <c r="C7" s="22"/>
      <c r="D7" s="43">
        <v>102217150</v>
      </c>
      <c r="E7" s="44">
        <v>141715384</v>
      </c>
      <c r="F7" s="83">
        <f>D7+E7</f>
        <v>243932534</v>
      </c>
      <c r="G7" s="44">
        <v>344956</v>
      </c>
      <c r="H7" s="75">
        <v>0</v>
      </c>
      <c r="I7" s="75">
        <v>120864</v>
      </c>
      <c r="J7" s="83">
        <f t="shared" si="0"/>
        <v>120864</v>
      </c>
      <c r="K7" s="44">
        <v>67637166</v>
      </c>
      <c r="L7" s="83">
        <f t="shared" si="1"/>
        <v>312035520</v>
      </c>
      <c r="M7" s="22"/>
      <c r="N7" s="33"/>
      <c r="O7" s="29"/>
      <c r="P7" s="30"/>
    </row>
    <row r="8" spans="1:16" x14ac:dyDescent="0.25">
      <c r="A8" s="23" t="s">
        <v>5</v>
      </c>
      <c r="B8" s="23" t="s">
        <v>5</v>
      </c>
      <c r="C8" s="24"/>
      <c r="D8" s="45">
        <v>1360036</v>
      </c>
      <c r="E8" s="46">
        <v>1016055</v>
      </c>
      <c r="F8" s="83">
        <f>D8+E8</f>
        <v>2376091</v>
      </c>
      <c r="G8" s="46">
        <v>375000</v>
      </c>
      <c r="H8" s="76">
        <v>0</v>
      </c>
      <c r="I8" s="76">
        <v>5100000</v>
      </c>
      <c r="J8" s="83">
        <f t="shared" si="0"/>
        <v>5100000</v>
      </c>
      <c r="K8" s="46">
        <v>4034667</v>
      </c>
      <c r="L8" s="83">
        <f t="shared" si="1"/>
        <v>11885758</v>
      </c>
      <c r="M8" s="24"/>
      <c r="N8" s="30"/>
      <c r="O8" s="30"/>
      <c r="P8" s="30"/>
    </row>
    <row r="9" spans="1:16" x14ac:dyDescent="0.25">
      <c r="A9" s="16" t="s">
        <v>6</v>
      </c>
      <c r="B9" s="16" t="s">
        <v>7</v>
      </c>
      <c r="C9" s="3"/>
      <c r="D9" s="27">
        <v>8589243</v>
      </c>
      <c r="E9" s="28">
        <v>6917102</v>
      </c>
      <c r="F9" s="28">
        <f>D9+E9</f>
        <v>15506345</v>
      </c>
      <c r="G9" s="28">
        <v>0</v>
      </c>
      <c r="H9" s="77">
        <v>21176742</v>
      </c>
      <c r="I9" s="77">
        <v>100000</v>
      </c>
      <c r="J9" s="28">
        <f t="shared" si="0"/>
        <v>21276742</v>
      </c>
      <c r="K9" s="28">
        <v>0</v>
      </c>
      <c r="L9" s="28">
        <f t="shared" si="1"/>
        <v>36783087</v>
      </c>
      <c r="M9" s="3"/>
      <c r="N9" s="30"/>
      <c r="O9" s="30"/>
      <c r="P9" s="30"/>
    </row>
    <row r="10" spans="1:16" x14ac:dyDescent="0.25">
      <c r="A10" s="15"/>
      <c r="B10" s="16" t="s">
        <v>8</v>
      </c>
      <c r="C10" s="3"/>
      <c r="D10" s="27">
        <v>4202269</v>
      </c>
      <c r="E10" s="28">
        <v>3395082</v>
      </c>
      <c r="F10" s="28">
        <f>D10+E10</f>
        <v>7597351</v>
      </c>
      <c r="G10" s="28">
        <v>0</v>
      </c>
      <c r="H10" s="77">
        <v>22165605</v>
      </c>
      <c r="I10" s="77">
        <v>44300</v>
      </c>
      <c r="J10" s="28">
        <f t="shared" si="0"/>
        <v>22209905</v>
      </c>
      <c r="K10" s="28">
        <v>0</v>
      </c>
      <c r="L10" s="28">
        <f t="shared" si="1"/>
        <v>29807256</v>
      </c>
      <c r="M10" s="3"/>
      <c r="N10" s="30"/>
      <c r="O10" s="30"/>
      <c r="P10" s="30"/>
    </row>
    <row r="11" spans="1:16" x14ac:dyDescent="0.25">
      <c r="A11" s="15"/>
      <c r="B11" s="16" t="s">
        <v>9</v>
      </c>
      <c r="C11" s="3"/>
      <c r="D11" s="27">
        <v>3314381</v>
      </c>
      <c r="E11" s="28">
        <v>2649908</v>
      </c>
      <c r="F11" s="28">
        <f t="shared" ref="F11:F22" si="2">D11+E11</f>
        <v>5964289</v>
      </c>
      <c r="G11" s="28">
        <v>0</v>
      </c>
      <c r="H11" s="77">
        <v>3568428</v>
      </c>
      <c r="I11" s="77">
        <v>54153</v>
      </c>
      <c r="J11" s="28">
        <f t="shared" si="0"/>
        <v>3622581</v>
      </c>
      <c r="K11" s="28">
        <v>0</v>
      </c>
      <c r="L11" s="28">
        <f t="shared" si="1"/>
        <v>9586870</v>
      </c>
      <c r="M11" s="3"/>
      <c r="N11" s="30"/>
      <c r="O11" s="30"/>
      <c r="P11" s="30"/>
    </row>
    <row r="12" spans="1:16" x14ac:dyDescent="0.25">
      <c r="A12" s="15"/>
      <c r="B12" s="16" t="s">
        <v>10</v>
      </c>
      <c r="C12" s="3"/>
      <c r="D12" s="27">
        <v>14687072</v>
      </c>
      <c r="E12" s="28">
        <v>12168213</v>
      </c>
      <c r="F12" s="28">
        <f t="shared" si="2"/>
        <v>26855285</v>
      </c>
      <c r="G12" s="28">
        <v>0</v>
      </c>
      <c r="H12" s="77">
        <v>53678415</v>
      </c>
      <c r="I12" s="77">
        <v>1000000</v>
      </c>
      <c r="J12" s="28">
        <f t="shared" si="0"/>
        <v>54678415</v>
      </c>
      <c r="K12" s="28">
        <v>0</v>
      </c>
      <c r="L12" s="28">
        <f t="shared" si="1"/>
        <v>81533700</v>
      </c>
      <c r="M12" s="3"/>
      <c r="N12" s="30"/>
      <c r="O12" s="30"/>
      <c r="P12" s="30"/>
    </row>
    <row r="13" spans="1:16" x14ac:dyDescent="0.25">
      <c r="A13" s="15"/>
      <c r="B13" s="16" t="s">
        <v>11</v>
      </c>
      <c r="C13" s="3"/>
      <c r="D13" s="27">
        <v>1525077</v>
      </c>
      <c r="E13" s="28">
        <v>1225645</v>
      </c>
      <c r="F13" s="28">
        <f t="shared" si="2"/>
        <v>2750722</v>
      </c>
      <c r="G13" s="28">
        <v>0</v>
      </c>
      <c r="H13" s="77">
        <v>5260138</v>
      </c>
      <c r="I13" s="77">
        <v>10000</v>
      </c>
      <c r="J13" s="28">
        <f t="shared" si="0"/>
        <v>5270138</v>
      </c>
      <c r="K13" s="28">
        <v>0</v>
      </c>
      <c r="L13" s="28">
        <f t="shared" si="1"/>
        <v>8020860</v>
      </c>
      <c r="M13" s="3"/>
      <c r="N13" s="30"/>
      <c r="O13" s="30"/>
      <c r="P13" s="30"/>
    </row>
    <row r="14" spans="1:16" x14ac:dyDescent="0.25">
      <c r="A14" s="15"/>
      <c r="B14" s="16" t="s">
        <v>12</v>
      </c>
      <c r="C14" s="3"/>
      <c r="D14" s="27">
        <v>4163119</v>
      </c>
      <c r="E14" s="28">
        <v>22993421</v>
      </c>
      <c r="F14" s="28">
        <f t="shared" si="2"/>
        <v>27156540</v>
      </c>
      <c r="G14" s="28">
        <v>0</v>
      </c>
      <c r="H14" s="77">
        <v>0</v>
      </c>
      <c r="I14" s="77">
        <v>0</v>
      </c>
      <c r="J14" s="28">
        <f t="shared" si="0"/>
        <v>0</v>
      </c>
      <c r="K14" s="28">
        <v>0</v>
      </c>
      <c r="L14" s="28">
        <f t="shared" si="1"/>
        <v>27156540</v>
      </c>
      <c r="M14" s="3"/>
      <c r="N14" s="30"/>
      <c r="O14" s="30"/>
      <c r="P14" s="30"/>
    </row>
    <row r="15" spans="1:16" x14ac:dyDescent="0.25">
      <c r="A15" s="15"/>
      <c r="B15" s="16" t="s">
        <v>13</v>
      </c>
      <c r="C15" s="3"/>
      <c r="D15" s="27">
        <v>753857</v>
      </c>
      <c r="E15" s="28">
        <v>542047</v>
      </c>
      <c r="F15" s="28">
        <f t="shared" si="2"/>
        <v>1295904</v>
      </c>
      <c r="G15" s="28">
        <v>0</v>
      </c>
      <c r="H15" s="77">
        <v>0</v>
      </c>
      <c r="I15" s="77">
        <v>0</v>
      </c>
      <c r="J15" s="28">
        <f t="shared" si="0"/>
        <v>0</v>
      </c>
      <c r="K15" s="28">
        <v>0</v>
      </c>
      <c r="L15" s="28">
        <f t="shared" si="1"/>
        <v>1295904</v>
      </c>
      <c r="M15" s="3"/>
      <c r="N15" s="30"/>
      <c r="O15" s="30"/>
      <c r="P15" s="30"/>
    </row>
    <row r="16" spans="1:16" x14ac:dyDescent="0.25">
      <c r="A16" s="15"/>
      <c r="B16" s="16" t="s">
        <v>14</v>
      </c>
      <c r="C16" s="3"/>
      <c r="D16" s="27">
        <v>4609197</v>
      </c>
      <c r="E16" s="28">
        <v>3711205</v>
      </c>
      <c r="F16" s="28">
        <f t="shared" si="2"/>
        <v>8320402</v>
      </c>
      <c r="G16" s="28">
        <v>0</v>
      </c>
      <c r="H16" s="77">
        <v>9307432</v>
      </c>
      <c r="I16" s="77">
        <v>200000</v>
      </c>
      <c r="J16" s="28">
        <f t="shared" si="0"/>
        <v>9507432</v>
      </c>
      <c r="K16" s="28">
        <v>0</v>
      </c>
      <c r="L16" s="28">
        <f t="shared" si="1"/>
        <v>17827834</v>
      </c>
      <c r="M16" s="3"/>
      <c r="N16" s="30"/>
      <c r="O16" s="30"/>
      <c r="P16" s="30"/>
    </row>
    <row r="17" spans="1:16" x14ac:dyDescent="0.25">
      <c r="A17" s="15"/>
      <c r="B17" s="16" t="s">
        <v>15</v>
      </c>
      <c r="C17" s="3"/>
      <c r="D17" s="27">
        <v>6363118</v>
      </c>
      <c r="E17" s="28">
        <v>5092369</v>
      </c>
      <c r="F17" s="28">
        <f t="shared" si="2"/>
        <v>11455487</v>
      </c>
      <c r="G17" s="28">
        <v>0</v>
      </c>
      <c r="H17" s="77">
        <v>6267403</v>
      </c>
      <c r="I17" s="77">
        <v>16000</v>
      </c>
      <c r="J17" s="28">
        <f t="shared" si="0"/>
        <v>6283403</v>
      </c>
      <c r="K17" s="28">
        <v>0</v>
      </c>
      <c r="L17" s="28">
        <f t="shared" si="1"/>
        <v>17738890</v>
      </c>
      <c r="M17" s="3"/>
      <c r="N17" s="30"/>
      <c r="O17" s="30"/>
      <c r="P17" s="30"/>
    </row>
    <row r="18" spans="1:16" x14ac:dyDescent="0.25">
      <c r="A18" s="15"/>
      <c r="B18" s="16" t="s">
        <v>16</v>
      </c>
      <c r="C18" s="3"/>
      <c r="D18" s="27">
        <v>1774986</v>
      </c>
      <c r="E18" s="28">
        <v>1420383</v>
      </c>
      <c r="F18" s="28">
        <f t="shared" si="2"/>
        <v>3195369</v>
      </c>
      <c r="G18" s="28">
        <v>0</v>
      </c>
      <c r="H18" s="77">
        <v>4203128</v>
      </c>
      <c r="I18" s="77">
        <f>24203+14300</f>
        <v>38503</v>
      </c>
      <c r="J18" s="28">
        <f t="shared" si="0"/>
        <v>4241631</v>
      </c>
      <c r="K18" s="28">
        <v>0</v>
      </c>
      <c r="L18" s="28">
        <f t="shared" si="1"/>
        <v>7437000</v>
      </c>
      <c r="M18" s="3"/>
      <c r="N18" s="30"/>
      <c r="O18" s="30"/>
      <c r="P18" s="30"/>
    </row>
    <row r="19" spans="1:16" x14ac:dyDescent="0.25">
      <c r="A19" s="15"/>
      <c r="B19" s="16" t="s">
        <v>17</v>
      </c>
      <c r="C19" s="3"/>
      <c r="D19" s="27">
        <v>2861414</v>
      </c>
      <c r="E19" s="28">
        <v>2278420</v>
      </c>
      <c r="F19" s="28">
        <f t="shared" si="2"/>
        <v>5139834</v>
      </c>
      <c r="G19" s="28">
        <v>0</v>
      </c>
      <c r="H19" s="77">
        <v>4602943</v>
      </c>
      <c r="I19" s="77">
        <v>8192</v>
      </c>
      <c r="J19" s="28">
        <f t="shared" si="0"/>
        <v>4611135</v>
      </c>
      <c r="K19" s="28">
        <v>0</v>
      </c>
      <c r="L19" s="28">
        <f t="shared" si="1"/>
        <v>9750969</v>
      </c>
      <c r="M19" s="3"/>
      <c r="N19" s="30"/>
      <c r="O19" s="30"/>
      <c r="P19" s="30"/>
    </row>
    <row r="20" spans="1:16" x14ac:dyDescent="0.25">
      <c r="A20" s="15"/>
      <c r="B20" s="16" t="s">
        <v>18</v>
      </c>
      <c r="C20" s="3"/>
      <c r="D20" s="27">
        <v>1706431</v>
      </c>
      <c r="E20" s="28">
        <v>1358134</v>
      </c>
      <c r="F20" s="28">
        <f t="shared" si="2"/>
        <v>3064565</v>
      </c>
      <c r="G20" s="28">
        <v>0</v>
      </c>
      <c r="H20" s="77">
        <v>4885686</v>
      </c>
      <c r="I20" s="77">
        <v>0</v>
      </c>
      <c r="J20" s="28">
        <f t="shared" si="0"/>
        <v>4885686</v>
      </c>
      <c r="K20" s="28">
        <v>0</v>
      </c>
      <c r="L20" s="28">
        <f t="shared" si="1"/>
        <v>7950251</v>
      </c>
      <c r="M20" s="3"/>
      <c r="N20" s="30"/>
      <c r="O20" s="30"/>
      <c r="P20" s="30"/>
    </row>
    <row r="21" spans="1:16" x14ac:dyDescent="0.25">
      <c r="A21" s="15"/>
      <c r="B21" s="16" t="s">
        <v>19</v>
      </c>
      <c r="C21" s="3"/>
      <c r="D21" s="27">
        <v>7305953</v>
      </c>
      <c r="E21" s="28">
        <v>5896494</v>
      </c>
      <c r="F21" s="28">
        <f t="shared" si="2"/>
        <v>13202447</v>
      </c>
      <c r="G21" s="28">
        <v>0</v>
      </c>
      <c r="H21" s="77">
        <v>13615719</v>
      </c>
      <c r="I21" s="77">
        <v>50000</v>
      </c>
      <c r="J21" s="28">
        <f t="shared" si="0"/>
        <v>13665719</v>
      </c>
      <c r="K21" s="28">
        <v>0</v>
      </c>
      <c r="L21" s="28">
        <f t="shared" si="1"/>
        <v>26868166</v>
      </c>
      <c r="M21" s="3"/>
      <c r="N21" s="30"/>
      <c r="O21" s="30"/>
      <c r="P21" s="30"/>
    </row>
    <row r="22" spans="1:16" x14ac:dyDescent="0.25">
      <c r="A22" s="15"/>
      <c r="B22" s="16" t="s">
        <v>20</v>
      </c>
      <c r="C22" s="3"/>
      <c r="D22" s="27">
        <v>3105722</v>
      </c>
      <c r="E22" s="28">
        <v>2863892</v>
      </c>
      <c r="F22" s="28">
        <f t="shared" si="2"/>
        <v>5969614</v>
      </c>
      <c r="G22" s="28">
        <v>0</v>
      </c>
      <c r="H22" s="77">
        <v>6587706</v>
      </c>
      <c r="I22" s="77">
        <f>37811+100000</f>
        <v>137811</v>
      </c>
      <c r="J22" s="28">
        <f t="shared" si="0"/>
        <v>6725517</v>
      </c>
      <c r="K22" s="28">
        <v>0</v>
      </c>
      <c r="L22" s="28">
        <f t="shared" si="1"/>
        <v>12695131</v>
      </c>
      <c r="M22" s="3"/>
      <c r="N22" s="30"/>
      <c r="O22" s="30"/>
      <c r="P22" s="30"/>
    </row>
    <row r="23" spans="1:16" x14ac:dyDescent="0.25">
      <c r="A23" s="17" t="s">
        <v>21</v>
      </c>
      <c r="B23" s="18"/>
      <c r="C23" s="6"/>
      <c r="D23" s="83">
        <f t="shared" ref="D23:K23" si="3">SUM(D9:D22)</f>
        <v>64961839</v>
      </c>
      <c r="E23" s="83">
        <f t="shared" si="3"/>
        <v>72512315</v>
      </c>
      <c r="F23" s="83">
        <f t="shared" si="3"/>
        <v>137474154</v>
      </c>
      <c r="G23" s="83">
        <f t="shared" si="3"/>
        <v>0</v>
      </c>
      <c r="H23" s="74">
        <f>SUM(H9:H22)</f>
        <v>155319345</v>
      </c>
      <c r="I23" s="74">
        <f>SUM(I9:I22)</f>
        <v>1658959</v>
      </c>
      <c r="J23" s="83">
        <f t="shared" si="3"/>
        <v>156978304</v>
      </c>
      <c r="K23" s="83">
        <f t="shared" si="3"/>
        <v>0</v>
      </c>
      <c r="L23" s="83">
        <f t="shared" si="1"/>
        <v>294452458</v>
      </c>
      <c r="M23" s="6"/>
      <c r="N23" s="30"/>
      <c r="O23" s="30"/>
      <c r="P23" s="30"/>
    </row>
    <row r="24" spans="1:16" x14ac:dyDescent="0.25">
      <c r="A24" s="14" t="s">
        <v>22</v>
      </c>
      <c r="B24" s="14" t="s">
        <v>23</v>
      </c>
      <c r="C24" s="3"/>
      <c r="D24" s="27">
        <v>0</v>
      </c>
      <c r="E24" s="28">
        <v>1008173</v>
      </c>
      <c r="F24" s="28">
        <f t="shared" ref="F24:F35" si="4">D24+E24</f>
        <v>1008173</v>
      </c>
      <c r="G24" s="28">
        <v>12271026</v>
      </c>
      <c r="H24" s="77">
        <v>0</v>
      </c>
      <c r="I24" s="77">
        <v>2999765</v>
      </c>
      <c r="J24" s="28">
        <f t="shared" ref="J24:J35" si="5">H24+I24</f>
        <v>2999765</v>
      </c>
      <c r="K24" s="28">
        <v>2014619</v>
      </c>
      <c r="L24" s="28">
        <f t="shared" si="1"/>
        <v>18293583</v>
      </c>
      <c r="M24" s="3"/>
      <c r="N24" s="29"/>
      <c r="O24" s="29"/>
      <c r="P24" s="30"/>
    </row>
    <row r="25" spans="1:16" x14ac:dyDescent="0.25">
      <c r="A25" s="15"/>
      <c r="B25" s="16" t="s">
        <v>24</v>
      </c>
      <c r="C25" s="3"/>
      <c r="D25" s="27">
        <v>0</v>
      </c>
      <c r="E25" s="28">
        <v>652671</v>
      </c>
      <c r="F25" s="28">
        <f t="shared" si="4"/>
        <v>652671</v>
      </c>
      <c r="G25" s="28">
        <v>8646439</v>
      </c>
      <c r="H25" s="77">
        <v>0</v>
      </c>
      <c r="I25" s="77">
        <v>1290714</v>
      </c>
      <c r="J25" s="28">
        <f t="shared" si="5"/>
        <v>1290714</v>
      </c>
      <c r="K25" s="28">
        <v>945558</v>
      </c>
      <c r="L25" s="28">
        <f t="shared" si="1"/>
        <v>11535382</v>
      </c>
      <c r="M25" s="3"/>
      <c r="N25" s="29"/>
      <c r="O25" s="29"/>
      <c r="P25" s="30"/>
    </row>
    <row r="26" spans="1:16" x14ac:dyDescent="0.25">
      <c r="A26" s="15"/>
      <c r="B26" s="16" t="s">
        <v>25</v>
      </c>
      <c r="C26" s="3"/>
      <c r="D26" s="27">
        <v>39577832</v>
      </c>
      <c r="E26" s="28">
        <v>30927010</v>
      </c>
      <c r="F26" s="28">
        <f t="shared" si="4"/>
        <v>70504842</v>
      </c>
      <c r="G26" s="28">
        <v>0</v>
      </c>
      <c r="H26" s="77">
        <v>0</v>
      </c>
      <c r="I26" s="77">
        <v>6807967</v>
      </c>
      <c r="J26" s="28">
        <f t="shared" si="5"/>
        <v>6807967</v>
      </c>
      <c r="K26" s="28">
        <v>13018275</v>
      </c>
      <c r="L26" s="28">
        <f t="shared" si="1"/>
        <v>90331084</v>
      </c>
      <c r="M26" s="3"/>
      <c r="N26" s="30"/>
      <c r="O26" s="30"/>
      <c r="P26" s="30"/>
    </row>
    <row r="27" spans="1:16" x14ac:dyDescent="0.25">
      <c r="A27" s="15"/>
      <c r="B27" s="16" t="s">
        <v>26</v>
      </c>
      <c r="C27" s="3"/>
      <c r="D27" s="27">
        <v>3057546</v>
      </c>
      <c r="E27" s="28">
        <v>2754907</v>
      </c>
      <c r="F27" s="28">
        <f t="shared" si="4"/>
        <v>5812453</v>
      </c>
      <c r="G27" s="28">
        <v>0</v>
      </c>
      <c r="H27" s="77">
        <v>9838448</v>
      </c>
      <c r="I27" s="77">
        <v>611999</v>
      </c>
      <c r="J27" s="28">
        <f t="shared" si="5"/>
        <v>10450447</v>
      </c>
      <c r="K27" s="28">
        <v>0</v>
      </c>
      <c r="L27" s="28">
        <f t="shared" si="1"/>
        <v>16262900</v>
      </c>
      <c r="M27" s="3"/>
      <c r="N27" s="30"/>
      <c r="O27" s="30"/>
      <c r="P27" s="30"/>
    </row>
    <row r="28" spans="1:16" x14ac:dyDescent="0.25">
      <c r="A28" s="15"/>
      <c r="B28" s="16" t="s">
        <v>27</v>
      </c>
      <c r="C28" s="3"/>
      <c r="D28" s="27">
        <v>62823923</v>
      </c>
      <c r="E28" s="28">
        <v>62325088</v>
      </c>
      <c r="F28" s="28">
        <f t="shared" si="4"/>
        <v>125149011</v>
      </c>
      <c r="G28" s="28">
        <v>6791897</v>
      </c>
      <c r="H28" s="77">
        <v>307251311</v>
      </c>
      <c r="I28" s="77">
        <f>1061733+12785629</f>
        <v>13847362</v>
      </c>
      <c r="J28" s="28">
        <f t="shared" si="5"/>
        <v>321098673</v>
      </c>
      <c r="K28" s="28">
        <v>0</v>
      </c>
      <c r="L28" s="28">
        <f t="shared" si="1"/>
        <v>453039581</v>
      </c>
      <c r="M28" s="3"/>
      <c r="N28" s="30"/>
      <c r="O28" s="30"/>
      <c r="P28" s="30"/>
    </row>
    <row r="29" spans="1:16" x14ac:dyDescent="0.25">
      <c r="A29" s="15"/>
      <c r="B29" s="16" t="s">
        <v>28</v>
      </c>
      <c r="C29" s="3"/>
      <c r="D29" s="27">
        <v>2033151</v>
      </c>
      <c r="E29" s="28">
        <v>1461903</v>
      </c>
      <c r="F29" s="28">
        <f t="shared" si="4"/>
        <v>3495054</v>
      </c>
      <c r="G29" s="28">
        <v>0</v>
      </c>
      <c r="H29" s="77">
        <v>0</v>
      </c>
      <c r="I29" s="77">
        <v>0</v>
      </c>
      <c r="J29" s="28">
        <f t="shared" si="5"/>
        <v>0</v>
      </c>
      <c r="K29" s="28">
        <v>0</v>
      </c>
      <c r="L29" s="28">
        <f t="shared" si="1"/>
        <v>3495054</v>
      </c>
      <c r="M29" s="3"/>
      <c r="N29" s="30"/>
      <c r="O29" s="30"/>
      <c r="P29" s="30"/>
    </row>
    <row r="30" spans="1:16" x14ac:dyDescent="0.25">
      <c r="A30" s="15"/>
      <c r="B30" s="16" t="s">
        <v>29</v>
      </c>
      <c r="C30" s="3"/>
      <c r="D30" s="27">
        <v>2722468</v>
      </c>
      <c r="E30" s="28">
        <v>2541293</v>
      </c>
      <c r="F30" s="28">
        <f t="shared" si="4"/>
        <v>5263761</v>
      </c>
      <c r="G30" s="28">
        <v>0</v>
      </c>
      <c r="H30" s="77">
        <v>7451837</v>
      </c>
      <c r="I30" s="77">
        <v>78000</v>
      </c>
      <c r="J30" s="28">
        <f t="shared" si="5"/>
        <v>7529837</v>
      </c>
      <c r="K30" s="28">
        <v>0</v>
      </c>
      <c r="L30" s="28">
        <f t="shared" si="1"/>
        <v>12793598</v>
      </c>
      <c r="M30" s="3"/>
      <c r="N30" s="30"/>
      <c r="O30" s="30"/>
      <c r="P30" s="30"/>
    </row>
    <row r="31" spans="1:16" x14ac:dyDescent="0.25">
      <c r="A31" s="15"/>
      <c r="B31" s="16" t="s">
        <v>30</v>
      </c>
      <c r="C31" s="3"/>
      <c r="D31" s="27">
        <v>41249864</v>
      </c>
      <c r="E31" s="28">
        <v>50941898</v>
      </c>
      <c r="F31" s="28">
        <f t="shared" si="4"/>
        <v>92191762</v>
      </c>
      <c r="G31" s="28">
        <v>0</v>
      </c>
      <c r="H31" s="77">
        <v>38433326</v>
      </c>
      <c r="I31" s="77">
        <f>1183364+38369255</f>
        <v>39552619</v>
      </c>
      <c r="J31" s="28">
        <f t="shared" si="5"/>
        <v>77985945</v>
      </c>
      <c r="K31" s="28">
        <v>0</v>
      </c>
      <c r="L31" s="28">
        <f t="shared" si="1"/>
        <v>170177707</v>
      </c>
      <c r="M31" s="3"/>
      <c r="N31" s="30"/>
      <c r="O31" s="30"/>
      <c r="P31" s="30"/>
    </row>
    <row r="32" spans="1:16" x14ac:dyDescent="0.25">
      <c r="A32" s="15"/>
      <c r="B32" s="16" t="s">
        <v>31</v>
      </c>
      <c r="C32" s="3"/>
      <c r="D32" s="27">
        <v>20343446</v>
      </c>
      <c r="E32" s="28">
        <v>27178337</v>
      </c>
      <c r="F32" s="28">
        <f t="shared" si="4"/>
        <v>47521783</v>
      </c>
      <c r="G32" s="28">
        <v>76224010</v>
      </c>
      <c r="H32" s="77">
        <v>13803766</v>
      </c>
      <c r="I32" s="77">
        <f>11061295+20400+50515299</f>
        <v>61596994</v>
      </c>
      <c r="J32" s="28">
        <f t="shared" si="5"/>
        <v>75400760</v>
      </c>
      <c r="K32" s="28">
        <v>14681040</v>
      </c>
      <c r="L32" s="28">
        <f t="shared" si="1"/>
        <v>213827593</v>
      </c>
      <c r="M32" s="3"/>
      <c r="N32" s="33"/>
      <c r="O32" s="29"/>
      <c r="P32" s="30"/>
    </row>
    <row r="33" spans="1:16" x14ac:dyDescent="0.25">
      <c r="A33" s="15"/>
      <c r="B33" s="16" t="s">
        <v>32</v>
      </c>
      <c r="C33" s="3"/>
      <c r="D33" s="27">
        <v>4201974</v>
      </c>
      <c r="E33" s="28">
        <v>4305025</v>
      </c>
      <c r="F33" s="28">
        <f t="shared" si="4"/>
        <v>8506999</v>
      </c>
      <c r="G33" s="28">
        <v>0</v>
      </c>
      <c r="H33" s="77">
        <v>20420029</v>
      </c>
      <c r="I33" s="77">
        <f>12600+162300</f>
        <v>174900</v>
      </c>
      <c r="J33" s="28">
        <f t="shared" si="5"/>
        <v>20594929</v>
      </c>
      <c r="K33" s="28">
        <v>0</v>
      </c>
      <c r="L33" s="28">
        <f t="shared" si="1"/>
        <v>29101928</v>
      </c>
      <c r="M33" s="3"/>
      <c r="N33" s="30"/>
      <c r="O33" s="30"/>
      <c r="P33" s="30"/>
    </row>
    <row r="34" spans="1:16" x14ac:dyDescent="0.25">
      <c r="A34" s="15"/>
      <c r="B34" s="16" t="s">
        <v>33</v>
      </c>
      <c r="C34" s="3"/>
      <c r="D34" s="27">
        <v>2708751</v>
      </c>
      <c r="E34" s="28">
        <v>2455317</v>
      </c>
      <c r="F34" s="28">
        <f t="shared" si="4"/>
        <v>5164068</v>
      </c>
      <c r="G34" s="28">
        <v>0</v>
      </c>
      <c r="H34" s="77">
        <v>18371936</v>
      </c>
      <c r="I34" s="77">
        <f>11778+115861</f>
        <v>127639</v>
      </c>
      <c r="J34" s="28">
        <f t="shared" si="5"/>
        <v>18499575</v>
      </c>
      <c r="K34" s="28">
        <v>0</v>
      </c>
      <c r="L34" s="28">
        <f t="shared" si="1"/>
        <v>23663643</v>
      </c>
      <c r="M34" s="3"/>
      <c r="N34" s="30"/>
      <c r="O34" s="30"/>
      <c r="P34" s="30"/>
    </row>
    <row r="35" spans="1:16" x14ac:dyDescent="0.25">
      <c r="A35" s="15"/>
      <c r="B35" s="16" t="s">
        <v>34</v>
      </c>
      <c r="C35" s="3"/>
      <c r="D35" s="27">
        <v>7188562</v>
      </c>
      <c r="E35" s="28">
        <v>6261484</v>
      </c>
      <c r="F35" s="28">
        <f t="shared" si="4"/>
        <v>13450046</v>
      </c>
      <c r="G35" s="28">
        <v>0</v>
      </c>
      <c r="H35" s="77">
        <v>0</v>
      </c>
      <c r="I35" s="77">
        <v>825561</v>
      </c>
      <c r="J35" s="28">
        <f t="shared" si="5"/>
        <v>825561</v>
      </c>
      <c r="K35" s="28">
        <v>0</v>
      </c>
      <c r="L35" s="28">
        <f t="shared" si="1"/>
        <v>14275607</v>
      </c>
      <c r="M35" s="3"/>
      <c r="N35" s="30"/>
      <c r="O35" s="30"/>
      <c r="P35" s="30"/>
    </row>
    <row r="36" spans="1:16" x14ac:dyDescent="0.25">
      <c r="A36" s="17" t="s">
        <v>35</v>
      </c>
      <c r="B36" s="18"/>
      <c r="C36" s="6"/>
      <c r="D36" s="83">
        <f t="shared" ref="D36:K36" si="6">SUM(D24:D35)</f>
        <v>185907517</v>
      </c>
      <c r="E36" s="83">
        <f t="shared" si="6"/>
        <v>192813106</v>
      </c>
      <c r="F36" s="83">
        <f t="shared" si="6"/>
        <v>378720623</v>
      </c>
      <c r="G36" s="83">
        <f t="shared" si="6"/>
        <v>103933372</v>
      </c>
      <c r="H36" s="74">
        <f>SUM(H24:H35)</f>
        <v>415570653</v>
      </c>
      <c r="I36" s="74">
        <f>SUM(I24:I35)</f>
        <v>127913520</v>
      </c>
      <c r="J36" s="83">
        <f t="shared" si="6"/>
        <v>543484173</v>
      </c>
      <c r="K36" s="83">
        <f t="shared" si="6"/>
        <v>30659492</v>
      </c>
      <c r="L36" s="83">
        <f t="shared" si="1"/>
        <v>1056797660</v>
      </c>
      <c r="M36" s="6"/>
      <c r="N36" s="30"/>
      <c r="O36" s="30"/>
      <c r="P36" s="30"/>
    </row>
    <row r="37" spans="1:16" x14ac:dyDescent="0.25">
      <c r="A37" s="14" t="s">
        <v>36</v>
      </c>
      <c r="B37" s="14" t="s">
        <v>37</v>
      </c>
      <c r="C37" s="3"/>
      <c r="D37" s="27">
        <v>4402168</v>
      </c>
      <c r="E37" s="28">
        <v>2812915</v>
      </c>
      <c r="F37" s="28">
        <f t="shared" ref="F37:F42" si="7">D37+E37</f>
        <v>7215083</v>
      </c>
      <c r="G37" s="28">
        <v>0</v>
      </c>
      <c r="H37" s="77">
        <v>0</v>
      </c>
      <c r="I37" s="77">
        <v>0</v>
      </c>
      <c r="J37" s="28">
        <f t="shared" ref="J37:J42" si="8">H37+I37</f>
        <v>0</v>
      </c>
      <c r="K37" s="28">
        <v>3654209</v>
      </c>
      <c r="L37" s="28">
        <f t="shared" si="1"/>
        <v>10869292</v>
      </c>
      <c r="M37" s="3"/>
      <c r="N37" s="30"/>
      <c r="O37" s="30"/>
      <c r="P37" s="30"/>
    </row>
    <row r="38" spans="1:16" x14ac:dyDescent="0.25">
      <c r="A38" s="15"/>
      <c r="B38" s="16" t="s">
        <v>38</v>
      </c>
      <c r="C38" s="3"/>
      <c r="D38" s="27">
        <v>13957823</v>
      </c>
      <c r="E38" s="28">
        <v>15087692</v>
      </c>
      <c r="F38" s="28">
        <f t="shared" si="7"/>
        <v>29045515</v>
      </c>
      <c r="G38" s="28">
        <v>1966690</v>
      </c>
      <c r="H38" s="77">
        <v>37837989</v>
      </c>
      <c r="I38" s="77">
        <v>6712373</v>
      </c>
      <c r="J38" s="28">
        <f t="shared" si="8"/>
        <v>44550362</v>
      </c>
      <c r="K38" s="28">
        <v>0</v>
      </c>
      <c r="L38" s="28">
        <f t="shared" ref="L38:L56" si="9">F38+G38+J38+K38</f>
        <v>75562567</v>
      </c>
      <c r="M38" s="3"/>
      <c r="N38" s="30"/>
      <c r="O38" s="30"/>
      <c r="P38" s="30"/>
    </row>
    <row r="39" spans="1:16" x14ac:dyDescent="0.25">
      <c r="A39" s="15"/>
      <c r="B39" s="16" t="s">
        <v>39</v>
      </c>
      <c r="C39" s="3"/>
      <c r="D39" s="27">
        <v>2306331</v>
      </c>
      <c r="E39" s="28">
        <v>3657643</v>
      </c>
      <c r="F39" s="28">
        <f t="shared" si="7"/>
        <v>5963974</v>
      </c>
      <c r="G39" s="28">
        <v>0</v>
      </c>
      <c r="H39" s="77">
        <v>8492876</v>
      </c>
      <c r="I39" s="77">
        <v>44981</v>
      </c>
      <c r="J39" s="28">
        <f t="shared" si="8"/>
        <v>8537857</v>
      </c>
      <c r="K39" s="28">
        <v>0</v>
      </c>
      <c r="L39" s="28">
        <f t="shared" si="9"/>
        <v>14501831</v>
      </c>
      <c r="M39" s="3"/>
      <c r="N39" s="30"/>
      <c r="O39" s="30"/>
      <c r="P39" s="30"/>
    </row>
    <row r="40" spans="1:16" x14ac:dyDescent="0.25">
      <c r="A40" s="15"/>
      <c r="B40" s="16" t="s">
        <v>40</v>
      </c>
      <c r="C40" s="3"/>
      <c r="D40" s="27">
        <v>4971070</v>
      </c>
      <c r="E40" s="28">
        <v>3067667</v>
      </c>
      <c r="F40" s="28">
        <f t="shared" si="7"/>
        <v>8038737</v>
      </c>
      <c r="G40" s="28">
        <v>0</v>
      </c>
      <c r="H40" s="77">
        <v>11665746</v>
      </c>
      <c r="I40" s="77">
        <v>0</v>
      </c>
      <c r="J40" s="28">
        <f t="shared" si="8"/>
        <v>11665746</v>
      </c>
      <c r="K40" s="28">
        <v>0</v>
      </c>
      <c r="L40" s="28">
        <f t="shared" si="9"/>
        <v>19704483</v>
      </c>
      <c r="M40" s="3"/>
      <c r="N40" s="30"/>
      <c r="O40" s="30"/>
      <c r="P40" s="30"/>
    </row>
    <row r="41" spans="1:16" x14ac:dyDescent="0.25">
      <c r="A41" s="15"/>
      <c r="B41" s="16" t="s">
        <v>41</v>
      </c>
      <c r="C41" s="3"/>
      <c r="D41" s="27">
        <v>4745980</v>
      </c>
      <c r="E41" s="28">
        <v>2520740</v>
      </c>
      <c r="F41" s="28">
        <f t="shared" si="7"/>
        <v>7266720</v>
      </c>
      <c r="G41" s="28">
        <v>0</v>
      </c>
      <c r="H41" s="77">
        <v>6914848</v>
      </c>
      <c r="I41" s="77">
        <v>143570</v>
      </c>
      <c r="J41" s="28">
        <f t="shared" si="8"/>
        <v>7058418</v>
      </c>
      <c r="K41" s="28">
        <v>0</v>
      </c>
      <c r="L41" s="28">
        <f t="shared" si="9"/>
        <v>14325138</v>
      </c>
      <c r="M41" s="3"/>
      <c r="N41" s="30"/>
      <c r="O41" s="30"/>
      <c r="P41" s="30"/>
    </row>
    <row r="42" spans="1:16" x14ac:dyDescent="0.25">
      <c r="A42" s="15"/>
      <c r="B42" s="16" t="s">
        <v>42</v>
      </c>
      <c r="C42" s="3"/>
      <c r="D42" s="27">
        <v>1408668</v>
      </c>
      <c r="E42" s="28">
        <v>4908470</v>
      </c>
      <c r="F42" s="28">
        <f t="shared" si="7"/>
        <v>6317138</v>
      </c>
      <c r="G42" s="28">
        <v>0</v>
      </c>
      <c r="H42" s="77">
        <v>0</v>
      </c>
      <c r="I42" s="77">
        <v>0</v>
      </c>
      <c r="J42" s="28">
        <f t="shared" si="8"/>
        <v>0</v>
      </c>
      <c r="K42" s="28">
        <v>0</v>
      </c>
      <c r="L42" s="28">
        <f t="shared" si="9"/>
        <v>6317138</v>
      </c>
      <c r="M42" s="3"/>
      <c r="N42" s="30"/>
      <c r="O42" s="30"/>
      <c r="P42" s="30"/>
    </row>
    <row r="43" spans="1:16" x14ac:dyDescent="0.25">
      <c r="A43" s="17" t="s">
        <v>43</v>
      </c>
      <c r="B43" s="18"/>
      <c r="C43" s="6"/>
      <c r="D43" s="42">
        <f t="shared" ref="D43:K43" si="10">SUM(D37:D42)</f>
        <v>31792040</v>
      </c>
      <c r="E43" s="42">
        <f t="shared" si="10"/>
        <v>32055127</v>
      </c>
      <c r="F43" s="42">
        <f t="shared" si="10"/>
        <v>63847167</v>
      </c>
      <c r="G43" s="42">
        <f t="shared" si="10"/>
        <v>1966690</v>
      </c>
      <c r="H43" s="78">
        <f>SUM(H37:H42)</f>
        <v>64911459</v>
      </c>
      <c r="I43" s="78">
        <f>SUM(I37:I42)</f>
        <v>6900924</v>
      </c>
      <c r="J43" s="42">
        <f t="shared" si="10"/>
        <v>71812383</v>
      </c>
      <c r="K43" s="42">
        <f t="shared" si="10"/>
        <v>3654209</v>
      </c>
      <c r="L43" s="83">
        <f t="shared" si="9"/>
        <v>141280449</v>
      </c>
      <c r="M43" s="6"/>
      <c r="N43" s="30"/>
      <c r="O43" s="30"/>
      <c r="P43" s="30"/>
    </row>
    <row r="44" spans="1:16" x14ac:dyDescent="0.25">
      <c r="A44" s="14" t="s">
        <v>44</v>
      </c>
      <c r="B44" s="14" t="s">
        <v>45</v>
      </c>
      <c r="C44" s="3"/>
      <c r="D44" s="27">
        <v>7483700</v>
      </c>
      <c r="E44" s="28">
        <v>6408249</v>
      </c>
      <c r="F44" s="28">
        <f t="shared" ref="F44:F53" si="11">D44+E44</f>
        <v>13891949</v>
      </c>
      <c r="G44" s="28">
        <v>0</v>
      </c>
      <c r="H44" s="77">
        <v>34420770</v>
      </c>
      <c r="I44" s="77">
        <v>854564</v>
      </c>
      <c r="J44" s="28">
        <f t="shared" ref="J44:J53" si="12">H44+I44</f>
        <v>35275334</v>
      </c>
      <c r="K44" s="28">
        <v>0</v>
      </c>
      <c r="L44" s="28">
        <f t="shared" si="9"/>
        <v>49167283</v>
      </c>
      <c r="M44" s="3"/>
      <c r="N44" s="30"/>
      <c r="O44" s="30"/>
      <c r="P44" s="30"/>
    </row>
    <row r="45" spans="1:16" x14ac:dyDescent="0.25">
      <c r="A45" s="15"/>
      <c r="B45" s="16" t="s">
        <v>46</v>
      </c>
      <c r="C45" s="3"/>
      <c r="D45" s="27">
        <v>16130352</v>
      </c>
      <c r="E45" s="28">
        <v>13542486</v>
      </c>
      <c r="F45" s="28">
        <f t="shared" si="11"/>
        <v>29672838</v>
      </c>
      <c r="G45" s="28">
        <v>0</v>
      </c>
      <c r="H45" s="77">
        <v>60435700</v>
      </c>
      <c r="I45" s="77">
        <f>99000+4261299</f>
        <v>4360299</v>
      </c>
      <c r="J45" s="28">
        <f t="shared" si="12"/>
        <v>64795999</v>
      </c>
      <c r="K45" s="28">
        <v>0</v>
      </c>
      <c r="L45" s="28">
        <f t="shared" si="9"/>
        <v>94468837</v>
      </c>
      <c r="M45" s="3"/>
      <c r="N45" s="30"/>
      <c r="O45" s="30"/>
      <c r="P45" s="30"/>
    </row>
    <row r="46" spans="1:16" x14ac:dyDescent="0.25">
      <c r="A46" s="15"/>
      <c r="B46" s="16" t="s">
        <v>47</v>
      </c>
      <c r="C46" s="3"/>
      <c r="D46" s="27">
        <v>10224503</v>
      </c>
      <c r="E46" s="28">
        <v>10359042</v>
      </c>
      <c r="F46" s="28">
        <f t="shared" si="11"/>
        <v>20583545</v>
      </c>
      <c r="G46" s="28">
        <v>0</v>
      </c>
      <c r="H46" s="77">
        <v>39657842</v>
      </c>
      <c r="I46" s="77">
        <f>12247+322282</f>
        <v>334529</v>
      </c>
      <c r="J46" s="28">
        <f t="shared" si="12"/>
        <v>39992371</v>
      </c>
      <c r="K46" s="28">
        <v>0</v>
      </c>
      <c r="L46" s="28">
        <f t="shared" si="9"/>
        <v>60575916</v>
      </c>
      <c r="M46" s="3"/>
      <c r="N46" s="30"/>
      <c r="O46" s="30"/>
      <c r="P46" s="30"/>
    </row>
    <row r="47" spans="1:16" x14ac:dyDescent="0.25">
      <c r="A47" s="15"/>
      <c r="B47" s="16" t="s">
        <v>48</v>
      </c>
      <c r="C47" s="3"/>
      <c r="D47" s="27">
        <v>8709396</v>
      </c>
      <c r="E47" s="28">
        <v>7363201</v>
      </c>
      <c r="F47" s="28">
        <f t="shared" si="11"/>
        <v>16072597</v>
      </c>
      <c r="G47" s="28">
        <v>0</v>
      </c>
      <c r="H47" s="77">
        <v>32207400</v>
      </c>
      <c r="I47" s="77">
        <f>33993+174950+3384047</f>
        <v>3592990</v>
      </c>
      <c r="J47" s="28">
        <f t="shared" si="12"/>
        <v>35800390</v>
      </c>
      <c r="K47" s="28">
        <v>0</v>
      </c>
      <c r="L47" s="28">
        <f t="shared" si="9"/>
        <v>51872987</v>
      </c>
      <c r="M47" s="3"/>
      <c r="N47" s="30"/>
      <c r="O47" s="30"/>
      <c r="P47" s="30"/>
    </row>
    <row r="48" spans="1:16" x14ac:dyDescent="0.25">
      <c r="A48" s="15"/>
      <c r="B48" s="16" t="s">
        <v>49</v>
      </c>
      <c r="C48" s="3"/>
      <c r="D48" s="27">
        <v>11875901</v>
      </c>
      <c r="E48" s="28">
        <v>9823426</v>
      </c>
      <c r="F48" s="28">
        <f t="shared" si="11"/>
        <v>21699327</v>
      </c>
      <c r="G48" s="28">
        <v>74923</v>
      </c>
      <c r="H48" s="77">
        <v>46321824</v>
      </c>
      <c r="I48" s="77">
        <f>41933+613597</f>
        <v>655530</v>
      </c>
      <c r="J48" s="28">
        <f t="shared" si="12"/>
        <v>46977354</v>
      </c>
      <c r="K48" s="28">
        <v>0</v>
      </c>
      <c r="L48" s="28">
        <f t="shared" si="9"/>
        <v>68751604</v>
      </c>
      <c r="M48" s="3"/>
      <c r="N48" s="30"/>
      <c r="O48" s="30"/>
      <c r="P48" s="30"/>
    </row>
    <row r="49" spans="1:16" x14ac:dyDescent="0.25">
      <c r="A49" s="15"/>
      <c r="B49" s="16" t="s">
        <v>50</v>
      </c>
      <c r="C49" s="3"/>
      <c r="D49" s="27">
        <v>17188149</v>
      </c>
      <c r="E49" s="28">
        <v>14393920</v>
      </c>
      <c r="F49" s="28">
        <f t="shared" si="11"/>
        <v>31582069</v>
      </c>
      <c r="G49" s="28">
        <v>0</v>
      </c>
      <c r="H49" s="77">
        <v>69906315</v>
      </c>
      <c r="I49" s="77">
        <f>487732+5448341</f>
        <v>5936073</v>
      </c>
      <c r="J49" s="28">
        <f t="shared" si="12"/>
        <v>75842388</v>
      </c>
      <c r="K49" s="28">
        <v>0</v>
      </c>
      <c r="L49" s="28">
        <f t="shared" si="9"/>
        <v>107424457</v>
      </c>
      <c r="M49" s="3"/>
      <c r="N49" s="30"/>
      <c r="O49" s="30"/>
      <c r="P49" s="30"/>
    </row>
    <row r="50" spans="1:16" x14ac:dyDescent="0.25">
      <c r="A50" s="15"/>
      <c r="B50" s="16" t="s">
        <v>51</v>
      </c>
      <c r="C50" s="3"/>
      <c r="D50" s="27">
        <v>601566</v>
      </c>
      <c r="E50" s="28">
        <v>10432546</v>
      </c>
      <c r="F50" s="28">
        <f t="shared" si="11"/>
        <v>11034112</v>
      </c>
      <c r="G50" s="28">
        <v>0</v>
      </c>
      <c r="H50" s="77">
        <v>0</v>
      </c>
      <c r="I50" s="77">
        <v>2214000</v>
      </c>
      <c r="J50" s="28">
        <f t="shared" si="12"/>
        <v>2214000</v>
      </c>
      <c r="K50" s="28">
        <v>0</v>
      </c>
      <c r="L50" s="28">
        <f t="shared" si="9"/>
        <v>13248112</v>
      </c>
      <c r="M50" s="3"/>
      <c r="N50" s="30"/>
      <c r="O50" s="30"/>
      <c r="P50" s="30"/>
    </row>
    <row r="51" spans="1:16" x14ac:dyDescent="0.25">
      <c r="A51" s="15"/>
      <c r="B51" s="16" t="s">
        <v>52</v>
      </c>
      <c r="C51" s="3"/>
      <c r="D51" s="27">
        <v>26163476</v>
      </c>
      <c r="E51" s="28">
        <v>21433873</v>
      </c>
      <c r="F51" s="28">
        <f t="shared" si="11"/>
        <v>47597349</v>
      </c>
      <c r="G51" s="28">
        <v>0</v>
      </c>
      <c r="H51" s="77">
        <v>76591326</v>
      </c>
      <c r="I51" s="77">
        <v>5039701</v>
      </c>
      <c r="J51" s="28">
        <f t="shared" si="12"/>
        <v>81631027</v>
      </c>
      <c r="K51" s="28">
        <v>0</v>
      </c>
      <c r="L51" s="28">
        <f t="shared" si="9"/>
        <v>129228376</v>
      </c>
      <c r="M51" s="3"/>
      <c r="N51" s="30"/>
      <c r="O51" s="30"/>
      <c r="P51" s="30"/>
    </row>
    <row r="52" spans="1:16" x14ac:dyDescent="0.25">
      <c r="A52" s="15"/>
      <c r="B52" s="16" t="s">
        <v>53</v>
      </c>
      <c r="C52" s="3"/>
      <c r="D52" s="27">
        <v>14256559</v>
      </c>
      <c r="E52" s="28">
        <v>12106287</v>
      </c>
      <c r="F52" s="28">
        <f t="shared" si="11"/>
        <v>26362846</v>
      </c>
      <c r="G52" s="28">
        <v>0</v>
      </c>
      <c r="H52" s="77">
        <v>43816288</v>
      </c>
      <c r="I52" s="77">
        <f>59916+965000+474000</f>
        <v>1498916</v>
      </c>
      <c r="J52" s="28">
        <f t="shared" si="12"/>
        <v>45315204</v>
      </c>
      <c r="K52" s="28">
        <v>0</v>
      </c>
      <c r="L52" s="28">
        <f t="shared" si="9"/>
        <v>71678050</v>
      </c>
      <c r="M52" s="3"/>
      <c r="N52" s="30"/>
      <c r="O52" s="30"/>
      <c r="P52" s="30"/>
    </row>
    <row r="53" spans="1:16" x14ac:dyDescent="0.25">
      <c r="A53" s="15"/>
      <c r="B53" s="16" t="s">
        <v>54</v>
      </c>
      <c r="C53" s="3"/>
      <c r="D53" s="27">
        <v>17566678</v>
      </c>
      <c r="E53" s="28">
        <v>15146838</v>
      </c>
      <c r="F53" s="28">
        <f t="shared" si="11"/>
        <v>32713516</v>
      </c>
      <c r="G53" s="28">
        <v>0</v>
      </c>
      <c r="H53" s="77">
        <v>67064964</v>
      </c>
      <c r="I53" s="77">
        <f>774000+4727705</f>
        <v>5501705</v>
      </c>
      <c r="J53" s="28">
        <f t="shared" si="12"/>
        <v>72566669</v>
      </c>
      <c r="K53" s="28">
        <v>0</v>
      </c>
      <c r="L53" s="28">
        <f t="shared" si="9"/>
        <v>105280185</v>
      </c>
      <c r="M53" s="3"/>
      <c r="N53" s="30"/>
      <c r="O53" s="30"/>
      <c r="P53" s="30"/>
    </row>
    <row r="54" spans="1:16" x14ac:dyDescent="0.25">
      <c r="A54" s="12" t="s">
        <v>55</v>
      </c>
      <c r="B54" s="13"/>
      <c r="C54" s="6"/>
      <c r="D54" s="83">
        <f t="shared" ref="D54:K54" si="13">SUM(D44:D53)</f>
        <v>130200280</v>
      </c>
      <c r="E54" s="83">
        <f t="shared" si="13"/>
        <v>121009868</v>
      </c>
      <c r="F54" s="83">
        <f t="shared" si="13"/>
        <v>251210148</v>
      </c>
      <c r="G54" s="83">
        <f t="shared" si="13"/>
        <v>74923</v>
      </c>
      <c r="H54" s="74">
        <f>SUM(H44:H53)</f>
        <v>470422429</v>
      </c>
      <c r="I54" s="74">
        <f>SUM(I44:I53)</f>
        <v>29988307</v>
      </c>
      <c r="J54" s="83">
        <f t="shared" si="13"/>
        <v>500410736</v>
      </c>
      <c r="K54" s="83">
        <f t="shared" si="13"/>
        <v>0</v>
      </c>
      <c r="L54" s="83">
        <f t="shared" si="9"/>
        <v>751695807</v>
      </c>
      <c r="M54" s="6"/>
      <c r="N54" s="30"/>
      <c r="O54" s="30"/>
      <c r="P54" s="30"/>
    </row>
    <row r="55" spans="1:16" x14ac:dyDescent="0.25">
      <c r="A55" s="19" t="s">
        <v>56</v>
      </c>
      <c r="B55" s="20"/>
      <c r="C55" s="6"/>
      <c r="D55" s="83">
        <f t="shared" ref="D55:K55" si="14">D54+D43+D36+D23+D8+D7+D6</f>
        <v>524668653</v>
      </c>
      <c r="E55" s="83">
        <f t="shared" si="14"/>
        <v>594669344</v>
      </c>
      <c r="F55" s="83">
        <f t="shared" si="14"/>
        <v>1119337997</v>
      </c>
      <c r="G55" s="83">
        <f t="shared" si="14"/>
        <v>110735049</v>
      </c>
      <c r="H55" s="74">
        <f>H54+H43+H36+H23+H8+H7+H6</f>
        <v>1106223886</v>
      </c>
      <c r="I55" s="74">
        <f>I54+I43+I36+I23+I8+I7+I6</f>
        <v>173108618</v>
      </c>
      <c r="J55" s="83">
        <f t="shared" si="14"/>
        <v>1279332504</v>
      </c>
      <c r="K55" s="83">
        <f t="shared" si="14"/>
        <v>119349407</v>
      </c>
      <c r="L55" s="83">
        <f t="shared" si="9"/>
        <v>2628754957</v>
      </c>
      <c r="M55" s="6"/>
      <c r="N55" s="29"/>
      <c r="O55" s="29"/>
      <c r="P55" s="30"/>
    </row>
    <row r="56" spans="1:16" s="32" customFormat="1" x14ac:dyDescent="0.25">
      <c r="A56" s="35" t="s">
        <v>63</v>
      </c>
      <c r="B56" s="35"/>
      <c r="C56" s="37"/>
      <c r="D56" s="41">
        <f>D55-D7-D24-D25-279189</f>
        <v>422172314</v>
      </c>
      <c r="E56" s="41">
        <f>E55-E7-E24-E25-2539903</f>
        <v>448753213</v>
      </c>
      <c r="F56" s="41">
        <f>D56+E56</f>
        <v>870925527</v>
      </c>
      <c r="G56" s="41">
        <f>G55-G7-G24-G25-76224010</f>
        <v>13248618</v>
      </c>
      <c r="H56" s="80">
        <f>H55-H7-H24-H25-0</f>
        <v>1106223886</v>
      </c>
      <c r="I56" s="80">
        <f>I55-I7-I24-I25-18966595</f>
        <v>149730680</v>
      </c>
      <c r="J56" s="41">
        <f>H56+I56</f>
        <v>1255954566</v>
      </c>
      <c r="K56" s="41">
        <f>K55-K7-K24-K25-14681040</f>
        <v>34071024</v>
      </c>
      <c r="L56" s="83">
        <f t="shared" si="9"/>
        <v>2174199735</v>
      </c>
      <c r="M56" s="37"/>
      <c r="N56" s="34"/>
      <c r="O56" s="34"/>
      <c r="P56" s="34"/>
    </row>
    <row r="57" spans="1:16" x14ac:dyDescent="0.25">
      <c r="A57" s="7"/>
      <c r="B57" s="7"/>
      <c r="C57" s="7"/>
      <c r="M57" s="7"/>
    </row>
    <row r="58" spans="1:16" x14ac:dyDescent="0.25">
      <c r="A58" s="8"/>
    </row>
    <row r="65" spans="2:12" x14ac:dyDescent="0.25">
      <c r="F65" s="25">
        <f>F54-F50+F41+F40+F38+F33+F30+F28+F27+F23-F15-F14</f>
        <v>538280942</v>
      </c>
      <c r="H65" s="25">
        <f t="shared" ref="H65:J65" si="15">H54-H50+H41+H40+H38+H33+H30+H28+H27+H23-H15-H14</f>
        <v>1027121982</v>
      </c>
      <c r="I65" s="25">
        <f t="shared" si="15"/>
        <v>51001470</v>
      </c>
      <c r="J65" s="25">
        <f t="shared" si="15"/>
        <v>1078123452</v>
      </c>
    </row>
    <row r="67" spans="2:12" x14ac:dyDescent="0.25">
      <c r="D67" s="25">
        <f>D54-D50+D40+D38+D33+D28+D27</f>
        <v>218611050</v>
      </c>
      <c r="E67" s="25">
        <f t="shared" ref="E67:L67" si="16">E54-E50+E40+E38+E33+E28+E27+E34</f>
        <v>200573018</v>
      </c>
      <c r="F67" s="25">
        <f t="shared" si="16"/>
        <v>421892819</v>
      </c>
      <c r="G67" s="25">
        <f t="shared" si="16"/>
        <v>8833510</v>
      </c>
      <c r="H67" s="25">
        <f t="shared" si="16"/>
        <v>875807888</v>
      </c>
      <c r="I67" s="25">
        <f t="shared" si="16"/>
        <v>49248580</v>
      </c>
      <c r="J67" s="25">
        <f t="shared" si="16"/>
        <v>925056468</v>
      </c>
      <c r="K67" s="25">
        <f t="shared" si="16"/>
        <v>0</v>
      </c>
      <c r="L67" s="25">
        <f t="shared" si="16"/>
        <v>1355782797</v>
      </c>
    </row>
    <row r="68" spans="2:12" x14ac:dyDescent="0.25">
      <c r="D68" s="25">
        <f>D41+D30+D23-D15-D14</f>
        <v>67513311</v>
      </c>
      <c r="E68" s="25">
        <f t="shared" ref="E68:L68" si="17">E41+E30+E23-E15-E14</f>
        <v>54038880</v>
      </c>
      <c r="F68" s="25">
        <f t="shared" si="17"/>
        <v>121552191</v>
      </c>
      <c r="G68" s="25">
        <f t="shared" si="17"/>
        <v>0</v>
      </c>
      <c r="H68" s="25">
        <f t="shared" si="17"/>
        <v>169686030</v>
      </c>
      <c r="I68" s="25">
        <f t="shared" si="17"/>
        <v>1880529</v>
      </c>
      <c r="J68" s="25">
        <f t="shared" si="17"/>
        <v>171566559</v>
      </c>
      <c r="K68" s="25">
        <f t="shared" si="17"/>
        <v>0</v>
      </c>
      <c r="L68" s="25">
        <f t="shared" si="17"/>
        <v>293118750</v>
      </c>
    </row>
    <row r="69" spans="2:12" x14ac:dyDescent="0.25">
      <c r="D69" s="25">
        <f>D68+D67</f>
        <v>286124361</v>
      </c>
      <c r="E69" s="25">
        <f t="shared" ref="E69:L69" si="18">E68+E67</f>
        <v>254611898</v>
      </c>
      <c r="F69" s="25">
        <f t="shared" si="18"/>
        <v>543445010</v>
      </c>
      <c r="G69" s="25">
        <f t="shared" si="18"/>
        <v>8833510</v>
      </c>
      <c r="H69" s="25">
        <f t="shared" si="18"/>
        <v>1045493918</v>
      </c>
      <c r="I69" s="25">
        <f t="shared" si="18"/>
        <v>51129109</v>
      </c>
      <c r="J69" s="25">
        <f t="shared" si="18"/>
        <v>1096623027</v>
      </c>
      <c r="K69" s="25">
        <f t="shared" si="18"/>
        <v>0</v>
      </c>
      <c r="L69" s="25">
        <f t="shared" si="18"/>
        <v>1648901547</v>
      </c>
    </row>
    <row r="72" spans="2:12" x14ac:dyDescent="0.25">
      <c r="B72" t="s">
        <v>110</v>
      </c>
      <c r="D72" s="25">
        <f>D73+D74-D37-D35-D26</f>
        <v>352732753</v>
      </c>
      <c r="E72" s="25">
        <f t="shared" ref="E72:L72" si="19">E73+E74-E37-E35-E26</f>
        <v>338845093</v>
      </c>
      <c r="F72" s="25">
        <f t="shared" si="19"/>
        <v>694286597</v>
      </c>
      <c r="G72" s="25">
        <f t="shared" si="19"/>
        <v>85057520</v>
      </c>
      <c r="H72" s="25">
        <f t="shared" si="19"/>
        <v>1124595822</v>
      </c>
      <c r="I72" s="25">
        <f t="shared" si="19"/>
        <v>152451342</v>
      </c>
      <c r="J72" s="25">
        <f t="shared" si="19"/>
        <v>1277047164</v>
      </c>
      <c r="K72" s="25">
        <f t="shared" si="19"/>
        <v>14681040</v>
      </c>
      <c r="L72" s="25">
        <f t="shared" si="19"/>
        <v>2071072321</v>
      </c>
    </row>
    <row r="73" spans="2:12" x14ac:dyDescent="0.25">
      <c r="B73" t="s">
        <v>104</v>
      </c>
      <c r="D73" s="25">
        <f>D69</f>
        <v>286124361</v>
      </c>
      <c r="E73" s="25">
        <f t="shared" ref="E73:L73" si="20">E69</f>
        <v>254611898</v>
      </c>
      <c r="F73" s="25">
        <f t="shared" si="20"/>
        <v>543445010</v>
      </c>
      <c r="G73" s="25">
        <f t="shared" si="20"/>
        <v>8833510</v>
      </c>
      <c r="H73" s="25">
        <f t="shared" si="20"/>
        <v>1045493918</v>
      </c>
      <c r="I73" s="25">
        <f t="shared" si="20"/>
        <v>51129109</v>
      </c>
      <c r="J73" s="25">
        <f t="shared" si="20"/>
        <v>1096623027</v>
      </c>
      <c r="K73" s="25">
        <f t="shared" si="20"/>
        <v>0</v>
      </c>
      <c r="L73" s="25">
        <f t="shared" si="20"/>
        <v>1648901547</v>
      </c>
    </row>
    <row r="74" spans="2:12" x14ac:dyDescent="0.25">
      <c r="B74" t="s">
        <v>105</v>
      </c>
      <c r="D74" s="25">
        <f>D39+D37+D35+D34+D32+D31+D26</f>
        <v>117776954</v>
      </c>
      <c r="E74" s="25">
        <f t="shared" ref="E74:L74" si="21">E39+E37+E35+E34+E32+E31+E26</f>
        <v>124234604</v>
      </c>
      <c r="F74" s="25">
        <f t="shared" si="21"/>
        <v>242011558</v>
      </c>
      <c r="G74" s="25">
        <f t="shared" si="21"/>
        <v>76224010</v>
      </c>
      <c r="H74" s="25">
        <f t="shared" si="21"/>
        <v>79101904</v>
      </c>
      <c r="I74" s="25">
        <f t="shared" si="21"/>
        <v>108955761</v>
      </c>
      <c r="J74" s="25">
        <f t="shared" si="21"/>
        <v>188057665</v>
      </c>
      <c r="K74" s="25">
        <f t="shared" si="21"/>
        <v>31353524</v>
      </c>
      <c r="L74" s="25">
        <f t="shared" si="21"/>
        <v>537646757</v>
      </c>
    </row>
    <row r="75" spans="2:12" x14ac:dyDescent="0.25">
      <c r="B75" t="s">
        <v>106</v>
      </c>
      <c r="D75" s="25">
        <f>D7</f>
        <v>102217150</v>
      </c>
      <c r="E75" s="25">
        <f t="shared" ref="E75:L75" si="22">E7</f>
        <v>141715384</v>
      </c>
      <c r="F75" s="25">
        <f t="shared" si="22"/>
        <v>243932534</v>
      </c>
      <c r="G75" s="25">
        <f t="shared" si="22"/>
        <v>344956</v>
      </c>
      <c r="H75" s="25">
        <f t="shared" si="22"/>
        <v>0</v>
      </c>
      <c r="I75" s="25">
        <f t="shared" si="22"/>
        <v>120864</v>
      </c>
      <c r="J75" s="25">
        <f t="shared" si="22"/>
        <v>120864</v>
      </c>
      <c r="K75" s="25">
        <f t="shared" si="22"/>
        <v>67637166</v>
      </c>
      <c r="L75" s="25">
        <f t="shared" si="22"/>
        <v>312035520</v>
      </c>
    </row>
    <row r="76" spans="2:12" x14ac:dyDescent="0.25">
      <c r="B76" t="s">
        <v>107</v>
      </c>
      <c r="D76" s="25">
        <f>D50+D42+D29+D15+D14+D8+D6</f>
        <v>18550188</v>
      </c>
      <c r="E76" s="25">
        <f t="shared" ref="E76:L76" si="23">E50+E42+E29+E15+E14+E8+E6</f>
        <v>74901931</v>
      </c>
      <c r="F76" s="25">
        <f t="shared" si="23"/>
        <v>93452119</v>
      </c>
      <c r="G76" s="25">
        <f t="shared" si="23"/>
        <v>4415108</v>
      </c>
      <c r="H76" s="25">
        <f t="shared" si="23"/>
        <v>0</v>
      </c>
      <c r="I76" s="25">
        <f t="shared" si="23"/>
        <v>8740044</v>
      </c>
      <c r="J76" s="25">
        <f t="shared" si="23"/>
        <v>8740044</v>
      </c>
      <c r="K76" s="25">
        <f t="shared" si="23"/>
        <v>17398540</v>
      </c>
      <c r="L76" s="25">
        <f t="shared" si="23"/>
        <v>124005811</v>
      </c>
    </row>
    <row r="77" spans="2:12" x14ac:dyDescent="0.25">
      <c r="D77" s="25">
        <f>SUM(D73:D76)</f>
        <v>524668653</v>
      </c>
      <c r="E77" s="25">
        <f t="shared" ref="E77:L77" si="24">SUM(E73:E76)</f>
        <v>595463817</v>
      </c>
      <c r="F77" s="25">
        <f t="shared" si="24"/>
        <v>1122841221</v>
      </c>
      <c r="G77" s="25">
        <f t="shared" si="24"/>
        <v>89817584</v>
      </c>
      <c r="H77" s="25">
        <f t="shared" si="24"/>
        <v>1124595822</v>
      </c>
      <c r="I77" s="25">
        <f t="shared" si="24"/>
        <v>168945778</v>
      </c>
      <c r="J77" s="25">
        <f t="shared" si="24"/>
        <v>1293541600</v>
      </c>
      <c r="K77" s="25">
        <f t="shared" si="24"/>
        <v>116389230</v>
      </c>
      <c r="L77" s="25">
        <f t="shared" si="24"/>
        <v>2622589635</v>
      </c>
    </row>
  </sheetData>
  <pageMargins left="0.25" right="0.25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7"/>
  <sheetViews>
    <sheetView workbookViewId="0">
      <pane ySplit="5" topLeftCell="A33" activePane="bottomLeft" state="frozen"/>
      <selection pane="bottomLeft" activeCell="G55" sqref="G55"/>
    </sheetView>
  </sheetViews>
  <sheetFormatPr defaultRowHeight="15" x14ac:dyDescent="0.25"/>
  <cols>
    <col min="2" max="2" width="22.85546875" customWidth="1"/>
    <col min="3" max="3" width="1.42578125" customWidth="1"/>
    <col min="4" max="5" width="15.28515625" customWidth="1"/>
    <col min="6" max="6" width="16.28515625" style="25" customWidth="1"/>
    <col min="7" max="9" width="15.28515625" customWidth="1"/>
    <col min="10" max="10" width="16.28515625" style="25" customWidth="1"/>
    <col min="11" max="11" width="15.28515625" customWidth="1"/>
    <col min="12" max="12" width="16.28515625" style="25" customWidth="1"/>
    <col min="13" max="13" width="1.42578125" customWidth="1"/>
  </cols>
  <sheetData>
    <row r="1" spans="1:13" s="99" customFormat="1" ht="18.75" x14ac:dyDescent="0.3">
      <c r="A1" s="99" t="s">
        <v>94</v>
      </c>
      <c r="F1" s="100"/>
      <c r="J1" s="100"/>
      <c r="L1" s="100"/>
    </row>
    <row r="2" spans="1:13" s="99" customFormat="1" ht="18.75" x14ac:dyDescent="0.3">
      <c r="A2" s="101" t="s">
        <v>70</v>
      </c>
      <c r="B2" s="101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9" customFormat="1" ht="18.75" x14ac:dyDescent="0.3">
      <c r="A3" s="102"/>
      <c r="B3" s="101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x14ac:dyDescent="0.25">
      <c r="A4" s="1"/>
      <c r="B4" s="2"/>
      <c r="C4" s="9"/>
      <c r="D4" s="25"/>
      <c r="E4" s="25"/>
      <c r="G4" s="25"/>
      <c r="H4" s="25"/>
      <c r="I4" s="25"/>
      <c r="K4" s="25"/>
      <c r="M4" s="9"/>
    </row>
    <row r="5" spans="1:13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59</v>
      </c>
      <c r="H5" s="73" t="s">
        <v>88</v>
      </c>
      <c r="I5" s="73" t="s">
        <v>68</v>
      </c>
      <c r="J5" s="26" t="s">
        <v>60</v>
      </c>
      <c r="K5" s="26" t="s">
        <v>61</v>
      </c>
      <c r="L5" s="26" t="s">
        <v>62</v>
      </c>
      <c r="M5" s="4"/>
    </row>
    <row r="6" spans="1:13" s="32" customFormat="1" x14ac:dyDescent="0.25">
      <c r="A6" s="47" t="s">
        <v>2</v>
      </c>
      <c r="B6" s="47" t="s">
        <v>3</v>
      </c>
      <c r="C6" s="48"/>
      <c r="D6" s="39">
        <v>30997281</v>
      </c>
      <c r="E6" s="39">
        <v>28630000</v>
      </c>
      <c r="F6" s="39">
        <f>D6+E6</f>
        <v>59627281</v>
      </c>
      <c r="G6" s="39">
        <v>14853825</v>
      </c>
      <c r="H6" s="74">
        <v>0</v>
      </c>
      <c r="I6" s="74">
        <v>2762327</v>
      </c>
      <c r="J6" s="39">
        <f t="shared" ref="J6:J22" si="0">H6+I6</f>
        <v>2762327</v>
      </c>
      <c r="K6" s="39">
        <v>13363873</v>
      </c>
      <c r="L6" s="39">
        <f t="shared" ref="L6:L37" si="1">F6+G6+J6+K6</f>
        <v>90607306</v>
      </c>
      <c r="M6" s="48"/>
    </row>
    <row r="7" spans="1:13" s="32" customFormat="1" x14ac:dyDescent="0.25">
      <c r="A7" s="49" t="s">
        <v>4</v>
      </c>
      <c r="B7" s="49" t="s">
        <v>4</v>
      </c>
      <c r="C7" s="50"/>
      <c r="D7" s="43">
        <v>196240475</v>
      </c>
      <c r="E7" s="44">
        <v>80154680</v>
      </c>
      <c r="F7" s="39">
        <f>D7+E7</f>
        <v>276395155</v>
      </c>
      <c r="G7" s="44">
        <v>724300</v>
      </c>
      <c r="H7" s="75">
        <v>0</v>
      </c>
      <c r="I7" s="75">
        <v>41450</v>
      </c>
      <c r="J7" s="39">
        <f t="shared" si="0"/>
        <v>41450</v>
      </c>
      <c r="K7" s="44">
        <v>67461580</v>
      </c>
      <c r="L7" s="39">
        <f t="shared" si="1"/>
        <v>344622485</v>
      </c>
      <c r="M7" s="50"/>
    </row>
    <row r="8" spans="1:13" s="32" customFormat="1" x14ac:dyDescent="0.25">
      <c r="A8" s="51" t="s">
        <v>5</v>
      </c>
      <c r="B8" s="51" t="s">
        <v>5</v>
      </c>
      <c r="C8" s="52"/>
      <c r="D8" s="45">
        <v>2335852</v>
      </c>
      <c r="E8" s="46">
        <v>40156</v>
      </c>
      <c r="F8" s="39">
        <f>D8+E8</f>
        <v>2376008</v>
      </c>
      <c r="G8" s="46">
        <v>375000</v>
      </c>
      <c r="H8" s="76">
        <v>0</v>
      </c>
      <c r="I8" s="76">
        <v>5100000</v>
      </c>
      <c r="J8" s="39">
        <f t="shared" si="0"/>
        <v>5100000</v>
      </c>
      <c r="K8" s="46">
        <v>4034667</v>
      </c>
      <c r="L8" s="39">
        <f t="shared" si="1"/>
        <v>11885675</v>
      </c>
      <c r="M8" s="52"/>
    </row>
    <row r="9" spans="1:13" x14ac:dyDescent="0.25">
      <c r="A9" s="16" t="s">
        <v>6</v>
      </c>
      <c r="B9" s="16" t="s">
        <v>7</v>
      </c>
      <c r="C9" s="3"/>
      <c r="D9" s="27">
        <v>14724512</v>
      </c>
      <c r="E9" s="28">
        <v>780225</v>
      </c>
      <c r="F9" s="28">
        <f>D9+E9</f>
        <v>15504737</v>
      </c>
      <c r="G9" s="28">
        <v>0</v>
      </c>
      <c r="H9" s="77">
        <v>25291600</v>
      </c>
      <c r="I9" s="77">
        <v>100000</v>
      </c>
      <c r="J9" s="28">
        <f t="shared" si="0"/>
        <v>25391600</v>
      </c>
      <c r="K9" s="28">
        <v>0</v>
      </c>
      <c r="L9" s="28">
        <f t="shared" si="1"/>
        <v>40896337</v>
      </c>
      <c r="M9" s="3"/>
    </row>
    <row r="10" spans="1:13" x14ac:dyDescent="0.25">
      <c r="A10" s="15"/>
      <c r="B10" s="16" t="s">
        <v>8</v>
      </c>
      <c r="C10" s="3"/>
      <c r="D10" s="27">
        <v>10604354</v>
      </c>
      <c r="E10" s="28">
        <v>393201</v>
      </c>
      <c r="F10" s="28">
        <f>D10+E10</f>
        <v>10997555</v>
      </c>
      <c r="G10" s="28">
        <v>0</v>
      </c>
      <c r="H10" s="77">
        <v>24619000</v>
      </c>
      <c r="I10" s="77">
        <v>41000</v>
      </c>
      <c r="J10" s="28">
        <f t="shared" si="0"/>
        <v>24660000</v>
      </c>
      <c r="K10" s="28">
        <v>0</v>
      </c>
      <c r="L10" s="28">
        <f t="shared" si="1"/>
        <v>35657555</v>
      </c>
      <c r="M10" s="3"/>
    </row>
    <row r="11" spans="1:13" x14ac:dyDescent="0.25">
      <c r="A11" s="15"/>
      <c r="B11" s="16" t="s">
        <v>9</v>
      </c>
      <c r="C11" s="3"/>
      <c r="D11" s="27">
        <v>5682888</v>
      </c>
      <c r="E11" s="28">
        <v>280822</v>
      </c>
      <c r="F11" s="28">
        <f t="shared" ref="F11:F22" si="2">D11+E11</f>
        <v>5963710</v>
      </c>
      <c r="G11" s="28">
        <v>0</v>
      </c>
      <c r="H11" s="77">
        <v>4008581</v>
      </c>
      <c r="I11" s="77">
        <v>0</v>
      </c>
      <c r="J11" s="28">
        <f t="shared" si="0"/>
        <v>4008581</v>
      </c>
      <c r="K11" s="28">
        <v>0</v>
      </c>
      <c r="L11" s="28">
        <f t="shared" si="1"/>
        <v>9972291</v>
      </c>
      <c r="M11" s="3"/>
    </row>
    <row r="12" spans="1:13" x14ac:dyDescent="0.25">
      <c r="A12" s="15"/>
      <c r="B12" s="16" t="s">
        <v>10</v>
      </c>
      <c r="C12" s="3"/>
      <c r="D12" s="27">
        <v>25688398</v>
      </c>
      <c r="E12" s="28">
        <v>1685016</v>
      </c>
      <c r="F12" s="28">
        <f t="shared" si="2"/>
        <v>27373414</v>
      </c>
      <c r="G12" s="28">
        <v>0</v>
      </c>
      <c r="H12" s="77">
        <v>55298000</v>
      </c>
      <c r="I12" s="77">
        <v>1000000</v>
      </c>
      <c r="J12" s="28">
        <f t="shared" si="0"/>
        <v>56298000</v>
      </c>
      <c r="K12" s="28">
        <v>0</v>
      </c>
      <c r="L12" s="28">
        <f t="shared" si="1"/>
        <v>83671414</v>
      </c>
      <c r="M12" s="3"/>
    </row>
    <row r="13" spans="1:13" x14ac:dyDescent="0.25">
      <c r="A13" s="15"/>
      <c r="B13" s="16" t="s">
        <v>11</v>
      </c>
      <c r="C13" s="3"/>
      <c r="D13" s="27">
        <v>2951984</v>
      </c>
      <c r="E13" s="28">
        <v>135868</v>
      </c>
      <c r="F13" s="28">
        <f t="shared" si="2"/>
        <v>3087852</v>
      </c>
      <c r="G13" s="28">
        <v>0</v>
      </c>
      <c r="H13" s="77">
        <v>5640138</v>
      </c>
      <c r="I13" s="77">
        <v>75000</v>
      </c>
      <c r="J13" s="28">
        <f t="shared" si="0"/>
        <v>5715138</v>
      </c>
      <c r="K13" s="28">
        <v>0</v>
      </c>
      <c r="L13" s="28">
        <f t="shared" si="1"/>
        <v>8802990</v>
      </c>
      <c r="M13" s="3"/>
    </row>
    <row r="14" spans="1:13" x14ac:dyDescent="0.25">
      <c r="A14" s="15"/>
      <c r="B14" s="16" t="s">
        <v>12</v>
      </c>
      <c r="C14" s="3"/>
      <c r="D14" s="27">
        <v>7156540</v>
      </c>
      <c r="E14" s="28">
        <v>10000000</v>
      </c>
      <c r="F14" s="28">
        <f t="shared" si="2"/>
        <v>17156540</v>
      </c>
      <c r="G14" s="28">
        <v>0</v>
      </c>
      <c r="H14" s="77">
        <v>0</v>
      </c>
      <c r="I14" s="77">
        <v>0</v>
      </c>
      <c r="J14" s="28">
        <f t="shared" si="0"/>
        <v>0</v>
      </c>
      <c r="K14" s="28">
        <v>0</v>
      </c>
      <c r="L14" s="28">
        <f t="shared" si="1"/>
        <v>17156540</v>
      </c>
      <c r="M14" s="3"/>
    </row>
    <row r="15" spans="1:13" x14ac:dyDescent="0.25">
      <c r="A15" s="15"/>
      <c r="B15" s="16" t="s">
        <v>13</v>
      </c>
      <c r="C15" s="3"/>
      <c r="D15" s="27">
        <v>1295904</v>
      </c>
      <c r="E15" s="28">
        <v>0</v>
      </c>
      <c r="F15" s="28">
        <f t="shared" si="2"/>
        <v>1295904</v>
      </c>
      <c r="G15" s="28">
        <v>0</v>
      </c>
      <c r="H15" s="77">
        <v>0</v>
      </c>
      <c r="I15" s="77">
        <v>0</v>
      </c>
      <c r="J15" s="28">
        <f t="shared" si="0"/>
        <v>0</v>
      </c>
      <c r="K15" s="28">
        <v>0</v>
      </c>
      <c r="L15" s="28">
        <f t="shared" si="1"/>
        <v>1295904</v>
      </c>
      <c r="M15" s="3"/>
    </row>
    <row r="16" spans="1:13" x14ac:dyDescent="0.25">
      <c r="A16" s="15"/>
      <c r="B16" s="16" t="s">
        <v>14</v>
      </c>
      <c r="C16" s="3"/>
      <c r="D16" s="27">
        <v>7901568</v>
      </c>
      <c r="E16" s="28">
        <v>417972</v>
      </c>
      <c r="F16" s="28">
        <f t="shared" si="2"/>
        <v>8319540</v>
      </c>
      <c r="G16" s="28">
        <v>0</v>
      </c>
      <c r="H16" s="77">
        <v>10234332</v>
      </c>
      <c r="I16" s="77">
        <v>3100</v>
      </c>
      <c r="J16" s="28">
        <f t="shared" si="0"/>
        <v>10237432</v>
      </c>
      <c r="K16" s="28">
        <v>0</v>
      </c>
      <c r="L16" s="28">
        <f t="shared" si="1"/>
        <v>18556972</v>
      </c>
      <c r="M16" s="3"/>
    </row>
    <row r="17" spans="1:13" x14ac:dyDescent="0.25">
      <c r="A17" s="15"/>
      <c r="B17" s="16" t="s">
        <v>15</v>
      </c>
      <c r="C17" s="3"/>
      <c r="D17" s="27">
        <v>10910029</v>
      </c>
      <c r="E17" s="28">
        <v>544336</v>
      </c>
      <c r="F17" s="28">
        <f t="shared" si="2"/>
        <v>11454365</v>
      </c>
      <c r="G17" s="28">
        <v>0</v>
      </c>
      <c r="H17" s="77">
        <v>8437636</v>
      </c>
      <c r="I17" s="77">
        <f>19308+3956</f>
        <v>23264</v>
      </c>
      <c r="J17" s="28">
        <f t="shared" si="0"/>
        <v>8460900</v>
      </c>
      <c r="K17" s="28">
        <v>0</v>
      </c>
      <c r="L17" s="28">
        <f t="shared" si="1"/>
        <v>19915265</v>
      </c>
      <c r="M17" s="3"/>
    </row>
    <row r="18" spans="1:13" x14ac:dyDescent="0.25">
      <c r="A18" s="15"/>
      <c r="B18" s="16" t="s">
        <v>16</v>
      </c>
      <c r="C18" s="3"/>
      <c r="D18" s="27">
        <v>3351673</v>
      </c>
      <c r="E18" s="28">
        <v>151706</v>
      </c>
      <c r="F18" s="28">
        <f t="shared" si="2"/>
        <v>3503379</v>
      </c>
      <c r="G18" s="28">
        <v>0</v>
      </c>
      <c r="H18" s="77">
        <v>4856000</v>
      </c>
      <c r="I18" s="77">
        <f>24000+2000</f>
        <v>26000</v>
      </c>
      <c r="J18" s="28">
        <f t="shared" si="0"/>
        <v>4882000</v>
      </c>
      <c r="K18" s="28">
        <v>0</v>
      </c>
      <c r="L18" s="28">
        <f t="shared" si="1"/>
        <v>8385379</v>
      </c>
      <c r="M18" s="3"/>
    </row>
    <row r="19" spans="1:13" x14ac:dyDescent="0.25">
      <c r="A19" s="15"/>
      <c r="B19" s="16" t="s">
        <v>17</v>
      </c>
      <c r="C19" s="3"/>
      <c r="D19" s="27">
        <v>4977133</v>
      </c>
      <c r="E19" s="28">
        <v>232617</v>
      </c>
      <c r="F19" s="28">
        <f t="shared" si="2"/>
        <v>5209750</v>
      </c>
      <c r="G19" s="28">
        <v>0</v>
      </c>
      <c r="H19" s="77">
        <v>5297825</v>
      </c>
      <c r="I19" s="77">
        <v>2175</v>
      </c>
      <c r="J19" s="28">
        <f t="shared" si="0"/>
        <v>5300000</v>
      </c>
      <c r="K19" s="28">
        <v>0</v>
      </c>
      <c r="L19" s="28">
        <f t="shared" si="1"/>
        <v>10509750</v>
      </c>
      <c r="M19" s="3"/>
    </row>
    <row r="20" spans="1:13" x14ac:dyDescent="0.25">
      <c r="A20" s="15"/>
      <c r="B20" s="16" t="s">
        <v>18</v>
      </c>
      <c r="C20" s="3"/>
      <c r="D20" s="27">
        <v>3285295</v>
      </c>
      <c r="E20" s="28">
        <v>138068</v>
      </c>
      <c r="F20" s="28">
        <f t="shared" si="2"/>
        <v>3423363</v>
      </c>
      <c r="G20" s="28">
        <v>0</v>
      </c>
      <c r="H20" s="77">
        <v>6015500</v>
      </c>
      <c r="I20" s="77">
        <v>0</v>
      </c>
      <c r="J20" s="28">
        <f t="shared" si="0"/>
        <v>6015500</v>
      </c>
      <c r="K20" s="28">
        <v>0</v>
      </c>
      <c r="L20" s="28">
        <f t="shared" si="1"/>
        <v>9438863</v>
      </c>
      <c r="M20" s="3"/>
    </row>
    <row r="21" spans="1:13" x14ac:dyDescent="0.25">
      <c r="A21" s="15"/>
      <c r="B21" s="16" t="s">
        <v>19</v>
      </c>
      <c r="C21" s="3"/>
      <c r="D21" s="27">
        <v>12523867</v>
      </c>
      <c r="E21" s="28">
        <v>677184</v>
      </c>
      <c r="F21" s="28">
        <f t="shared" si="2"/>
        <v>13201051</v>
      </c>
      <c r="G21" s="28">
        <v>0</v>
      </c>
      <c r="H21" s="77">
        <v>15987500</v>
      </c>
      <c r="I21" s="77">
        <f>10000+20000</f>
        <v>30000</v>
      </c>
      <c r="J21" s="28">
        <f t="shared" si="0"/>
        <v>16017500</v>
      </c>
      <c r="K21" s="28">
        <v>0</v>
      </c>
      <c r="L21" s="28">
        <f t="shared" si="1"/>
        <v>29218551</v>
      </c>
      <c r="M21" s="3"/>
    </row>
    <row r="22" spans="1:13" x14ac:dyDescent="0.25">
      <c r="A22" s="15"/>
      <c r="B22" s="16" t="s">
        <v>20</v>
      </c>
      <c r="C22" s="3"/>
      <c r="D22" s="27">
        <v>6405524</v>
      </c>
      <c r="E22" s="28">
        <v>681316</v>
      </c>
      <c r="F22" s="28">
        <f t="shared" si="2"/>
        <v>7086840</v>
      </c>
      <c r="G22" s="28">
        <v>0</v>
      </c>
      <c r="H22" s="77">
        <v>7538000</v>
      </c>
      <c r="I22" s="77">
        <v>45000</v>
      </c>
      <c r="J22" s="28">
        <f t="shared" si="0"/>
        <v>7583000</v>
      </c>
      <c r="K22" s="28">
        <v>0</v>
      </c>
      <c r="L22" s="28">
        <f t="shared" si="1"/>
        <v>14669840</v>
      </c>
      <c r="M22" s="3"/>
    </row>
    <row r="23" spans="1:13" x14ac:dyDescent="0.25">
      <c r="A23" s="17" t="s">
        <v>21</v>
      </c>
      <c r="B23" s="18"/>
      <c r="C23" s="6"/>
      <c r="D23" s="39">
        <f t="shared" ref="D23:K23" si="3">SUM(D9:D22)</f>
        <v>117459669</v>
      </c>
      <c r="E23" s="39">
        <f t="shared" si="3"/>
        <v>16118331</v>
      </c>
      <c r="F23" s="39">
        <f t="shared" si="3"/>
        <v>133578000</v>
      </c>
      <c r="G23" s="39">
        <f t="shared" si="3"/>
        <v>0</v>
      </c>
      <c r="H23" s="74">
        <f>SUM(H9:H22)</f>
        <v>173224112</v>
      </c>
      <c r="I23" s="74">
        <f>SUM(I9:I22)</f>
        <v>1345539</v>
      </c>
      <c r="J23" s="39">
        <f t="shared" si="3"/>
        <v>174569651</v>
      </c>
      <c r="K23" s="39">
        <f t="shared" si="3"/>
        <v>0</v>
      </c>
      <c r="L23" s="39">
        <f t="shared" si="1"/>
        <v>308147651</v>
      </c>
      <c r="M23" s="6"/>
    </row>
    <row r="24" spans="1:13" x14ac:dyDescent="0.25">
      <c r="A24" s="14" t="s">
        <v>22</v>
      </c>
      <c r="B24" s="14" t="s">
        <v>23</v>
      </c>
      <c r="C24" s="3"/>
      <c r="D24" s="27">
        <v>0</v>
      </c>
      <c r="E24" s="28">
        <v>0</v>
      </c>
      <c r="F24" s="28">
        <f t="shared" ref="F24:F35" si="4">D24+E24</f>
        <v>0</v>
      </c>
      <c r="G24" s="28">
        <v>0</v>
      </c>
      <c r="H24" s="77">
        <v>0</v>
      </c>
      <c r="I24" s="77">
        <v>0</v>
      </c>
      <c r="J24" s="28">
        <f t="shared" ref="J24:J35" si="5">H24+I24</f>
        <v>0</v>
      </c>
      <c r="K24" s="28">
        <v>0</v>
      </c>
      <c r="L24" s="28">
        <f t="shared" si="1"/>
        <v>0</v>
      </c>
      <c r="M24" s="3"/>
    </row>
    <row r="25" spans="1:13" x14ac:dyDescent="0.25">
      <c r="A25" s="15"/>
      <c r="B25" s="16" t="s">
        <v>24</v>
      </c>
      <c r="C25" s="3"/>
      <c r="D25" s="27">
        <v>0</v>
      </c>
      <c r="E25" s="28">
        <v>0</v>
      </c>
      <c r="F25" s="28">
        <f t="shared" si="4"/>
        <v>0</v>
      </c>
      <c r="G25" s="28">
        <v>0</v>
      </c>
      <c r="H25" s="77">
        <v>0</v>
      </c>
      <c r="I25" s="77">
        <v>0</v>
      </c>
      <c r="J25" s="28">
        <f t="shared" si="5"/>
        <v>0</v>
      </c>
      <c r="K25" s="28">
        <v>0</v>
      </c>
      <c r="L25" s="28">
        <f t="shared" si="1"/>
        <v>0</v>
      </c>
      <c r="M25" s="3"/>
    </row>
    <row r="26" spans="1:13" x14ac:dyDescent="0.25">
      <c r="A26" s="15"/>
      <c r="B26" s="16" t="s">
        <v>25</v>
      </c>
      <c r="C26" s="3"/>
      <c r="D26" s="27">
        <v>64283394</v>
      </c>
      <c r="E26" s="28">
        <v>5228825</v>
      </c>
      <c r="F26" s="28">
        <f t="shared" si="4"/>
        <v>69512219</v>
      </c>
      <c r="G26" s="28">
        <v>0</v>
      </c>
      <c r="H26" s="77">
        <v>0</v>
      </c>
      <c r="I26" s="77">
        <v>6807967</v>
      </c>
      <c r="J26" s="28">
        <f t="shared" si="5"/>
        <v>6807967</v>
      </c>
      <c r="K26" s="28">
        <v>13018275</v>
      </c>
      <c r="L26" s="28">
        <f t="shared" si="1"/>
        <v>89338461</v>
      </c>
      <c r="M26" s="3"/>
    </row>
    <row r="27" spans="1:13" x14ac:dyDescent="0.25">
      <c r="A27" s="15"/>
      <c r="B27" s="16" t="s">
        <v>26</v>
      </c>
      <c r="C27" s="3"/>
      <c r="D27" s="27">
        <v>5241531</v>
      </c>
      <c r="E27" s="28">
        <v>277923</v>
      </c>
      <c r="F27" s="28">
        <f t="shared" si="4"/>
        <v>5519454</v>
      </c>
      <c r="G27" s="28">
        <v>0</v>
      </c>
      <c r="H27" s="77">
        <v>10650851</v>
      </c>
      <c r="I27" s="77">
        <v>611999</v>
      </c>
      <c r="J27" s="28">
        <f t="shared" si="5"/>
        <v>11262850</v>
      </c>
      <c r="K27" s="28">
        <v>0</v>
      </c>
      <c r="L27" s="28">
        <f t="shared" si="1"/>
        <v>16782304</v>
      </c>
      <c r="M27" s="3"/>
    </row>
    <row r="28" spans="1:13" x14ac:dyDescent="0.25">
      <c r="A28" s="15"/>
      <c r="B28" s="16" t="s">
        <v>27</v>
      </c>
      <c r="C28" s="3"/>
      <c r="D28" s="27">
        <v>107549958</v>
      </c>
      <c r="E28" s="28">
        <v>13222744</v>
      </c>
      <c r="F28" s="28">
        <f t="shared" si="4"/>
        <v>120772702</v>
      </c>
      <c r="G28" s="28">
        <v>7073880</v>
      </c>
      <c r="H28" s="77">
        <v>331462018</v>
      </c>
      <c r="I28" s="77">
        <f>986583+15355072</f>
        <v>16341655</v>
      </c>
      <c r="J28" s="28">
        <f t="shared" si="5"/>
        <v>347803673</v>
      </c>
      <c r="K28" s="28">
        <v>0</v>
      </c>
      <c r="L28" s="28">
        <f t="shared" si="1"/>
        <v>475650255</v>
      </c>
      <c r="M28" s="3"/>
    </row>
    <row r="29" spans="1:13" x14ac:dyDescent="0.25">
      <c r="A29" s="15"/>
      <c r="B29" s="16" t="s">
        <v>28</v>
      </c>
      <c r="C29" s="3"/>
      <c r="D29" s="27">
        <v>3495054</v>
      </c>
      <c r="E29" s="28">
        <v>0</v>
      </c>
      <c r="F29" s="28">
        <f t="shared" si="4"/>
        <v>3495054</v>
      </c>
      <c r="G29" s="28">
        <v>0</v>
      </c>
      <c r="H29" s="77">
        <v>0</v>
      </c>
      <c r="I29" s="77">
        <v>0</v>
      </c>
      <c r="J29" s="28">
        <f t="shared" si="5"/>
        <v>0</v>
      </c>
      <c r="K29" s="28">
        <v>0</v>
      </c>
      <c r="L29" s="28">
        <f t="shared" si="1"/>
        <v>3495054</v>
      </c>
      <c r="M29" s="3"/>
    </row>
    <row r="30" spans="1:13" x14ac:dyDescent="0.25">
      <c r="A30" s="15"/>
      <c r="B30" s="16" t="s">
        <v>29</v>
      </c>
      <c r="C30" s="3"/>
      <c r="D30" s="27">
        <v>4666525</v>
      </c>
      <c r="E30" s="28">
        <v>258678</v>
      </c>
      <c r="F30" s="28">
        <f t="shared" si="4"/>
        <v>4925203</v>
      </c>
      <c r="G30" s="28">
        <v>0</v>
      </c>
      <c r="H30" s="77">
        <v>7803513</v>
      </c>
      <c r="I30" s="77">
        <v>78000</v>
      </c>
      <c r="J30" s="28">
        <f t="shared" si="5"/>
        <v>7881513</v>
      </c>
      <c r="K30" s="28">
        <v>0</v>
      </c>
      <c r="L30" s="28">
        <f t="shared" si="1"/>
        <v>12806716</v>
      </c>
      <c r="M30" s="3"/>
    </row>
    <row r="31" spans="1:13" x14ac:dyDescent="0.25">
      <c r="A31" s="15"/>
      <c r="B31" s="16" t="s">
        <v>30</v>
      </c>
      <c r="C31" s="3"/>
      <c r="D31" s="27">
        <v>70183496</v>
      </c>
      <c r="E31" s="28">
        <v>20394123</v>
      </c>
      <c r="F31" s="28">
        <f t="shared" si="4"/>
        <v>90577619</v>
      </c>
      <c r="G31" s="28">
        <v>0</v>
      </c>
      <c r="H31" s="77">
        <v>45205278</v>
      </c>
      <c r="I31" s="77">
        <f>1175510+35037202</f>
        <v>36212712</v>
      </c>
      <c r="J31" s="28">
        <f t="shared" si="5"/>
        <v>81417990</v>
      </c>
      <c r="K31" s="28">
        <v>0</v>
      </c>
      <c r="L31" s="28">
        <f t="shared" si="1"/>
        <v>171995609</v>
      </c>
      <c r="M31" s="3"/>
    </row>
    <row r="32" spans="1:13" x14ac:dyDescent="0.25">
      <c r="A32" s="15"/>
      <c r="B32" s="16" t="s">
        <v>31</v>
      </c>
      <c r="C32" s="3"/>
      <c r="D32" s="27">
        <v>37346058</v>
      </c>
      <c r="E32" s="28">
        <v>9049579</v>
      </c>
      <c r="F32" s="28">
        <f t="shared" si="4"/>
        <v>46395637</v>
      </c>
      <c r="G32" s="28">
        <v>8000000</v>
      </c>
      <c r="H32" s="77">
        <v>15090576</v>
      </c>
      <c r="I32" s="77">
        <f>20400+66322798</f>
        <v>66343198</v>
      </c>
      <c r="J32" s="28">
        <f t="shared" si="5"/>
        <v>81433774</v>
      </c>
      <c r="K32" s="28">
        <v>0</v>
      </c>
      <c r="L32" s="28">
        <f t="shared" si="1"/>
        <v>135829411</v>
      </c>
      <c r="M32" s="3"/>
    </row>
    <row r="33" spans="1:13" x14ac:dyDescent="0.25">
      <c r="A33" s="15"/>
      <c r="B33" s="16" t="s">
        <v>32</v>
      </c>
      <c r="C33" s="3"/>
      <c r="D33" s="27">
        <v>7189227</v>
      </c>
      <c r="E33" s="28">
        <v>654142</v>
      </c>
      <c r="F33" s="28">
        <f t="shared" si="4"/>
        <v>7843369</v>
      </c>
      <c r="G33" s="28">
        <v>0</v>
      </c>
      <c r="H33" s="77">
        <v>23124724</v>
      </c>
      <c r="I33" s="77">
        <f>14500+99500</f>
        <v>114000</v>
      </c>
      <c r="J33" s="28">
        <f t="shared" si="5"/>
        <v>23238724</v>
      </c>
      <c r="K33" s="28">
        <v>0</v>
      </c>
      <c r="L33" s="28">
        <f t="shared" si="1"/>
        <v>31082093</v>
      </c>
      <c r="M33" s="3"/>
    </row>
    <row r="34" spans="1:13" x14ac:dyDescent="0.25">
      <c r="A34" s="15"/>
      <c r="B34" s="16" t="s">
        <v>33</v>
      </c>
      <c r="C34" s="3"/>
      <c r="D34" s="27">
        <v>4634889</v>
      </c>
      <c r="E34" s="28">
        <v>413183</v>
      </c>
      <c r="F34" s="28">
        <f t="shared" si="4"/>
        <v>5048072</v>
      </c>
      <c r="G34" s="28">
        <v>0</v>
      </c>
      <c r="H34" s="77">
        <v>19482874</v>
      </c>
      <c r="I34" s="77">
        <f>11778+115861</f>
        <v>127639</v>
      </c>
      <c r="J34" s="28">
        <f t="shared" si="5"/>
        <v>19610513</v>
      </c>
      <c r="K34" s="28">
        <v>0</v>
      </c>
      <c r="L34" s="28">
        <f t="shared" si="1"/>
        <v>24658585</v>
      </c>
      <c r="M34" s="3"/>
    </row>
    <row r="35" spans="1:13" x14ac:dyDescent="0.25">
      <c r="A35" s="15"/>
      <c r="B35" s="16" t="s">
        <v>34</v>
      </c>
      <c r="C35" s="3"/>
      <c r="D35" s="27">
        <v>12352289</v>
      </c>
      <c r="E35" s="28">
        <v>97556</v>
      </c>
      <c r="F35" s="28">
        <f t="shared" si="4"/>
        <v>12449845</v>
      </c>
      <c r="G35" s="28">
        <v>0</v>
      </c>
      <c r="H35" s="77">
        <v>0</v>
      </c>
      <c r="I35" s="77">
        <v>825561</v>
      </c>
      <c r="J35" s="28">
        <f t="shared" si="5"/>
        <v>825561</v>
      </c>
      <c r="K35" s="28">
        <v>0</v>
      </c>
      <c r="L35" s="28">
        <f t="shared" si="1"/>
        <v>13275406</v>
      </c>
      <c r="M35" s="3"/>
    </row>
    <row r="36" spans="1:13" ht="14.25" customHeight="1" x14ac:dyDescent="0.25">
      <c r="A36" s="17" t="s">
        <v>35</v>
      </c>
      <c r="B36" s="18"/>
      <c r="C36" s="6"/>
      <c r="D36" s="39">
        <f t="shared" ref="D36:K36" si="6">SUM(D24:D35)</f>
        <v>316942421</v>
      </c>
      <c r="E36" s="39">
        <f t="shared" si="6"/>
        <v>49596753</v>
      </c>
      <c r="F36" s="39">
        <f t="shared" si="6"/>
        <v>366539174</v>
      </c>
      <c r="G36" s="39">
        <f t="shared" si="6"/>
        <v>15073880</v>
      </c>
      <c r="H36" s="74">
        <f>SUM(H24:H35)</f>
        <v>452819834</v>
      </c>
      <c r="I36" s="74">
        <f>SUM(I24:I35)</f>
        <v>127462731</v>
      </c>
      <c r="J36" s="39">
        <f t="shared" si="6"/>
        <v>580282565</v>
      </c>
      <c r="K36" s="39">
        <f t="shared" si="6"/>
        <v>13018275</v>
      </c>
      <c r="L36" s="39">
        <f t="shared" si="1"/>
        <v>974913894</v>
      </c>
      <c r="M36" s="6"/>
    </row>
    <row r="37" spans="1:13" x14ac:dyDescent="0.25">
      <c r="A37" s="14" t="s">
        <v>36</v>
      </c>
      <c r="B37" s="14" t="s">
        <v>37</v>
      </c>
      <c r="C37" s="3"/>
      <c r="D37" s="27">
        <v>2407371</v>
      </c>
      <c r="E37" s="28">
        <v>1807593</v>
      </c>
      <c r="F37" s="28">
        <f t="shared" ref="F37:F42" si="7">D37+E37</f>
        <v>4214964</v>
      </c>
      <c r="G37" s="28">
        <v>0</v>
      </c>
      <c r="H37" s="77">
        <v>0</v>
      </c>
      <c r="I37" s="77">
        <v>0</v>
      </c>
      <c r="J37" s="28">
        <f t="shared" ref="J37:J42" si="8">H37+I37</f>
        <v>0</v>
      </c>
      <c r="K37" s="28">
        <v>3654209</v>
      </c>
      <c r="L37" s="28">
        <f t="shared" si="1"/>
        <v>7869173</v>
      </c>
      <c r="M37" s="3"/>
    </row>
    <row r="38" spans="1:13" x14ac:dyDescent="0.25">
      <c r="A38" s="15"/>
      <c r="B38" s="16" t="s">
        <v>38</v>
      </c>
      <c r="C38" s="3"/>
      <c r="D38" s="27">
        <v>21217922</v>
      </c>
      <c r="E38" s="28">
        <v>1921942</v>
      </c>
      <c r="F38" s="28">
        <f t="shared" si="7"/>
        <v>23139864</v>
      </c>
      <c r="G38" s="28">
        <v>2696980</v>
      </c>
      <c r="H38" s="77">
        <v>37901436</v>
      </c>
      <c r="I38" s="77">
        <v>6648926</v>
      </c>
      <c r="J38" s="28">
        <f t="shared" si="8"/>
        <v>44550362</v>
      </c>
      <c r="K38" s="28">
        <v>0</v>
      </c>
      <c r="L38" s="28">
        <f t="shared" ref="L38:L56" si="9">F38+G38+J38+K38</f>
        <v>70387206</v>
      </c>
      <c r="M38" s="3"/>
    </row>
    <row r="39" spans="1:13" x14ac:dyDescent="0.25">
      <c r="A39" s="15"/>
      <c r="B39" s="16" t="s">
        <v>39</v>
      </c>
      <c r="C39" s="3"/>
      <c r="D39" s="27">
        <v>4860662</v>
      </c>
      <c r="E39" s="28">
        <v>209821</v>
      </c>
      <c r="F39" s="28">
        <f t="shared" si="7"/>
        <v>5070483</v>
      </c>
      <c r="G39" s="28">
        <v>0</v>
      </c>
      <c r="H39" s="77">
        <v>8156939</v>
      </c>
      <c r="I39" s="77">
        <v>50000</v>
      </c>
      <c r="J39" s="28">
        <f t="shared" si="8"/>
        <v>8206939</v>
      </c>
      <c r="K39" s="28">
        <v>0</v>
      </c>
      <c r="L39" s="28">
        <f t="shared" si="9"/>
        <v>13277422</v>
      </c>
      <c r="M39" s="3"/>
    </row>
    <row r="40" spans="1:13" x14ac:dyDescent="0.25">
      <c r="A40" s="15"/>
      <c r="B40" s="16" t="s">
        <v>40</v>
      </c>
      <c r="C40" s="3"/>
      <c r="D40" s="27">
        <v>6388241</v>
      </c>
      <c r="E40" s="28">
        <v>599363</v>
      </c>
      <c r="F40" s="28">
        <f t="shared" si="7"/>
        <v>6987604</v>
      </c>
      <c r="G40" s="28">
        <v>0</v>
      </c>
      <c r="H40" s="77">
        <v>11315135</v>
      </c>
      <c r="I40" s="77">
        <v>90000</v>
      </c>
      <c r="J40" s="28">
        <f t="shared" si="8"/>
        <v>11405135</v>
      </c>
      <c r="K40" s="28">
        <v>0</v>
      </c>
      <c r="L40" s="28">
        <f t="shared" si="9"/>
        <v>18392739</v>
      </c>
      <c r="M40" s="3"/>
    </row>
    <row r="41" spans="1:13" x14ac:dyDescent="0.25">
      <c r="A41" s="15"/>
      <c r="B41" s="16" t="s">
        <v>41</v>
      </c>
      <c r="C41" s="3"/>
      <c r="D41" s="27">
        <v>5184241</v>
      </c>
      <c r="E41" s="28">
        <v>196619</v>
      </c>
      <c r="F41" s="28">
        <f t="shared" si="7"/>
        <v>5380860</v>
      </c>
      <c r="G41" s="28">
        <v>0</v>
      </c>
      <c r="H41" s="77">
        <v>7219818</v>
      </c>
      <c r="I41" s="77">
        <v>131570</v>
      </c>
      <c r="J41" s="28">
        <f t="shared" si="8"/>
        <v>7351388</v>
      </c>
      <c r="K41" s="28">
        <v>0</v>
      </c>
      <c r="L41" s="28">
        <f t="shared" si="9"/>
        <v>12732248</v>
      </c>
      <c r="M41" s="3"/>
    </row>
    <row r="42" spans="1:13" x14ac:dyDescent="0.25">
      <c r="A42" s="15"/>
      <c r="B42" s="16" t="s">
        <v>42</v>
      </c>
      <c r="C42" s="3"/>
      <c r="D42" s="27">
        <v>7047340</v>
      </c>
      <c r="E42" s="28">
        <v>0</v>
      </c>
      <c r="F42" s="28">
        <f t="shared" si="7"/>
        <v>7047340</v>
      </c>
      <c r="G42" s="28">
        <v>0</v>
      </c>
      <c r="H42" s="77">
        <v>0</v>
      </c>
      <c r="I42" s="77">
        <v>0</v>
      </c>
      <c r="J42" s="28">
        <f t="shared" si="8"/>
        <v>0</v>
      </c>
      <c r="K42" s="28">
        <v>0</v>
      </c>
      <c r="L42" s="28">
        <f t="shared" si="9"/>
        <v>7047340</v>
      </c>
      <c r="M42" s="3"/>
    </row>
    <row r="43" spans="1:13" x14ac:dyDescent="0.25">
      <c r="A43" s="17" t="s">
        <v>43</v>
      </c>
      <c r="B43" s="18"/>
      <c r="C43" s="6"/>
      <c r="D43" s="42">
        <f t="shared" ref="D43:K43" si="10">SUM(D37:D42)</f>
        <v>47105777</v>
      </c>
      <c r="E43" s="42">
        <f t="shared" si="10"/>
        <v>4735338</v>
      </c>
      <c r="F43" s="42">
        <f t="shared" si="10"/>
        <v>51841115</v>
      </c>
      <c r="G43" s="42">
        <f t="shared" si="10"/>
        <v>2696980</v>
      </c>
      <c r="H43" s="78">
        <f>SUM(H37:H42)</f>
        <v>64593328</v>
      </c>
      <c r="I43" s="78">
        <f>SUM(I37:I42)</f>
        <v>6920496</v>
      </c>
      <c r="J43" s="42">
        <f t="shared" si="10"/>
        <v>71513824</v>
      </c>
      <c r="K43" s="42">
        <f t="shared" si="10"/>
        <v>3654209</v>
      </c>
      <c r="L43" s="39">
        <f t="shared" si="9"/>
        <v>129706128</v>
      </c>
      <c r="M43" s="6"/>
    </row>
    <row r="44" spans="1:13" x14ac:dyDescent="0.25">
      <c r="A44" s="14" t="s">
        <v>44</v>
      </c>
      <c r="B44" s="14" t="s">
        <v>45</v>
      </c>
      <c r="C44" s="3"/>
      <c r="D44" s="27">
        <v>13808347</v>
      </c>
      <c r="E44" s="28">
        <v>1081373</v>
      </c>
      <c r="F44" s="28">
        <f t="shared" ref="F44:F53" si="11">D44+E44</f>
        <v>14889720</v>
      </c>
      <c r="G44" s="28">
        <v>0</v>
      </c>
      <c r="H44" s="77">
        <v>34115479</v>
      </c>
      <c r="I44" s="77">
        <v>854564</v>
      </c>
      <c r="J44" s="28">
        <f t="shared" ref="J44:J53" si="12">H44+I44</f>
        <v>34970043</v>
      </c>
      <c r="K44" s="28">
        <v>0</v>
      </c>
      <c r="L44" s="28">
        <f t="shared" si="9"/>
        <v>49859763</v>
      </c>
      <c r="M44" s="3"/>
    </row>
    <row r="45" spans="1:13" x14ac:dyDescent="0.25">
      <c r="A45" s="15"/>
      <c r="B45" s="16" t="s">
        <v>46</v>
      </c>
      <c r="C45" s="3"/>
      <c r="D45" s="27">
        <v>27621895</v>
      </c>
      <c r="E45" s="28">
        <v>2046724</v>
      </c>
      <c r="F45" s="28">
        <f t="shared" si="11"/>
        <v>29668619</v>
      </c>
      <c r="G45" s="28">
        <v>0</v>
      </c>
      <c r="H45" s="77">
        <v>69842800</v>
      </c>
      <c r="I45" s="77">
        <f>93800+3819399</f>
        <v>3913199</v>
      </c>
      <c r="J45" s="28">
        <f t="shared" si="12"/>
        <v>73755999</v>
      </c>
      <c r="K45" s="28">
        <v>0</v>
      </c>
      <c r="L45" s="28">
        <f t="shared" si="9"/>
        <v>103424618</v>
      </c>
      <c r="M45" s="3"/>
    </row>
    <row r="46" spans="1:13" x14ac:dyDescent="0.25">
      <c r="A46" s="15"/>
      <c r="B46" s="16" t="s">
        <v>47</v>
      </c>
      <c r="C46" s="3"/>
      <c r="D46" s="27">
        <v>17477556</v>
      </c>
      <c r="E46" s="28">
        <v>1754090</v>
      </c>
      <c r="F46" s="28">
        <f t="shared" si="11"/>
        <v>19231646</v>
      </c>
      <c r="G46" s="28">
        <v>0</v>
      </c>
      <c r="H46" s="77">
        <v>43227621</v>
      </c>
      <c r="I46" s="77">
        <v>461499</v>
      </c>
      <c r="J46" s="28">
        <f t="shared" si="12"/>
        <v>43689120</v>
      </c>
      <c r="K46" s="28">
        <v>0</v>
      </c>
      <c r="L46" s="28">
        <f t="shared" si="9"/>
        <v>62920766</v>
      </c>
      <c r="M46" s="3"/>
    </row>
    <row r="47" spans="1:13" x14ac:dyDescent="0.25">
      <c r="A47" s="15"/>
      <c r="B47" s="16" t="s">
        <v>48</v>
      </c>
      <c r="C47" s="3"/>
      <c r="D47" s="27">
        <v>14911317</v>
      </c>
      <c r="E47" s="28">
        <v>1158891</v>
      </c>
      <c r="F47" s="28">
        <f t="shared" si="11"/>
        <v>16070208</v>
      </c>
      <c r="G47" s="28">
        <v>0</v>
      </c>
      <c r="H47" s="77">
        <v>35917014</v>
      </c>
      <c r="I47" s="77">
        <f>37174+110000+2819557</f>
        <v>2966731</v>
      </c>
      <c r="J47" s="28">
        <f t="shared" si="12"/>
        <v>38883745</v>
      </c>
      <c r="K47" s="28">
        <v>0</v>
      </c>
      <c r="L47" s="28">
        <f t="shared" si="9"/>
        <v>54953953</v>
      </c>
      <c r="M47" s="3"/>
    </row>
    <row r="48" spans="1:13" x14ac:dyDescent="0.25">
      <c r="A48" s="15"/>
      <c r="B48" s="16" t="s">
        <v>49</v>
      </c>
      <c r="C48" s="3"/>
      <c r="D48" s="27">
        <v>20344577</v>
      </c>
      <c r="E48" s="28">
        <v>1351963</v>
      </c>
      <c r="F48" s="28">
        <f t="shared" si="11"/>
        <v>21696540</v>
      </c>
      <c r="G48" s="28">
        <v>74923</v>
      </c>
      <c r="H48" s="77">
        <v>49299528</v>
      </c>
      <c r="I48" s="77">
        <f>47116+404483</f>
        <v>451599</v>
      </c>
      <c r="J48" s="28">
        <f t="shared" si="12"/>
        <v>49751127</v>
      </c>
      <c r="K48" s="28">
        <v>0</v>
      </c>
      <c r="L48" s="28">
        <f t="shared" si="9"/>
        <v>71522590</v>
      </c>
      <c r="M48" s="3"/>
    </row>
    <row r="49" spans="1:14" x14ac:dyDescent="0.25">
      <c r="A49" s="15"/>
      <c r="B49" s="16" t="s">
        <v>50</v>
      </c>
      <c r="C49" s="3"/>
      <c r="D49" s="27">
        <v>29435295</v>
      </c>
      <c r="E49" s="28">
        <v>2142356</v>
      </c>
      <c r="F49" s="28">
        <f t="shared" si="11"/>
        <v>31577651</v>
      </c>
      <c r="G49" s="28">
        <v>0</v>
      </c>
      <c r="H49" s="77">
        <v>75082500</v>
      </c>
      <c r="I49" s="77">
        <f>491663+6661832</f>
        <v>7153495</v>
      </c>
      <c r="J49" s="28">
        <f t="shared" si="12"/>
        <v>82235995</v>
      </c>
      <c r="K49" s="28">
        <v>0</v>
      </c>
      <c r="L49" s="28">
        <f t="shared" si="9"/>
        <v>113813646</v>
      </c>
      <c r="M49" s="3"/>
    </row>
    <row r="50" spans="1:14" x14ac:dyDescent="0.25">
      <c r="A50" s="15"/>
      <c r="B50" s="16" t="s">
        <v>51</v>
      </c>
      <c r="C50" s="3"/>
      <c r="D50" s="27">
        <v>1034112</v>
      </c>
      <c r="E50" s="28">
        <v>0</v>
      </c>
      <c r="F50" s="28">
        <f t="shared" si="11"/>
        <v>1034112</v>
      </c>
      <c r="G50" s="28">
        <v>0</v>
      </c>
      <c r="H50" s="77">
        <v>0</v>
      </c>
      <c r="I50" s="77">
        <v>2214000</v>
      </c>
      <c r="J50" s="28">
        <f t="shared" si="12"/>
        <v>2214000</v>
      </c>
      <c r="K50" s="28">
        <v>0</v>
      </c>
      <c r="L50" s="28">
        <f t="shared" si="9"/>
        <v>3248112</v>
      </c>
      <c r="M50" s="3"/>
    </row>
    <row r="51" spans="1:14" x14ac:dyDescent="0.25">
      <c r="A51" s="15"/>
      <c r="B51" s="16" t="s">
        <v>52</v>
      </c>
      <c r="C51" s="3"/>
      <c r="D51" s="27">
        <v>44831995</v>
      </c>
      <c r="E51" s="28">
        <v>2759665</v>
      </c>
      <c r="F51" s="28">
        <f t="shared" si="11"/>
        <v>47591660</v>
      </c>
      <c r="G51" s="28">
        <v>0</v>
      </c>
      <c r="H51" s="77">
        <v>86683572</v>
      </c>
      <c r="I51" s="77">
        <v>2845289</v>
      </c>
      <c r="J51" s="28">
        <f t="shared" si="12"/>
        <v>89528861</v>
      </c>
      <c r="K51" s="28">
        <v>0</v>
      </c>
      <c r="L51" s="28">
        <f t="shared" si="9"/>
        <v>137120521</v>
      </c>
      <c r="M51" s="3"/>
    </row>
    <row r="52" spans="1:14" x14ac:dyDescent="0.25">
      <c r="A52" s="15"/>
      <c r="B52" s="16" t="s">
        <v>53</v>
      </c>
      <c r="C52" s="3"/>
      <c r="D52" s="27">
        <v>24405667</v>
      </c>
      <c r="E52" s="28">
        <v>1953152</v>
      </c>
      <c r="F52" s="28">
        <f t="shared" si="11"/>
        <v>26358819</v>
      </c>
      <c r="G52" s="28">
        <v>0</v>
      </c>
      <c r="H52" s="77">
        <v>47172375</v>
      </c>
      <c r="I52" s="77">
        <f>66250+970000+439746</f>
        <v>1475996</v>
      </c>
      <c r="J52" s="28">
        <f t="shared" si="12"/>
        <v>48648371</v>
      </c>
      <c r="K52" s="28">
        <v>0</v>
      </c>
      <c r="L52" s="28">
        <f t="shared" si="9"/>
        <v>75007190</v>
      </c>
      <c r="M52" s="3"/>
    </row>
    <row r="53" spans="1:14" x14ac:dyDescent="0.25">
      <c r="A53" s="15"/>
      <c r="B53" s="16" t="s">
        <v>54</v>
      </c>
      <c r="C53" s="3"/>
      <c r="D53" s="27">
        <v>30059616</v>
      </c>
      <c r="E53" s="28">
        <v>2648440</v>
      </c>
      <c r="F53" s="28">
        <f t="shared" si="11"/>
        <v>32708056</v>
      </c>
      <c r="G53" s="28">
        <v>0</v>
      </c>
      <c r="H53" s="77">
        <v>64832634</v>
      </c>
      <c r="I53" s="77">
        <f>535885+4377623</f>
        <v>4913508</v>
      </c>
      <c r="J53" s="28">
        <f t="shared" si="12"/>
        <v>69746142</v>
      </c>
      <c r="K53" s="28">
        <v>0</v>
      </c>
      <c r="L53" s="28">
        <f t="shared" si="9"/>
        <v>102454198</v>
      </c>
      <c r="M53" s="3"/>
    </row>
    <row r="54" spans="1:14" x14ac:dyDescent="0.25">
      <c r="A54" s="12" t="s">
        <v>55</v>
      </c>
      <c r="B54" s="13"/>
      <c r="C54" s="6"/>
      <c r="D54" s="39">
        <f t="shared" ref="D54:K54" si="13">SUM(D44:D53)</f>
        <v>223930377</v>
      </c>
      <c r="E54" s="39">
        <f t="shared" si="13"/>
        <v>16896654</v>
      </c>
      <c r="F54" s="39">
        <f t="shared" si="13"/>
        <v>240827031</v>
      </c>
      <c r="G54" s="39">
        <f t="shared" si="13"/>
        <v>74923</v>
      </c>
      <c r="H54" s="74">
        <f>SUM(H44:H53)</f>
        <v>506173523</v>
      </c>
      <c r="I54" s="74">
        <f>SUM(I44:I53)</f>
        <v>27249880</v>
      </c>
      <c r="J54" s="39">
        <f t="shared" si="13"/>
        <v>533423403</v>
      </c>
      <c r="K54" s="39">
        <f t="shared" si="13"/>
        <v>0</v>
      </c>
      <c r="L54" s="39">
        <f t="shared" si="9"/>
        <v>774325357</v>
      </c>
      <c r="M54" s="6"/>
    </row>
    <row r="55" spans="1:14" x14ac:dyDescent="0.25">
      <c r="A55" s="12" t="s">
        <v>56</v>
      </c>
      <c r="B55" s="13"/>
      <c r="C55" s="6"/>
      <c r="D55" s="53">
        <f t="shared" ref="D55:K55" si="14">D54+D43+D36+D23+D8+D7+D6</f>
        <v>935011852</v>
      </c>
      <c r="E55" s="53">
        <f t="shared" si="14"/>
        <v>196171912</v>
      </c>
      <c r="F55" s="39">
        <f t="shared" si="14"/>
        <v>1131183764</v>
      </c>
      <c r="G55" s="53">
        <f t="shared" si="14"/>
        <v>33798908</v>
      </c>
      <c r="H55" s="79">
        <f>H54+H43+H36+H23+H8+H7+H6</f>
        <v>1196810797</v>
      </c>
      <c r="I55" s="79">
        <f>I54+I43+I36+I23+I8+I7+I6</f>
        <v>170882423</v>
      </c>
      <c r="J55" s="39">
        <f t="shared" si="14"/>
        <v>1367693220</v>
      </c>
      <c r="K55" s="53">
        <f t="shared" si="14"/>
        <v>101532604</v>
      </c>
      <c r="L55" s="39">
        <f t="shared" si="9"/>
        <v>2634208496</v>
      </c>
      <c r="M55" s="6"/>
    </row>
    <row r="56" spans="1:14" s="32" customFormat="1" x14ac:dyDescent="0.25">
      <c r="A56" s="38" t="s">
        <v>63</v>
      </c>
      <c r="B56" s="38"/>
      <c r="C56" s="40"/>
      <c r="D56" s="39">
        <f>D55-D7-D24-D25-0</f>
        <v>738771377</v>
      </c>
      <c r="E56" s="39">
        <f>E55-E7-E24-E25-0</f>
        <v>116017232</v>
      </c>
      <c r="F56" s="41">
        <f>D56+E56</f>
        <v>854788609</v>
      </c>
      <c r="G56" s="39">
        <f>G55-G7-G24-G25-0</f>
        <v>33074608</v>
      </c>
      <c r="H56" s="74">
        <f>H55-H7-H24-H25-0</f>
        <v>1196810797</v>
      </c>
      <c r="I56" s="74">
        <f>I55-I7-I24-I25-0</f>
        <v>170840973</v>
      </c>
      <c r="J56" s="41">
        <f>H56+I56</f>
        <v>1367651770</v>
      </c>
      <c r="K56" s="39">
        <f>K55-K7-K24-K25-0</f>
        <v>34071024</v>
      </c>
      <c r="L56" s="39">
        <f t="shared" si="9"/>
        <v>2289586011</v>
      </c>
      <c r="M56" s="40"/>
      <c r="N56" s="31"/>
    </row>
    <row r="57" spans="1:14" x14ac:dyDescent="0.25">
      <c r="A57" s="7"/>
      <c r="B57" s="7"/>
      <c r="C57" s="7"/>
      <c r="M57" s="7"/>
    </row>
    <row r="58" spans="1:14" x14ac:dyDescent="0.25">
      <c r="A58" s="7"/>
      <c r="B58" s="7"/>
      <c r="C58" s="7"/>
      <c r="M58" s="7"/>
    </row>
    <row r="65" spans="2:12" x14ac:dyDescent="0.25">
      <c r="F65" s="25">
        <f>F54-F50+F41+F40+F38+F33+F30+F28+F27+F23-F15-F14</f>
        <v>529487531</v>
      </c>
      <c r="G65" s="25"/>
      <c r="H65" s="25">
        <f t="shared" ref="H65:J65" si="15">H54-H50+H41+H40+H38+H33+H30+H28+H27+H23-H15-H14</f>
        <v>1108875130</v>
      </c>
      <c r="I65" s="25">
        <f t="shared" si="15"/>
        <v>50397569</v>
      </c>
      <c r="J65" s="25">
        <f t="shared" si="15"/>
        <v>1159272699</v>
      </c>
    </row>
    <row r="67" spans="2:12" x14ac:dyDescent="0.25">
      <c r="D67" s="25">
        <f>D54-D50+D40+D38+D33+D28+D27</f>
        <v>370483144</v>
      </c>
      <c r="E67" s="25">
        <f t="shared" ref="E67:L67" si="16">E54-E50+E40+E38+E33+E28+E27+E34</f>
        <v>33985951</v>
      </c>
      <c r="F67" s="25">
        <f t="shared" si="16"/>
        <v>409103984</v>
      </c>
      <c r="G67" s="25">
        <f t="shared" si="16"/>
        <v>9845783</v>
      </c>
      <c r="H67" s="25">
        <f t="shared" si="16"/>
        <v>940110561</v>
      </c>
      <c r="I67" s="25">
        <f t="shared" si="16"/>
        <v>48970099</v>
      </c>
      <c r="J67" s="25">
        <f t="shared" si="16"/>
        <v>989080660</v>
      </c>
      <c r="K67" s="25">
        <f t="shared" si="16"/>
        <v>0</v>
      </c>
      <c r="L67" s="25">
        <f t="shared" si="16"/>
        <v>1408030427</v>
      </c>
    </row>
    <row r="68" spans="2:12" x14ac:dyDescent="0.25">
      <c r="D68" s="25">
        <f>D41+D30+D23-D15-D14</f>
        <v>118857991</v>
      </c>
      <c r="E68" s="25">
        <f t="shared" ref="E68:L68" si="17">E41+E30+E23-E15-E14</f>
        <v>6573628</v>
      </c>
      <c r="F68" s="25">
        <f t="shared" si="17"/>
        <v>125431619</v>
      </c>
      <c r="G68" s="25">
        <f t="shared" si="17"/>
        <v>0</v>
      </c>
      <c r="H68" s="25">
        <f t="shared" si="17"/>
        <v>188247443</v>
      </c>
      <c r="I68" s="25">
        <f t="shared" si="17"/>
        <v>1555109</v>
      </c>
      <c r="J68" s="25">
        <f t="shared" si="17"/>
        <v>189802552</v>
      </c>
      <c r="K68" s="25">
        <f t="shared" si="17"/>
        <v>0</v>
      </c>
      <c r="L68" s="25">
        <f t="shared" si="17"/>
        <v>315234171</v>
      </c>
    </row>
    <row r="69" spans="2:12" x14ac:dyDescent="0.25">
      <c r="D69" s="25">
        <f>D68+D67</f>
        <v>489341135</v>
      </c>
      <c r="E69" s="25">
        <f t="shared" ref="E69:L69" si="18">E68+E67</f>
        <v>40559579</v>
      </c>
      <c r="F69" s="25">
        <f t="shared" si="18"/>
        <v>534535603</v>
      </c>
      <c r="G69" s="25">
        <f t="shared" si="18"/>
        <v>9845783</v>
      </c>
      <c r="H69" s="25">
        <f t="shared" si="18"/>
        <v>1128358004</v>
      </c>
      <c r="I69" s="25">
        <f t="shared" si="18"/>
        <v>50525208</v>
      </c>
      <c r="J69" s="25">
        <f t="shared" si="18"/>
        <v>1178883212</v>
      </c>
      <c r="K69" s="25">
        <f t="shared" si="18"/>
        <v>0</v>
      </c>
      <c r="L69" s="25">
        <f t="shared" si="18"/>
        <v>1723264598</v>
      </c>
    </row>
    <row r="72" spans="2:12" x14ac:dyDescent="0.25">
      <c r="B72" t="s">
        <v>110</v>
      </c>
      <c r="D72" s="25">
        <f>D73+D74-D37-D35-D26</f>
        <v>606366240</v>
      </c>
      <c r="E72" s="25">
        <f t="shared" ref="E72:L72" si="19">E73+E74-E37-E35-E26</f>
        <v>70626285</v>
      </c>
      <c r="F72" s="25">
        <f t="shared" si="19"/>
        <v>681627414</v>
      </c>
      <c r="G72" s="25">
        <f t="shared" si="19"/>
        <v>17845783</v>
      </c>
      <c r="H72" s="25">
        <f t="shared" si="19"/>
        <v>1216293671</v>
      </c>
      <c r="I72" s="25">
        <f t="shared" si="19"/>
        <v>153258757</v>
      </c>
      <c r="J72" s="25">
        <f t="shared" si="19"/>
        <v>1369552428</v>
      </c>
      <c r="K72" s="25">
        <f t="shared" si="19"/>
        <v>0</v>
      </c>
      <c r="L72" s="25">
        <f t="shared" si="19"/>
        <v>2069025625</v>
      </c>
    </row>
    <row r="73" spans="2:12" x14ac:dyDescent="0.25">
      <c r="B73" t="s">
        <v>104</v>
      </c>
      <c r="D73" s="25">
        <f>D69</f>
        <v>489341135</v>
      </c>
      <c r="E73" s="25">
        <f t="shared" ref="E73:L73" si="20">E69</f>
        <v>40559579</v>
      </c>
      <c r="F73" s="25">
        <f t="shared" si="20"/>
        <v>534535603</v>
      </c>
      <c r="G73" s="25">
        <f t="shared" si="20"/>
        <v>9845783</v>
      </c>
      <c r="H73" s="25">
        <f t="shared" si="20"/>
        <v>1128358004</v>
      </c>
      <c r="I73" s="25">
        <f t="shared" si="20"/>
        <v>50525208</v>
      </c>
      <c r="J73" s="25">
        <f t="shared" si="20"/>
        <v>1178883212</v>
      </c>
      <c r="K73" s="25">
        <f t="shared" si="20"/>
        <v>0</v>
      </c>
      <c r="L73" s="25">
        <f t="shared" si="20"/>
        <v>1723264598</v>
      </c>
    </row>
    <row r="74" spans="2:12" x14ac:dyDescent="0.25">
      <c r="B74" t="s">
        <v>105</v>
      </c>
      <c r="D74" s="25">
        <f>D39+D37+D35+D34+D32+D31+D26</f>
        <v>196068159</v>
      </c>
      <c r="E74" s="25">
        <f t="shared" ref="E74:L74" si="21">E39+E37+E35+E34+E32+E31+E26</f>
        <v>37200680</v>
      </c>
      <c r="F74" s="25">
        <f t="shared" si="21"/>
        <v>233268839</v>
      </c>
      <c r="G74" s="25">
        <f t="shared" si="21"/>
        <v>8000000</v>
      </c>
      <c r="H74" s="25">
        <f t="shared" si="21"/>
        <v>87935667</v>
      </c>
      <c r="I74" s="25">
        <f t="shared" si="21"/>
        <v>110367077</v>
      </c>
      <c r="J74" s="25">
        <f t="shared" si="21"/>
        <v>198302744</v>
      </c>
      <c r="K74" s="25">
        <f t="shared" si="21"/>
        <v>16672484</v>
      </c>
      <c r="L74" s="25">
        <f t="shared" si="21"/>
        <v>456244067</v>
      </c>
    </row>
    <row r="75" spans="2:12" x14ac:dyDescent="0.25">
      <c r="B75" t="s">
        <v>106</v>
      </c>
      <c r="D75" s="25">
        <f>D7</f>
        <v>196240475</v>
      </c>
      <c r="E75" s="25">
        <f t="shared" ref="E75:L75" si="22">E7</f>
        <v>80154680</v>
      </c>
      <c r="F75" s="25">
        <f t="shared" si="22"/>
        <v>276395155</v>
      </c>
      <c r="G75" s="25">
        <f t="shared" si="22"/>
        <v>724300</v>
      </c>
      <c r="H75" s="25">
        <f t="shared" si="22"/>
        <v>0</v>
      </c>
      <c r="I75" s="25">
        <f t="shared" si="22"/>
        <v>41450</v>
      </c>
      <c r="J75" s="25">
        <f t="shared" si="22"/>
        <v>41450</v>
      </c>
      <c r="K75" s="25">
        <f t="shared" si="22"/>
        <v>67461580</v>
      </c>
      <c r="L75" s="25">
        <f t="shared" si="22"/>
        <v>344622485</v>
      </c>
    </row>
    <row r="76" spans="2:12" x14ac:dyDescent="0.25">
      <c r="B76" t="s">
        <v>107</v>
      </c>
      <c r="D76" s="25">
        <f>D50+D42+D29+D15+D14+D8+D6</f>
        <v>53362083</v>
      </c>
      <c r="E76" s="25">
        <f t="shared" ref="E76:L76" si="23">E50+E42+E29+E15+E14+E8+E6</f>
        <v>38670156</v>
      </c>
      <c r="F76" s="25">
        <f t="shared" si="23"/>
        <v>92032239</v>
      </c>
      <c r="G76" s="25">
        <f t="shared" si="23"/>
        <v>15228825</v>
      </c>
      <c r="H76" s="25">
        <f t="shared" si="23"/>
        <v>0</v>
      </c>
      <c r="I76" s="25">
        <f t="shared" si="23"/>
        <v>10076327</v>
      </c>
      <c r="J76" s="25">
        <f t="shared" si="23"/>
        <v>10076327</v>
      </c>
      <c r="K76" s="25">
        <f t="shared" si="23"/>
        <v>17398540</v>
      </c>
      <c r="L76" s="25">
        <f t="shared" si="23"/>
        <v>134735931</v>
      </c>
    </row>
    <row r="77" spans="2:12" x14ac:dyDescent="0.25">
      <c r="D77" s="25">
        <f>SUM(D73:D76)</f>
        <v>935011852</v>
      </c>
      <c r="E77" s="25">
        <f t="shared" ref="E77:L77" si="24">SUM(E73:E76)</f>
        <v>196585095</v>
      </c>
      <c r="F77" s="25">
        <f t="shared" si="24"/>
        <v>1136231836</v>
      </c>
      <c r="G77" s="25">
        <f t="shared" si="24"/>
        <v>33798908</v>
      </c>
      <c r="H77" s="25">
        <f t="shared" si="24"/>
        <v>1216293671</v>
      </c>
      <c r="I77" s="25">
        <f t="shared" si="24"/>
        <v>171010062</v>
      </c>
      <c r="J77" s="25">
        <f t="shared" si="24"/>
        <v>1387303733</v>
      </c>
      <c r="K77" s="25">
        <f t="shared" si="24"/>
        <v>101532604</v>
      </c>
      <c r="L77" s="25">
        <f t="shared" si="24"/>
        <v>2658867081</v>
      </c>
    </row>
  </sheetData>
  <phoneticPr fontId="0" type="noConversion"/>
  <pageMargins left="0.25" right="0.25" top="0.75" bottom="0.75" header="0.3" footer="0.3"/>
  <pageSetup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82"/>
  <sheetViews>
    <sheetView topLeftCell="A2" workbookViewId="0">
      <pane ySplit="4" topLeftCell="A42" activePane="bottomLeft" state="frozen"/>
      <selection activeCell="A2" sqref="A2"/>
      <selection pane="bottomLeft" activeCell="G55" sqref="G55"/>
    </sheetView>
  </sheetViews>
  <sheetFormatPr defaultRowHeight="15" x14ac:dyDescent="0.25"/>
  <cols>
    <col min="2" max="2" width="22.85546875" customWidth="1"/>
    <col min="3" max="3" width="1.42578125" customWidth="1"/>
    <col min="4" max="5" width="15.28515625" customWidth="1"/>
    <col min="6" max="6" width="16.28515625" style="25" customWidth="1"/>
    <col min="7" max="9" width="15.28515625" customWidth="1"/>
    <col min="10" max="10" width="16.28515625" style="25" customWidth="1"/>
    <col min="11" max="11" width="15.28515625" customWidth="1"/>
    <col min="12" max="12" width="16.28515625" style="25" customWidth="1"/>
    <col min="13" max="13" width="1.42578125" customWidth="1"/>
  </cols>
  <sheetData>
    <row r="1" spans="1:13" s="99" customFormat="1" ht="18.75" x14ac:dyDescent="0.3">
      <c r="A1" s="99" t="s">
        <v>94</v>
      </c>
      <c r="F1" s="100"/>
      <c r="J1" s="100"/>
      <c r="L1" s="100"/>
    </row>
    <row r="2" spans="1:13" s="99" customFormat="1" ht="18.75" x14ac:dyDescent="0.3">
      <c r="A2" s="101" t="s">
        <v>79</v>
      </c>
      <c r="B2" s="101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9" customFormat="1" ht="18.75" x14ac:dyDescent="0.3">
      <c r="A3" s="102"/>
      <c r="B3" s="101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x14ac:dyDescent="0.25">
      <c r="A4" s="1"/>
      <c r="B4" s="2"/>
      <c r="C4" s="9"/>
      <c r="D4" s="25"/>
      <c r="E4" s="25"/>
      <c r="G4" s="25"/>
      <c r="H4" s="25"/>
      <c r="I4" s="25"/>
      <c r="K4" s="25"/>
      <c r="M4" s="9"/>
    </row>
    <row r="5" spans="1:13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59</v>
      </c>
      <c r="H5" s="73" t="s">
        <v>88</v>
      </c>
      <c r="I5" s="73" t="s">
        <v>68</v>
      </c>
      <c r="J5" s="26" t="s">
        <v>60</v>
      </c>
      <c r="K5" s="26" t="s">
        <v>61</v>
      </c>
      <c r="L5" s="26" t="s">
        <v>62</v>
      </c>
      <c r="M5" s="4"/>
    </row>
    <row r="6" spans="1:13" s="32" customFormat="1" x14ac:dyDescent="0.25">
      <c r="A6" s="47" t="s">
        <v>2</v>
      </c>
      <c r="B6" s="47" t="s">
        <v>3</v>
      </c>
      <c r="C6" s="48"/>
      <c r="D6" s="83">
        <v>7750350</v>
      </c>
      <c r="E6" s="83">
        <v>35023306</v>
      </c>
      <c r="F6" s="83">
        <f>D6+E6</f>
        <v>42773656</v>
      </c>
      <c r="G6" s="83">
        <v>24461997</v>
      </c>
      <c r="H6" s="74">
        <v>0</v>
      </c>
      <c r="I6" s="74">
        <v>2730299</v>
      </c>
      <c r="J6" s="83">
        <f t="shared" ref="J6:J22" si="0">H6+I6</f>
        <v>2730299</v>
      </c>
      <c r="K6" s="83">
        <v>10000000</v>
      </c>
      <c r="L6" s="83">
        <f t="shared" ref="L6:L37" si="1">F6+G6+J6+K6</f>
        <v>79965952</v>
      </c>
      <c r="M6" s="48"/>
    </row>
    <row r="7" spans="1:13" s="32" customFormat="1" x14ac:dyDescent="0.25">
      <c r="A7" s="49" t="s">
        <v>4</v>
      </c>
      <c r="B7" s="49" t="s">
        <v>4</v>
      </c>
      <c r="C7" s="50"/>
      <c r="D7" s="43">
        <v>230960102</v>
      </c>
      <c r="E7" s="44">
        <v>67399036</v>
      </c>
      <c r="F7" s="83">
        <f>D7+E7</f>
        <v>298359138</v>
      </c>
      <c r="G7" s="44">
        <v>425935</v>
      </c>
      <c r="H7" s="75">
        <v>0</v>
      </c>
      <c r="I7" s="75">
        <v>41450</v>
      </c>
      <c r="J7" s="83">
        <f t="shared" si="0"/>
        <v>41450</v>
      </c>
      <c r="K7" s="44">
        <v>52350908</v>
      </c>
      <c r="L7" s="83">
        <f t="shared" si="1"/>
        <v>351177431</v>
      </c>
      <c r="M7" s="50"/>
    </row>
    <row r="8" spans="1:13" s="32" customFormat="1" x14ac:dyDescent="0.25">
      <c r="A8" s="51" t="s">
        <v>5</v>
      </c>
      <c r="B8" s="51" t="s">
        <v>5</v>
      </c>
      <c r="C8" s="52"/>
      <c r="D8" s="45">
        <v>1257696</v>
      </c>
      <c r="E8" s="46">
        <v>1078189</v>
      </c>
      <c r="F8" s="83">
        <f>D8+E8</f>
        <v>2335885</v>
      </c>
      <c r="G8" s="46">
        <v>375000</v>
      </c>
      <c r="H8" s="76">
        <v>0</v>
      </c>
      <c r="I8" s="76">
        <v>5100000</v>
      </c>
      <c r="J8" s="83">
        <f t="shared" si="0"/>
        <v>5100000</v>
      </c>
      <c r="K8" s="46">
        <v>4034667</v>
      </c>
      <c r="L8" s="83">
        <f t="shared" si="1"/>
        <v>11845552</v>
      </c>
      <c r="M8" s="52"/>
    </row>
    <row r="9" spans="1:13" x14ac:dyDescent="0.25">
      <c r="A9" s="16" t="s">
        <v>6</v>
      </c>
      <c r="B9" s="16" t="s">
        <v>7</v>
      </c>
      <c r="C9" s="3"/>
      <c r="D9" s="27">
        <v>7926789</v>
      </c>
      <c r="E9" s="28">
        <v>7329830</v>
      </c>
      <c r="F9" s="28">
        <f>D9+E9</f>
        <v>15256619</v>
      </c>
      <c r="G9" s="28">
        <v>0</v>
      </c>
      <c r="H9" s="77">
        <v>25776902</v>
      </c>
      <c r="I9" s="77">
        <v>412660</v>
      </c>
      <c r="J9" s="28">
        <f t="shared" si="0"/>
        <v>26189562</v>
      </c>
      <c r="K9" s="28">
        <v>0</v>
      </c>
      <c r="L9" s="28">
        <f t="shared" si="1"/>
        <v>41446181</v>
      </c>
      <c r="M9" s="3"/>
    </row>
    <row r="10" spans="1:13" x14ac:dyDescent="0.25">
      <c r="A10" s="15"/>
      <c r="B10" s="16" t="s">
        <v>8</v>
      </c>
      <c r="C10" s="3"/>
      <c r="D10" s="27">
        <v>5753410</v>
      </c>
      <c r="E10" s="28">
        <v>5144640</v>
      </c>
      <c r="F10" s="28">
        <f>D10+E10</f>
        <v>10898050</v>
      </c>
      <c r="G10" s="28">
        <v>0</v>
      </c>
      <c r="H10" s="77">
        <v>25035875</v>
      </c>
      <c r="I10" s="77">
        <v>38000</v>
      </c>
      <c r="J10" s="28">
        <f t="shared" si="0"/>
        <v>25073875</v>
      </c>
      <c r="K10" s="28">
        <v>0</v>
      </c>
      <c r="L10" s="28">
        <f t="shared" si="1"/>
        <v>35971925</v>
      </c>
      <c r="M10" s="3"/>
    </row>
    <row r="11" spans="1:13" x14ac:dyDescent="0.25">
      <c r="A11" s="15"/>
      <c r="B11" s="16" t="s">
        <v>9</v>
      </c>
      <c r="C11" s="3"/>
      <c r="D11" s="27">
        <v>3073633</v>
      </c>
      <c r="E11" s="28">
        <v>2820149</v>
      </c>
      <c r="F11" s="28">
        <f t="shared" ref="F11:F22" si="2">D11+E11</f>
        <v>5893782</v>
      </c>
      <c r="G11" s="28">
        <v>0</v>
      </c>
      <c r="H11" s="77">
        <v>4096323</v>
      </c>
      <c r="I11" s="77">
        <v>0</v>
      </c>
      <c r="J11" s="28">
        <f t="shared" si="0"/>
        <v>4096323</v>
      </c>
      <c r="K11" s="28">
        <v>0</v>
      </c>
      <c r="L11" s="28">
        <f t="shared" si="1"/>
        <v>9990105</v>
      </c>
      <c r="M11" s="3"/>
    </row>
    <row r="12" spans="1:13" x14ac:dyDescent="0.25">
      <c r="A12" s="15"/>
      <c r="B12" s="16" t="s">
        <v>10</v>
      </c>
      <c r="C12" s="3"/>
      <c r="D12" s="27">
        <v>13931792</v>
      </c>
      <c r="E12" s="28">
        <v>13168035</v>
      </c>
      <c r="F12" s="28">
        <f t="shared" si="2"/>
        <v>27099827</v>
      </c>
      <c r="G12" s="28">
        <v>0</v>
      </c>
      <c r="H12" s="77">
        <v>55939518</v>
      </c>
      <c r="I12" s="77">
        <v>1000000</v>
      </c>
      <c r="J12" s="28">
        <f t="shared" si="0"/>
        <v>56939518</v>
      </c>
      <c r="K12" s="28">
        <v>0</v>
      </c>
      <c r="L12" s="28">
        <f t="shared" si="1"/>
        <v>84039345</v>
      </c>
      <c r="M12" s="3"/>
    </row>
    <row r="13" spans="1:13" x14ac:dyDescent="0.25">
      <c r="A13" s="15"/>
      <c r="B13" s="16" t="s">
        <v>11</v>
      </c>
      <c r="C13" s="3"/>
      <c r="D13" s="27">
        <v>1584947</v>
      </c>
      <c r="E13" s="28">
        <v>1445171</v>
      </c>
      <c r="F13" s="28">
        <f t="shared" si="2"/>
        <v>3030118</v>
      </c>
      <c r="G13" s="28">
        <v>0</v>
      </c>
      <c r="H13" s="77">
        <v>5758195</v>
      </c>
      <c r="I13" s="77">
        <v>125000</v>
      </c>
      <c r="J13" s="28">
        <f t="shared" si="0"/>
        <v>5883195</v>
      </c>
      <c r="K13" s="28">
        <v>0</v>
      </c>
      <c r="L13" s="28">
        <f t="shared" si="1"/>
        <v>8913313</v>
      </c>
      <c r="M13" s="3"/>
    </row>
    <row r="14" spans="1:13" x14ac:dyDescent="0.25">
      <c r="A14" s="15"/>
      <c r="B14" s="16" t="s">
        <v>12</v>
      </c>
      <c r="C14" s="3"/>
      <c r="D14" s="27">
        <v>3919670</v>
      </c>
      <c r="E14" s="28">
        <v>13233357</v>
      </c>
      <c r="F14" s="28">
        <f t="shared" si="2"/>
        <v>17153027</v>
      </c>
      <c r="G14" s="28">
        <v>0</v>
      </c>
      <c r="H14" s="77">
        <v>0</v>
      </c>
      <c r="I14" s="77">
        <v>0</v>
      </c>
      <c r="J14" s="28">
        <f t="shared" si="0"/>
        <v>0</v>
      </c>
      <c r="K14" s="28">
        <v>0</v>
      </c>
      <c r="L14" s="28">
        <f t="shared" si="1"/>
        <v>17153027</v>
      </c>
      <c r="M14" s="3"/>
    </row>
    <row r="15" spans="1:13" x14ac:dyDescent="0.25">
      <c r="A15" s="15"/>
      <c r="B15" s="16" t="s">
        <v>13</v>
      </c>
      <c r="C15" s="3"/>
      <c r="D15" s="27">
        <v>710121</v>
      </c>
      <c r="E15" s="28">
        <v>585783</v>
      </c>
      <c r="F15" s="28">
        <f t="shared" si="2"/>
        <v>1295904</v>
      </c>
      <c r="G15" s="28">
        <v>0</v>
      </c>
      <c r="H15" s="77">
        <v>0</v>
      </c>
      <c r="I15" s="77">
        <v>0</v>
      </c>
      <c r="J15" s="28">
        <f t="shared" si="0"/>
        <v>0</v>
      </c>
      <c r="K15" s="28">
        <v>0</v>
      </c>
      <c r="L15" s="28">
        <f t="shared" si="1"/>
        <v>1295904</v>
      </c>
      <c r="M15" s="3"/>
    </row>
    <row r="16" spans="1:13" x14ac:dyDescent="0.25">
      <c r="A16" s="15"/>
      <c r="B16" s="16" t="s">
        <v>14</v>
      </c>
      <c r="C16" s="3"/>
      <c r="D16" s="27">
        <v>4276450</v>
      </c>
      <c r="E16" s="28">
        <v>3951400</v>
      </c>
      <c r="F16" s="28">
        <f t="shared" si="2"/>
        <v>8227850</v>
      </c>
      <c r="G16" s="28">
        <v>0</v>
      </c>
      <c r="H16" s="77">
        <v>10369751</v>
      </c>
      <c r="I16" s="77">
        <v>1000</v>
      </c>
      <c r="J16" s="28">
        <f t="shared" si="0"/>
        <v>10370751</v>
      </c>
      <c r="K16" s="28">
        <v>0</v>
      </c>
      <c r="L16" s="28">
        <f t="shared" si="1"/>
        <v>18598601</v>
      </c>
      <c r="M16" s="3"/>
    </row>
    <row r="17" spans="1:13" x14ac:dyDescent="0.25">
      <c r="A17" s="15"/>
      <c r="B17" s="16" t="s">
        <v>15</v>
      </c>
      <c r="C17" s="3"/>
      <c r="D17" s="27">
        <v>5881399</v>
      </c>
      <c r="E17" s="28">
        <v>5403437</v>
      </c>
      <c r="F17" s="28">
        <f t="shared" si="2"/>
        <v>11284836</v>
      </c>
      <c r="G17" s="28">
        <v>0</v>
      </c>
      <c r="H17" s="77">
        <v>7327506</v>
      </c>
      <c r="I17" s="77">
        <f>17000+5000</f>
        <v>22000</v>
      </c>
      <c r="J17" s="28">
        <f t="shared" si="0"/>
        <v>7349506</v>
      </c>
      <c r="K17" s="28">
        <v>0</v>
      </c>
      <c r="L17" s="28">
        <f t="shared" si="1"/>
        <v>18634342</v>
      </c>
      <c r="M17" s="3"/>
    </row>
    <row r="18" spans="1:13" x14ac:dyDescent="0.25">
      <c r="A18" s="15"/>
      <c r="B18" s="16" t="s">
        <v>16</v>
      </c>
      <c r="C18" s="3"/>
      <c r="D18" s="27">
        <v>1809843</v>
      </c>
      <c r="E18" s="28">
        <v>1646746</v>
      </c>
      <c r="F18" s="28">
        <f t="shared" si="2"/>
        <v>3456589</v>
      </c>
      <c r="G18" s="28">
        <v>0</v>
      </c>
      <c r="H18" s="77">
        <v>5463073</v>
      </c>
      <c r="I18" s="77">
        <v>60495</v>
      </c>
      <c r="J18" s="28">
        <f t="shared" si="0"/>
        <v>5523568</v>
      </c>
      <c r="K18" s="28">
        <v>0</v>
      </c>
      <c r="L18" s="28">
        <f t="shared" si="1"/>
        <v>8980157</v>
      </c>
      <c r="M18" s="3"/>
    </row>
    <row r="19" spans="1:13" x14ac:dyDescent="0.25">
      <c r="A19" s="15"/>
      <c r="B19" s="16" t="s">
        <v>17</v>
      </c>
      <c r="C19" s="3"/>
      <c r="D19" s="27">
        <v>2692136</v>
      </c>
      <c r="E19" s="28">
        <v>2456582</v>
      </c>
      <c r="F19" s="28">
        <f t="shared" si="2"/>
        <v>5148718</v>
      </c>
      <c r="G19" s="28">
        <v>0</v>
      </c>
      <c r="H19" s="77">
        <v>5470020</v>
      </c>
      <c r="I19" s="77">
        <v>0</v>
      </c>
      <c r="J19" s="28">
        <f t="shared" si="0"/>
        <v>5470020</v>
      </c>
      <c r="K19" s="28">
        <v>0</v>
      </c>
      <c r="L19" s="28">
        <f t="shared" si="1"/>
        <v>10618738</v>
      </c>
      <c r="M19" s="3"/>
    </row>
    <row r="20" spans="1:13" x14ac:dyDescent="0.25">
      <c r="A20" s="15"/>
      <c r="B20" s="16" t="s">
        <v>18</v>
      </c>
      <c r="C20" s="3"/>
      <c r="D20" s="27">
        <v>1789062</v>
      </c>
      <c r="E20" s="28">
        <v>1615777</v>
      </c>
      <c r="F20" s="28">
        <f t="shared" si="2"/>
        <v>3404839</v>
      </c>
      <c r="G20" s="28">
        <v>0</v>
      </c>
      <c r="H20" s="77">
        <v>6142431</v>
      </c>
      <c r="I20" s="77">
        <v>0</v>
      </c>
      <c r="J20" s="28">
        <f t="shared" si="0"/>
        <v>6142431</v>
      </c>
      <c r="K20" s="28">
        <v>0</v>
      </c>
      <c r="L20" s="28">
        <f t="shared" si="1"/>
        <v>9547270</v>
      </c>
      <c r="M20" s="3"/>
    </row>
    <row r="21" spans="1:13" x14ac:dyDescent="0.25">
      <c r="A21" s="15"/>
      <c r="B21" s="16" t="s">
        <v>19</v>
      </c>
      <c r="C21" s="3"/>
      <c r="D21" s="27">
        <v>6785274</v>
      </c>
      <c r="E21" s="28">
        <v>6283727</v>
      </c>
      <c r="F21" s="28">
        <f t="shared" si="2"/>
        <v>13069001</v>
      </c>
      <c r="G21" s="28">
        <v>0</v>
      </c>
      <c r="H21" s="77">
        <v>16359846</v>
      </c>
      <c r="I21" s="77">
        <f>10000+5000</f>
        <v>15000</v>
      </c>
      <c r="J21" s="28">
        <f t="shared" si="0"/>
        <v>16374846</v>
      </c>
      <c r="K21" s="28">
        <v>0</v>
      </c>
      <c r="L21" s="28">
        <f t="shared" si="1"/>
        <v>29443847</v>
      </c>
      <c r="M21" s="3"/>
    </row>
    <row r="22" spans="1:13" x14ac:dyDescent="0.25">
      <c r="A22" s="15"/>
      <c r="B22" s="16" t="s">
        <v>20</v>
      </c>
      <c r="C22" s="3"/>
      <c r="D22" s="27">
        <v>3476676</v>
      </c>
      <c r="E22" s="28">
        <v>3561528</v>
      </c>
      <c r="F22" s="28">
        <f t="shared" si="2"/>
        <v>7038204</v>
      </c>
      <c r="G22" s="28">
        <v>0</v>
      </c>
      <c r="H22" s="77">
        <v>7984056</v>
      </c>
      <c r="I22" s="77">
        <f>12000+60000</f>
        <v>72000</v>
      </c>
      <c r="J22" s="28">
        <f t="shared" si="0"/>
        <v>8056056</v>
      </c>
      <c r="K22" s="28">
        <v>0</v>
      </c>
      <c r="L22" s="28">
        <f t="shared" si="1"/>
        <v>15094260</v>
      </c>
      <c r="M22" s="3"/>
    </row>
    <row r="23" spans="1:13" x14ac:dyDescent="0.25">
      <c r="A23" s="17" t="s">
        <v>21</v>
      </c>
      <c r="B23" s="18"/>
      <c r="C23" s="6"/>
      <c r="D23" s="83">
        <f t="shared" ref="D23:K23" si="3">SUM(D9:D22)</f>
        <v>63611202</v>
      </c>
      <c r="E23" s="83">
        <f t="shared" si="3"/>
        <v>68646162</v>
      </c>
      <c r="F23" s="83">
        <f t="shared" si="3"/>
        <v>132257364</v>
      </c>
      <c r="G23" s="83">
        <f t="shared" si="3"/>
        <v>0</v>
      </c>
      <c r="H23" s="74">
        <f>SUM(H9:H22)</f>
        <v>175723496</v>
      </c>
      <c r="I23" s="74">
        <f>SUM(I9:I22)</f>
        <v>1746155</v>
      </c>
      <c r="J23" s="83">
        <f t="shared" si="3"/>
        <v>177469651</v>
      </c>
      <c r="K23" s="83">
        <f t="shared" si="3"/>
        <v>0</v>
      </c>
      <c r="L23" s="83">
        <f t="shared" si="1"/>
        <v>309727015</v>
      </c>
      <c r="M23" s="6"/>
    </row>
    <row r="24" spans="1:13" x14ac:dyDescent="0.25">
      <c r="A24" s="14" t="s">
        <v>22</v>
      </c>
      <c r="B24" s="14" t="s">
        <v>23</v>
      </c>
      <c r="C24" s="3"/>
      <c r="D24" s="27">
        <v>0</v>
      </c>
      <c r="E24" s="28">
        <v>0</v>
      </c>
      <c r="F24" s="28">
        <f t="shared" ref="F24:F35" si="4">D24+E24</f>
        <v>0</v>
      </c>
      <c r="G24" s="28">
        <v>0</v>
      </c>
      <c r="H24" s="77">
        <v>0</v>
      </c>
      <c r="I24" s="77">
        <v>0</v>
      </c>
      <c r="J24" s="28">
        <f t="shared" ref="J24:J33" si="5">H24+I24</f>
        <v>0</v>
      </c>
      <c r="K24" s="28">
        <v>0</v>
      </c>
      <c r="L24" s="28">
        <f t="shared" si="1"/>
        <v>0</v>
      </c>
      <c r="M24" s="3"/>
    </row>
    <row r="25" spans="1:13" x14ac:dyDescent="0.25">
      <c r="A25" s="15"/>
      <c r="B25" s="16" t="s">
        <v>24</v>
      </c>
      <c r="C25" s="3"/>
      <c r="D25" s="27">
        <v>0</v>
      </c>
      <c r="E25" s="28">
        <v>0</v>
      </c>
      <c r="F25" s="28">
        <f t="shared" si="4"/>
        <v>0</v>
      </c>
      <c r="G25" s="28">
        <v>0</v>
      </c>
      <c r="H25" s="77">
        <v>0</v>
      </c>
      <c r="I25" s="77">
        <v>0</v>
      </c>
      <c r="J25" s="28">
        <f t="shared" si="5"/>
        <v>0</v>
      </c>
      <c r="K25" s="28">
        <v>0</v>
      </c>
      <c r="L25" s="28">
        <f t="shared" si="1"/>
        <v>0</v>
      </c>
      <c r="M25" s="3"/>
    </row>
    <row r="26" spans="1:13" x14ac:dyDescent="0.25">
      <c r="A26" s="15"/>
      <c r="B26" s="16" t="s">
        <v>25</v>
      </c>
      <c r="C26" s="3"/>
      <c r="D26" s="27">
        <v>36226610</v>
      </c>
      <c r="E26" s="28">
        <v>35185647</v>
      </c>
      <c r="F26" s="28">
        <f t="shared" si="4"/>
        <v>71412257</v>
      </c>
      <c r="G26" s="28">
        <v>0</v>
      </c>
      <c r="H26" s="77">
        <v>0</v>
      </c>
      <c r="I26" s="77">
        <v>6807967</v>
      </c>
      <c r="J26" s="28">
        <f t="shared" si="5"/>
        <v>6807967</v>
      </c>
      <c r="K26" s="28">
        <v>13018275</v>
      </c>
      <c r="L26" s="28">
        <f t="shared" si="1"/>
        <v>91238499</v>
      </c>
      <c r="M26" s="3"/>
    </row>
    <row r="27" spans="1:13" x14ac:dyDescent="0.25">
      <c r="A27" s="15"/>
      <c r="B27" s="16" t="s">
        <v>26</v>
      </c>
      <c r="C27" s="3"/>
      <c r="D27" s="27">
        <v>2814333</v>
      </c>
      <c r="E27" s="28">
        <v>2603312</v>
      </c>
      <c r="F27" s="28">
        <f t="shared" si="4"/>
        <v>5417645</v>
      </c>
      <c r="G27" s="28">
        <v>0</v>
      </c>
      <c r="H27" s="77">
        <v>11865000</v>
      </c>
      <c r="I27" s="77">
        <v>62127</v>
      </c>
      <c r="J27" s="28">
        <f t="shared" si="5"/>
        <v>11927127</v>
      </c>
      <c r="K27" s="28">
        <v>0</v>
      </c>
      <c r="L27" s="28">
        <f t="shared" si="1"/>
        <v>17344772</v>
      </c>
      <c r="M27" s="3"/>
    </row>
    <row r="28" spans="1:13" x14ac:dyDescent="0.25">
      <c r="A28" s="15"/>
      <c r="B28" s="16" t="s">
        <v>27</v>
      </c>
      <c r="C28" s="3"/>
      <c r="D28" s="27">
        <v>62738609</v>
      </c>
      <c r="E28" s="28">
        <v>66241750</v>
      </c>
      <c r="F28" s="28">
        <f t="shared" si="4"/>
        <v>128980359</v>
      </c>
      <c r="G28" s="28">
        <v>7311408</v>
      </c>
      <c r="H28" s="77">
        <v>371428843</v>
      </c>
      <c r="I28" s="77">
        <f>930635+20287238</f>
        <v>21217873</v>
      </c>
      <c r="J28" s="28">
        <f t="shared" si="5"/>
        <v>392646716</v>
      </c>
      <c r="K28" s="28">
        <v>0</v>
      </c>
      <c r="L28" s="28">
        <f t="shared" si="1"/>
        <v>528938483</v>
      </c>
      <c r="M28" s="3"/>
    </row>
    <row r="29" spans="1:13" x14ac:dyDescent="0.25">
      <c r="A29" s="15"/>
      <c r="B29" s="16" t="s">
        <v>28</v>
      </c>
      <c r="C29" s="3"/>
      <c r="D29" s="27">
        <v>0</v>
      </c>
      <c r="E29" s="28">
        <v>0</v>
      </c>
      <c r="F29" s="28">
        <f t="shared" si="4"/>
        <v>0</v>
      </c>
      <c r="G29" s="28">
        <v>0</v>
      </c>
      <c r="H29" s="77">
        <v>0</v>
      </c>
      <c r="I29" s="77">
        <v>0</v>
      </c>
      <c r="J29" s="28">
        <f t="shared" si="5"/>
        <v>0</v>
      </c>
      <c r="K29" s="28">
        <v>0</v>
      </c>
      <c r="L29" s="28">
        <f t="shared" si="1"/>
        <v>0</v>
      </c>
      <c r="M29" s="3"/>
    </row>
    <row r="30" spans="1:13" x14ac:dyDescent="0.25">
      <c r="A30" s="15"/>
      <c r="B30" s="16" t="s">
        <v>29</v>
      </c>
      <c r="C30" s="3"/>
      <c r="D30" s="27">
        <v>2511437</v>
      </c>
      <c r="E30" s="28">
        <v>2333942</v>
      </c>
      <c r="F30" s="28">
        <f t="shared" si="4"/>
        <v>4845379</v>
      </c>
      <c r="G30" s="28">
        <v>0</v>
      </c>
      <c r="H30" s="77">
        <v>7450383</v>
      </c>
      <c r="I30" s="77">
        <v>78000</v>
      </c>
      <c r="J30" s="28">
        <f t="shared" si="5"/>
        <v>7528383</v>
      </c>
      <c r="K30" s="28">
        <v>0</v>
      </c>
      <c r="L30" s="28">
        <f t="shared" si="1"/>
        <v>12373762</v>
      </c>
      <c r="M30" s="3"/>
    </row>
    <row r="31" spans="1:13" x14ac:dyDescent="0.25">
      <c r="A31" s="15"/>
      <c r="B31" s="16" t="s">
        <v>30</v>
      </c>
      <c r="C31" s="3"/>
      <c r="D31" s="27">
        <v>39816127</v>
      </c>
      <c r="E31" s="28">
        <v>54094540</v>
      </c>
      <c r="F31" s="28">
        <f t="shared" si="4"/>
        <v>93910667</v>
      </c>
      <c r="G31" s="28">
        <v>0</v>
      </c>
      <c r="H31" s="77">
        <v>55107345</v>
      </c>
      <c r="I31" s="77">
        <f>1190093+491667</f>
        <v>1681760</v>
      </c>
      <c r="J31" s="28">
        <f t="shared" si="5"/>
        <v>56789105</v>
      </c>
      <c r="K31" s="28">
        <v>0</v>
      </c>
      <c r="L31" s="28">
        <f t="shared" si="1"/>
        <v>150699772</v>
      </c>
      <c r="M31" s="3"/>
    </row>
    <row r="32" spans="1:13" x14ac:dyDescent="0.25">
      <c r="A32" s="15"/>
      <c r="B32" s="16" t="s">
        <v>31</v>
      </c>
      <c r="C32" s="3"/>
      <c r="D32" s="27">
        <v>47824707</v>
      </c>
      <c r="E32" s="28">
        <v>48848701</v>
      </c>
      <c r="F32" s="28">
        <f t="shared" si="4"/>
        <v>96673408</v>
      </c>
      <c r="G32" s="28">
        <v>0</v>
      </c>
      <c r="H32" s="77">
        <v>16604073</v>
      </c>
      <c r="I32" s="77">
        <v>4505006</v>
      </c>
      <c r="J32" s="28">
        <f t="shared" si="5"/>
        <v>21109079</v>
      </c>
      <c r="K32" s="28">
        <v>0</v>
      </c>
      <c r="L32" s="28">
        <f t="shared" si="1"/>
        <v>117782487</v>
      </c>
      <c r="M32" s="3"/>
    </row>
    <row r="33" spans="1:13" x14ac:dyDescent="0.25">
      <c r="A33" s="15"/>
      <c r="B33" s="16" t="s">
        <v>32</v>
      </c>
      <c r="C33" s="3"/>
      <c r="D33" s="27">
        <v>3834660</v>
      </c>
      <c r="E33" s="28">
        <v>3826389</v>
      </c>
      <c r="F33" s="28">
        <f t="shared" si="4"/>
        <v>7661049</v>
      </c>
      <c r="G33" s="28">
        <v>0</v>
      </c>
      <c r="H33" s="77">
        <v>24307722</v>
      </c>
      <c r="I33" s="77">
        <f>9950+94725</f>
        <v>104675</v>
      </c>
      <c r="J33" s="28">
        <f t="shared" si="5"/>
        <v>24412397</v>
      </c>
      <c r="K33" s="28">
        <v>0</v>
      </c>
      <c r="L33" s="28">
        <f t="shared" si="1"/>
        <v>32073446</v>
      </c>
      <c r="M33" s="3"/>
    </row>
    <row r="34" spans="1:13" x14ac:dyDescent="0.25">
      <c r="A34" s="15"/>
      <c r="B34" s="16" t="s">
        <v>33</v>
      </c>
      <c r="C34" s="3"/>
      <c r="D34" s="27">
        <v>0</v>
      </c>
      <c r="E34" s="28">
        <v>0</v>
      </c>
      <c r="F34" s="28">
        <v>0</v>
      </c>
      <c r="G34" s="28">
        <v>0</v>
      </c>
      <c r="H34" s="77">
        <v>0</v>
      </c>
      <c r="I34" s="77">
        <v>0</v>
      </c>
      <c r="J34" s="28">
        <v>0</v>
      </c>
      <c r="K34" s="28">
        <v>0</v>
      </c>
      <c r="L34" s="28">
        <f t="shared" si="1"/>
        <v>0</v>
      </c>
      <c r="M34" s="3"/>
    </row>
    <row r="35" spans="1:13" x14ac:dyDescent="0.25">
      <c r="A35" s="15"/>
      <c r="B35" s="16" t="s">
        <v>34</v>
      </c>
      <c r="C35" s="3"/>
      <c r="D35" s="27">
        <v>8889163</v>
      </c>
      <c r="E35" s="28">
        <v>7431621</v>
      </c>
      <c r="F35" s="28">
        <f t="shared" si="4"/>
        <v>16320784</v>
      </c>
      <c r="G35" s="28">
        <v>0</v>
      </c>
      <c r="H35" s="77">
        <v>0</v>
      </c>
      <c r="I35" s="77">
        <v>845561</v>
      </c>
      <c r="J35" s="28">
        <f>H35+I35</f>
        <v>845561</v>
      </c>
      <c r="K35" s="28">
        <v>0</v>
      </c>
      <c r="L35" s="28">
        <f t="shared" si="1"/>
        <v>17166345</v>
      </c>
      <c r="M35" s="3"/>
    </row>
    <row r="36" spans="1:13" ht="14.25" customHeight="1" x14ac:dyDescent="0.25">
      <c r="A36" s="17" t="s">
        <v>35</v>
      </c>
      <c r="B36" s="18"/>
      <c r="C36" s="6"/>
      <c r="D36" s="83">
        <f t="shared" ref="D36:K36" si="6">SUM(D24:D35)</f>
        <v>204655646</v>
      </c>
      <c r="E36" s="83">
        <f t="shared" si="6"/>
        <v>220565902</v>
      </c>
      <c r="F36" s="83">
        <f t="shared" si="6"/>
        <v>425221548</v>
      </c>
      <c r="G36" s="83">
        <f t="shared" si="6"/>
        <v>7311408</v>
      </c>
      <c r="H36" s="74">
        <f>SUM(H24:H35)</f>
        <v>486763366</v>
      </c>
      <c r="I36" s="74">
        <f>SUM(I24:I35)</f>
        <v>35302969</v>
      </c>
      <c r="J36" s="83">
        <f t="shared" si="6"/>
        <v>522066335</v>
      </c>
      <c r="K36" s="83">
        <f t="shared" si="6"/>
        <v>13018275</v>
      </c>
      <c r="L36" s="83">
        <f t="shared" si="1"/>
        <v>967617566</v>
      </c>
      <c r="M36" s="6"/>
    </row>
    <row r="37" spans="1:13" x14ac:dyDescent="0.25">
      <c r="A37" s="14" t="s">
        <v>36</v>
      </c>
      <c r="B37" s="14" t="s">
        <v>37</v>
      </c>
      <c r="C37" s="3"/>
      <c r="D37" s="27">
        <v>1292483</v>
      </c>
      <c r="E37" s="28">
        <v>2874563</v>
      </c>
      <c r="F37" s="28">
        <f t="shared" ref="F37:F42" si="7">D37+E37</f>
        <v>4167046</v>
      </c>
      <c r="G37" s="28">
        <v>0</v>
      </c>
      <c r="H37" s="77">
        <v>0</v>
      </c>
      <c r="I37" s="77">
        <v>0</v>
      </c>
      <c r="J37" s="28">
        <f t="shared" ref="J37:J42" si="8">H37+I37</f>
        <v>0</v>
      </c>
      <c r="K37" s="28">
        <v>3654209</v>
      </c>
      <c r="L37" s="28">
        <f t="shared" si="1"/>
        <v>7821255</v>
      </c>
      <c r="M37" s="3"/>
    </row>
    <row r="38" spans="1:13" x14ac:dyDescent="0.25">
      <c r="A38" s="15"/>
      <c r="B38" s="16" t="s">
        <v>38</v>
      </c>
      <c r="C38" s="3"/>
      <c r="D38" s="27">
        <v>13044264</v>
      </c>
      <c r="E38" s="28">
        <v>13176863</v>
      </c>
      <c r="F38" s="28">
        <f t="shared" si="7"/>
        <v>26221127</v>
      </c>
      <c r="G38" s="28">
        <v>4896768</v>
      </c>
      <c r="H38" s="77">
        <v>38651436</v>
      </c>
      <c r="I38" s="77">
        <v>5898926</v>
      </c>
      <c r="J38" s="28">
        <f t="shared" si="8"/>
        <v>44550362</v>
      </c>
      <c r="K38" s="28">
        <v>0</v>
      </c>
      <c r="L38" s="28">
        <f t="shared" ref="L38:L56" si="9">F38+G38+J38+K38</f>
        <v>75668257</v>
      </c>
      <c r="M38" s="3"/>
    </row>
    <row r="39" spans="1:13" x14ac:dyDescent="0.25">
      <c r="A39" s="15"/>
      <c r="B39" s="16" t="s">
        <v>39</v>
      </c>
      <c r="C39" s="3"/>
      <c r="D39" s="27">
        <v>2150851</v>
      </c>
      <c r="E39" s="28">
        <v>1986961</v>
      </c>
      <c r="F39" s="28">
        <f t="shared" si="7"/>
        <v>4137812</v>
      </c>
      <c r="G39" s="28">
        <v>0</v>
      </c>
      <c r="H39" s="77">
        <v>8156939</v>
      </c>
      <c r="I39" s="77">
        <v>50000</v>
      </c>
      <c r="J39" s="28">
        <f t="shared" si="8"/>
        <v>8206939</v>
      </c>
      <c r="K39" s="28">
        <v>0</v>
      </c>
      <c r="L39" s="28">
        <f t="shared" si="9"/>
        <v>12344751</v>
      </c>
      <c r="M39" s="3"/>
    </row>
    <row r="40" spans="1:13" x14ac:dyDescent="0.25">
      <c r="A40" s="15"/>
      <c r="B40" s="16" t="s">
        <v>40</v>
      </c>
      <c r="C40" s="3"/>
      <c r="D40" s="27">
        <v>3156030</v>
      </c>
      <c r="E40" s="28">
        <v>3210361</v>
      </c>
      <c r="F40" s="28">
        <f t="shared" si="7"/>
        <v>6366391</v>
      </c>
      <c r="G40" s="28">
        <v>0</v>
      </c>
      <c r="H40" s="77">
        <v>11405135</v>
      </c>
      <c r="I40" s="77">
        <v>0</v>
      </c>
      <c r="J40" s="28">
        <f t="shared" si="8"/>
        <v>11405135</v>
      </c>
      <c r="K40" s="28">
        <v>0</v>
      </c>
      <c r="L40" s="28">
        <f t="shared" si="9"/>
        <v>17771526</v>
      </c>
      <c r="M40" s="3"/>
    </row>
    <row r="41" spans="1:13" x14ac:dyDescent="0.25">
      <c r="A41" s="15"/>
      <c r="B41" s="16" t="s">
        <v>41</v>
      </c>
      <c r="C41" s="3"/>
      <c r="D41" s="27">
        <v>2506502</v>
      </c>
      <c r="E41" s="28">
        <v>2527302</v>
      </c>
      <c r="F41" s="28">
        <f t="shared" si="7"/>
        <v>5033804</v>
      </c>
      <c r="G41" s="28">
        <v>0</v>
      </c>
      <c r="H41" s="77">
        <v>7219818</v>
      </c>
      <c r="I41" s="77">
        <v>131570</v>
      </c>
      <c r="J41" s="28">
        <f t="shared" si="8"/>
        <v>7351388</v>
      </c>
      <c r="K41" s="28">
        <v>0</v>
      </c>
      <c r="L41" s="28">
        <f t="shared" si="9"/>
        <v>12385192</v>
      </c>
      <c r="M41" s="3"/>
    </row>
    <row r="42" spans="1:13" x14ac:dyDescent="0.25">
      <c r="A42" s="15"/>
      <c r="B42" s="16" t="s">
        <v>42</v>
      </c>
      <c r="C42" s="3"/>
      <c r="D42" s="27">
        <v>2338034</v>
      </c>
      <c r="E42" s="28">
        <v>1200162</v>
      </c>
      <c r="F42" s="28">
        <f t="shared" si="7"/>
        <v>3538196</v>
      </c>
      <c r="G42" s="28">
        <v>0</v>
      </c>
      <c r="H42" s="77">
        <v>0</v>
      </c>
      <c r="I42" s="77">
        <v>0</v>
      </c>
      <c r="J42" s="28">
        <f t="shared" si="8"/>
        <v>0</v>
      </c>
      <c r="K42" s="28">
        <v>0</v>
      </c>
      <c r="L42" s="28">
        <f t="shared" si="9"/>
        <v>3538196</v>
      </c>
      <c r="M42" s="3"/>
    </row>
    <row r="43" spans="1:13" x14ac:dyDescent="0.25">
      <c r="A43" s="17" t="s">
        <v>43</v>
      </c>
      <c r="B43" s="18"/>
      <c r="C43" s="6"/>
      <c r="D43" s="42">
        <f t="shared" ref="D43:K43" si="10">SUM(D37:D42)</f>
        <v>24488164</v>
      </c>
      <c r="E43" s="42">
        <f t="shared" si="10"/>
        <v>24976212</v>
      </c>
      <c r="F43" s="42">
        <f t="shared" si="10"/>
        <v>49464376</v>
      </c>
      <c r="G43" s="42">
        <f t="shared" si="10"/>
        <v>4896768</v>
      </c>
      <c r="H43" s="78">
        <f>SUM(H37:H42)</f>
        <v>65433328</v>
      </c>
      <c r="I43" s="78">
        <f>SUM(I37:I42)</f>
        <v>6080496</v>
      </c>
      <c r="J43" s="42">
        <f t="shared" si="10"/>
        <v>71513824</v>
      </c>
      <c r="K43" s="42">
        <f t="shared" si="10"/>
        <v>3654209</v>
      </c>
      <c r="L43" s="83">
        <f t="shared" si="9"/>
        <v>129529177</v>
      </c>
      <c r="M43" s="6"/>
    </row>
    <row r="44" spans="1:13" x14ac:dyDescent="0.25">
      <c r="A44" s="14" t="s">
        <v>44</v>
      </c>
      <c r="B44" s="14" t="s">
        <v>45</v>
      </c>
      <c r="C44" s="3"/>
      <c r="D44" s="27">
        <v>7901442</v>
      </c>
      <c r="E44" s="28">
        <v>7614219</v>
      </c>
      <c r="F44" s="28">
        <f t="shared" ref="F44:F53" si="11">D44+E44</f>
        <v>15515661</v>
      </c>
      <c r="G44" s="28">
        <v>0</v>
      </c>
      <c r="H44" s="77">
        <v>32383945</v>
      </c>
      <c r="I44" s="77">
        <v>586098</v>
      </c>
      <c r="J44" s="28">
        <f t="shared" ref="J44:J53" si="12">H44+I44</f>
        <v>32970043</v>
      </c>
      <c r="K44" s="28">
        <v>0</v>
      </c>
      <c r="L44" s="28">
        <f t="shared" si="9"/>
        <v>48485704</v>
      </c>
      <c r="M44" s="3"/>
    </row>
    <row r="45" spans="1:13" x14ac:dyDescent="0.25">
      <c r="A45" s="15"/>
      <c r="B45" s="16" t="s">
        <v>46</v>
      </c>
      <c r="C45" s="3"/>
      <c r="D45" s="27">
        <v>14564693</v>
      </c>
      <c r="E45" s="28">
        <v>14089427</v>
      </c>
      <c r="F45" s="28">
        <f t="shared" si="11"/>
        <v>28654120</v>
      </c>
      <c r="G45" s="28">
        <v>0</v>
      </c>
      <c r="H45" s="77">
        <v>71462700</v>
      </c>
      <c r="I45" s="77">
        <f>81000+3571948</f>
        <v>3652948</v>
      </c>
      <c r="J45" s="28">
        <f t="shared" si="12"/>
        <v>75115648</v>
      </c>
      <c r="K45" s="28">
        <v>0</v>
      </c>
      <c r="L45" s="28">
        <f t="shared" si="9"/>
        <v>103769768</v>
      </c>
      <c r="M45" s="3"/>
    </row>
    <row r="46" spans="1:13" x14ac:dyDescent="0.25">
      <c r="A46" s="15"/>
      <c r="B46" s="16" t="s">
        <v>47</v>
      </c>
      <c r="C46" s="3"/>
      <c r="D46" s="27">
        <v>9351750</v>
      </c>
      <c r="E46" s="28">
        <v>9535607</v>
      </c>
      <c r="F46" s="28">
        <f t="shared" si="11"/>
        <v>18887357</v>
      </c>
      <c r="G46" s="28">
        <v>0</v>
      </c>
      <c r="H46" s="77">
        <v>43325030</v>
      </c>
      <c r="I46" s="77">
        <v>364090</v>
      </c>
      <c r="J46" s="28">
        <f t="shared" si="12"/>
        <v>43689120</v>
      </c>
      <c r="K46" s="28">
        <v>0</v>
      </c>
      <c r="L46" s="28">
        <f t="shared" si="9"/>
        <v>62576477</v>
      </c>
      <c r="M46" s="3"/>
    </row>
    <row r="47" spans="1:13" x14ac:dyDescent="0.25">
      <c r="A47" s="15"/>
      <c r="B47" s="16" t="s">
        <v>48</v>
      </c>
      <c r="C47" s="3"/>
      <c r="D47" s="27">
        <v>7946202</v>
      </c>
      <c r="E47" s="28">
        <v>7729728</v>
      </c>
      <c r="F47" s="28">
        <f t="shared" si="11"/>
        <v>15675930</v>
      </c>
      <c r="G47" s="28">
        <v>0</v>
      </c>
      <c r="H47" s="77">
        <v>36450277</v>
      </c>
      <c r="I47" s="77">
        <f>36111+98500+2482843</f>
        <v>2617454</v>
      </c>
      <c r="J47" s="28">
        <f t="shared" si="12"/>
        <v>39067731</v>
      </c>
      <c r="K47" s="28">
        <v>0</v>
      </c>
      <c r="L47" s="28">
        <f t="shared" si="9"/>
        <v>54743661</v>
      </c>
      <c r="M47" s="3"/>
    </row>
    <row r="48" spans="1:13" x14ac:dyDescent="0.25">
      <c r="A48" s="15"/>
      <c r="B48" s="16" t="s">
        <v>49</v>
      </c>
      <c r="C48" s="3"/>
      <c r="D48" s="27">
        <v>10907099</v>
      </c>
      <c r="E48" s="28">
        <v>10367921</v>
      </c>
      <c r="F48" s="28">
        <f t="shared" si="11"/>
        <v>21275020</v>
      </c>
      <c r="G48" s="28">
        <v>74923</v>
      </c>
      <c r="H48" s="77">
        <v>49246033</v>
      </c>
      <c r="I48" s="77">
        <f>41341+463753</f>
        <v>505094</v>
      </c>
      <c r="J48" s="28">
        <f t="shared" si="12"/>
        <v>49751127</v>
      </c>
      <c r="K48" s="28">
        <v>0</v>
      </c>
      <c r="L48" s="28">
        <f t="shared" si="9"/>
        <v>71101070</v>
      </c>
      <c r="M48" s="3"/>
    </row>
    <row r="49" spans="1:14" x14ac:dyDescent="0.25">
      <c r="A49" s="15"/>
      <c r="B49" s="16" t="s">
        <v>50</v>
      </c>
      <c r="C49" s="3"/>
      <c r="D49" s="27">
        <v>15732672</v>
      </c>
      <c r="E49" s="28">
        <v>15149849</v>
      </c>
      <c r="F49" s="28">
        <f t="shared" si="11"/>
        <v>30882521</v>
      </c>
      <c r="G49" s="28">
        <v>0</v>
      </c>
      <c r="H49" s="77">
        <v>79260910</v>
      </c>
      <c r="I49" s="77">
        <f>498503+5012686</f>
        <v>5511189</v>
      </c>
      <c r="J49" s="28">
        <f t="shared" si="12"/>
        <v>84772099</v>
      </c>
      <c r="K49" s="28">
        <v>0</v>
      </c>
      <c r="L49" s="28">
        <f t="shared" si="9"/>
        <v>115654620</v>
      </c>
      <c r="M49" s="3"/>
    </row>
    <row r="50" spans="1:14" x14ac:dyDescent="0.25">
      <c r="A50" s="15"/>
      <c r="B50" s="16" t="s">
        <v>51</v>
      </c>
      <c r="C50" s="3"/>
      <c r="D50" s="27">
        <v>566204</v>
      </c>
      <c r="E50" s="28">
        <v>467064</v>
      </c>
      <c r="F50" s="28">
        <f t="shared" si="11"/>
        <v>1033268</v>
      </c>
      <c r="G50" s="28">
        <v>0</v>
      </c>
      <c r="H50" s="77">
        <v>0</v>
      </c>
      <c r="I50" s="77">
        <v>2414000</v>
      </c>
      <c r="J50" s="28">
        <f t="shared" si="12"/>
        <v>2414000</v>
      </c>
      <c r="K50" s="28">
        <v>0</v>
      </c>
      <c r="L50" s="28">
        <f t="shared" si="9"/>
        <v>3447268</v>
      </c>
      <c r="M50" s="3"/>
    </row>
    <row r="51" spans="1:14" x14ac:dyDescent="0.25">
      <c r="A51" s="15"/>
      <c r="B51" s="16" t="s">
        <v>52</v>
      </c>
      <c r="C51" s="3"/>
      <c r="D51" s="27">
        <v>24027119</v>
      </c>
      <c r="E51" s="28">
        <v>22617801</v>
      </c>
      <c r="F51" s="28">
        <f t="shared" si="11"/>
        <v>46644920</v>
      </c>
      <c r="G51" s="28">
        <v>0</v>
      </c>
      <c r="H51" s="77">
        <v>94495405</v>
      </c>
      <c r="I51" s="77">
        <v>2444120</v>
      </c>
      <c r="J51" s="28">
        <f t="shared" si="12"/>
        <v>96939525</v>
      </c>
      <c r="K51" s="28">
        <v>0</v>
      </c>
      <c r="L51" s="28">
        <f t="shared" si="9"/>
        <v>143584445</v>
      </c>
      <c r="M51" s="3"/>
    </row>
    <row r="52" spans="1:14" x14ac:dyDescent="0.25">
      <c r="A52" s="15"/>
      <c r="B52" s="16" t="s">
        <v>53</v>
      </c>
      <c r="C52" s="3"/>
      <c r="D52" s="27">
        <v>12987015</v>
      </c>
      <c r="E52" s="28">
        <v>12693130</v>
      </c>
      <c r="F52" s="28">
        <f t="shared" si="11"/>
        <v>25680145</v>
      </c>
      <c r="G52" s="28">
        <v>0</v>
      </c>
      <c r="H52" s="77">
        <v>51811885</v>
      </c>
      <c r="I52" s="77">
        <f>66300+890000+459525</f>
        <v>1415825</v>
      </c>
      <c r="J52" s="28">
        <f t="shared" si="12"/>
        <v>53227710</v>
      </c>
      <c r="K52" s="28">
        <v>0</v>
      </c>
      <c r="L52" s="28">
        <f t="shared" si="9"/>
        <v>78907855</v>
      </c>
      <c r="M52" s="3"/>
    </row>
    <row r="53" spans="1:14" x14ac:dyDescent="0.25">
      <c r="A53" s="15"/>
      <c r="B53" s="16" t="s">
        <v>54</v>
      </c>
      <c r="C53" s="3"/>
      <c r="D53" s="27">
        <v>15803837</v>
      </c>
      <c r="E53" s="28">
        <v>15721612</v>
      </c>
      <c r="F53" s="28">
        <f t="shared" si="11"/>
        <v>31525449</v>
      </c>
      <c r="G53" s="28">
        <v>0</v>
      </c>
      <c r="H53" s="77">
        <v>65132675</v>
      </c>
      <c r="I53" s="77">
        <f>428925+4184542</f>
        <v>4613467</v>
      </c>
      <c r="J53" s="28">
        <f t="shared" si="12"/>
        <v>69746142</v>
      </c>
      <c r="K53" s="28">
        <v>0</v>
      </c>
      <c r="L53" s="28">
        <f t="shared" si="9"/>
        <v>101271591</v>
      </c>
      <c r="M53" s="3"/>
    </row>
    <row r="54" spans="1:14" x14ac:dyDescent="0.25">
      <c r="A54" s="12" t="s">
        <v>55</v>
      </c>
      <c r="B54" s="13"/>
      <c r="C54" s="6"/>
      <c r="D54" s="83">
        <f t="shared" ref="D54:K54" si="13">SUM(D44:D53)</f>
        <v>119788033</v>
      </c>
      <c r="E54" s="83">
        <f t="shared" si="13"/>
        <v>115986358</v>
      </c>
      <c r="F54" s="83">
        <f t="shared" si="13"/>
        <v>235774391</v>
      </c>
      <c r="G54" s="83">
        <f t="shared" si="13"/>
        <v>74923</v>
      </c>
      <c r="H54" s="74">
        <f>SUM(H44:H53)</f>
        <v>523568860</v>
      </c>
      <c r="I54" s="74">
        <f>SUM(I44:I53)</f>
        <v>24124285</v>
      </c>
      <c r="J54" s="83">
        <f t="shared" si="13"/>
        <v>547693145</v>
      </c>
      <c r="K54" s="83">
        <f t="shared" si="13"/>
        <v>0</v>
      </c>
      <c r="L54" s="83">
        <f t="shared" si="9"/>
        <v>783542459</v>
      </c>
      <c r="M54" s="6"/>
    </row>
    <row r="55" spans="1:14" x14ac:dyDescent="0.25">
      <c r="A55" s="12" t="s">
        <v>56</v>
      </c>
      <c r="B55" s="13"/>
      <c r="C55" s="6"/>
      <c r="D55" s="53">
        <f t="shared" ref="D55:K55" si="14">D54+D43+D36+D23+D8+D7+D6</f>
        <v>652511193</v>
      </c>
      <c r="E55" s="53">
        <f t="shared" si="14"/>
        <v>533675165</v>
      </c>
      <c r="F55" s="83">
        <f t="shared" si="14"/>
        <v>1186186358</v>
      </c>
      <c r="G55" s="53">
        <f t="shared" si="14"/>
        <v>37546031</v>
      </c>
      <c r="H55" s="79">
        <f>H54+H43+H36+H23+H8+H7+H6</f>
        <v>1251489050</v>
      </c>
      <c r="I55" s="79">
        <f>I54+I43+I36+I23+I8+I7+I6</f>
        <v>75125654</v>
      </c>
      <c r="J55" s="83">
        <f t="shared" si="14"/>
        <v>1326614704</v>
      </c>
      <c r="K55" s="53">
        <f t="shared" si="14"/>
        <v>83058059</v>
      </c>
      <c r="L55" s="83">
        <f t="shared" si="9"/>
        <v>2633405152</v>
      </c>
      <c r="M55" s="6"/>
    </row>
    <row r="56" spans="1:14" s="32" customFormat="1" x14ac:dyDescent="0.25">
      <c r="A56" s="38" t="s">
        <v>63</v>
      </c>
      <c r="B56" s="38"/>
      <c r="C56" s="40"/>
      <c r="D56" s="83">
        <f>D55-D7-D24-D25-0</f>
        <v>421551091</v>
      </c>
      <c r="E56" s="83">
        <f>E55-E7-E24-E25-0</f>
        <v>466276129</v>
      </c>
      <c r="F56" s="41">
        <f>D56+E56</f>
        <v>887827220</v>
      </c>
      <c r="G56" s="83">
        <f>G55-G7-G24-G25-0</f>
        <v>37120096</v>
      </c>
      <c r="H56" s="74">
        <f>H55-H7-H24-H25-0</f>
        <v>1251489050</v>
      </c>
      <c r="I56" s="74">
        <f>I55-I7-I24-I25-0</f>
        <v>75084204</v>
      </c>
      <c r="J56" s="41">
        <f>H56+I56</f>
        <v>1326573254</v>
      </c>
      <c r="K56" s="83">
        <f>K55-K7-K24-K25-0</f>
        <v>30707151</v>
      </c>
      <c r="L56" s="83">
        <f t="shared" si="9"/>
        <v>2282227721</v>
      </c>
      <c r="M56" s="40"/>
      <c r="N56" s="31"/>
    </row>
    <row r="57" spans="1:14" x14ac:dyDescent="0.25">
      <c r="A57" s="7"/>
      <c r="B57" s="7"/>
      <c r="C57" s="7"/>
      <c r="D57" s="25">
        <f>D56+350000000</f>
        <v>771551091</v>
      </c>
      <c r="M57" s="7"/>
    </row>
    <row r="58" spans="1:14" x14ac:dyDescent="0.25">
      <c r="A58" s="7"/>
      <c r="B58" s="7"/>
      <c r="C58" s="7"/>
      <c r="D58" s="25">
        <f>D56+350000000</f>
        <v>771551091</v>
      </c>
      <c r="M58" s="7"/>
    </row>
    <row r="60" spans="1:14" x14ac:dyDescent="0.25">
      <c r="F60" s="25">
        <f>F56-'FY08-09'!F56</f>
        <v>-683756471</v>
      </c>
    </row>
    <row r="61" spans="1:14" x14ac:dyDescent="0.25">
      <c r="D61">
        <v>112352098.60088785</v>
      </c>
    </row>
    <row r="62" spans="1:14" x14ac:dyDescent="0.25">
      <c r="D62" s="25">
        <f>D61+D68</f>
        <v>176351448.60088784</v>
      </c>
    </row>
    <row r="63" spans="1:14" x14ac:dyDescent="0.25">
      <c r="D63" s="25">
        <f>D39+D37+D34+D35+D32+D31+D26</f>
        <v>136199941</v>
      </c>
    </row>
    <row r="64" spans="1:14" x14ac:dyDescent="0.25">
      <c r="D64" s="25">
        <f>D63+D62</f>
        <v>312551389.60088784</v>
      </c>
    </row>
    <row r="65" spans="2:12" x14ac:dyDescent="0.25">
      <c r="F65" s="25">
        <f>F54-F50+F41+F40+F38+F33+F30+F28+F27+F23-F15-F14</f>
        <v>533075310</v>
      </c>
      <c r="G65" s="25"/>
      <c r="H65" s="25">
        <f t="shared" ref="H65:J65" si="15">H54-H50+H41+H40+H38+H33+H30+H28+H27+H23-H15-H14</f>
        <v>1171620693</v>
      </c>
      <c r="I65" s="25">
        <f t="shared" si="15"/>
        <v>50949611</v>
      </c>
      <c r="J65" s="25">
        <f t="shared" si="15"/>
        <v>1222570304</v>
      </c>
    </row>
    <row r="67" spans="2:12" x14ac:dyDescent="0.25">
      <c r="D67" s="25">
        <f>D54-D50+D40+D38+D33+D28+D27+D34</f>
        <v>204809725</v>
      </c>
      <c r="E67" s="25">
        <f t="shared" ref="E67:L67" si="16">E54-E50+E40+E38+E33+E28+E27+E34</f>
        <v>204577969</v>
      </c>
      <c r="F67" s="25">
        <f t="shared" si="16"/>
        <v>409387694</v>
      </c>
      <c r="G67" s="25">
        <f t="shared" si="16"/>
        <v>12283099</v>
      </c>
      <c r="H67" s="25">
        <f t="shared" si="16"/>
        <v>981226996</v>
      </c>
      <c r="I67" s="25">
        <f t="shared" si="16"/>
        <v>48993886</v>
      </c>
      <c r="J67" s="25">
        <f t="shared" si="16"/>
        <v>1030220882</v>
      </c>
      <c r="K67" s="25">
        <f t="shared" si="16"/>
        <v>0</v>
      </c>
      <c r="L67" s="25">
        <f t="shared" si="16"/>
        <v>1451891675</v>
      </c>
    </row>
    <row r="68" spans="2:12" x14ac:dyDescent="0.25">
      <c r="D68" s="25">
        <f>D41+D30+D23-D15-D14</f>
        <v>63999350</v>
      </c>
      <c r="E68" s="25">
        <f t="shared" ref="E68:L68" si="17">E41+E30+E23-E15-E14</f>
        <v>59688266</v>
      </c>
      <c r="F68" s="25">
        <f t="shared" si="17"/>
        <v>123687616</v>
      </c>
      <c r="G68" s="25">
        <f t="shared" si="17"/>
        <v>0</v>
      </c>
      <c r="H68" s="25">
        <f t="shared" si="17"/>
        <v>190393697</v>
      </c>
      <c r="I68" s="25">
        <f t="shared" si="17"/>
        <v>1955725</v>
      </c>
      <c r="J68" s="25">
        <f t="shared" si="17"/>
        <v>192349422</v>
      </c>
      <c r="K68" s="25">
        <f t="shared" si="17"/>
        <v>0</v>
      </c>
      <c r="L68" s="25">
        <f t="shared" si="17"/>
        <v>316037038</v>
      </c>
    </row>
    <row r="69" spans="2:12" x14ac:dyDescent="0.25">
      <c r="D69" s="25">
        <f>D68+D67</f>
        <v>268809075</v>
      </c>
      <c r="E69" s="25">
        <f t="shared" ref="E69:L69" si="18">E68+E67</f>
        <v>264266235</v>
      </c>
      <c r="F69" s="25">
        <f t="shared" si="18"/>
        <v>533075310</v>
      </c>
      <c r="G69" s="25">
        <f t="shared" si="18"/>
        <v>12283099</v>
      </c>
      <c r="H69" s="25">
        <f t="shared" si="18"/>
        <v>1171620693</v>
      </c>
      <c r="I69" s="25">
        <f t="shared" si="18"/>
        <v>50949611</v>
      </c>
      <c r="J69" s="25">
        <f t="shared" si="18"/>
        <v>1222570304</v>
      </c>
      <c r="K69" s="25">
        <f t="shared" si="18"/>
        <v>0</v>
      </c>
      <c r="L69" s="25">
        <f t="shared" si="18"/>
        <v>1767928713</v>
      </c>
    </row>
    <row r="72" spans="2:12" x14ac:dyDescent="0.25">
      <c r="B72" t="s">
        <v>110</v>
      </c>
      <c r="D72" s="25">
        <f>D73+D74-D37-D35-D26</f>
        <v>358600760</v>
      </c>
      <c r="E72" s="25">
        <f t="shared" ref="E72:L72" si="19">E73+E74-E37-E35-E26</f>
        <v>369196437</v>
      </c>
      <c r="F72" s="25">
        <f t="shared" si="19"/>
        <v>727797197</v>
      </c>
      <c r="G72" s="25">
        <f t="shared" si="19"/>
        <v>12283099</v>
      </c>
      <c r="H72" s="25">
        <f t="shared" si="19"/>
        <v>1251489050</v>
      </c>
      <c r="I72" s="25">
        <f t="shared" si="19"/>
        <v>57186377</v>
      </c>
      <c r="J72" s="25">
        <f t="shared" si="19"/>
        <v>1308675427</v>
      </c>
      <c r="K72" s="25">
        <f t="shared" si="19"/>
        <v>0</v>
      </c>
      <c r="L72" s="25">
        <f t="shared" si="19"/>
        <v>2048755723</v>
      </c>
    </row>
    <row r="73" spans="2:12" x14ac:dyDescent="0.25">
      <c r="B73" t="s">
        <v>104</v>
      </c>
      <c r="D73" s="25">
        <f>D69</f>
        <v>268809075</v>
      </c>
      <c r="E73" s="25">
        <f t="shared" ref="E73:L73" si="20">E69</f>
        <v>264266235</v>
      </c>
      <c r="F73" s="25">
        <f t="shared" si="20"/>
        <v>533075310</v>
      </c>
      <c r="G73" s="25">
        <f t="shared" si="20"/>
        <v>12283099</v>
      </c>
      <c r="H73" s="25">
        <f t="shared" si="20"/>
        <v>1171620693</v>
      </c>
      <c r="I73" s="25">
        <f t="shared" si="20"/>
        <v>50949611</v>
      </c>
      <c r="J73" s="25">
        <f t="shared" si="20"/>
        <v>1222570304</v>
      </c>
      <c r="K73" s="25">
        <f t="shared" si="20"/>
        <v>0</v>
      </c>
      <c r="L73" s="25">
        <f t="shared" si="20"/>
        <v>1767928713</v>
      </c>
    </row>
    <row r="74" spans="2:12" x14ac:dyDescent="0.25">
      <c r="B74" t="s">
        <v>105</v>
      </c>
      <c r="D74" s="25">
        <f>D39+D37+D35+D34+D32+D31+D26</f>
        <v>136199941</v>
      </c>
      <c r="E74" s="25">
        <f t="shared" ref="E74:L74" si="21">E39+E37+E35+E34+E32+E31+E26</f>
        <v>150422033</v>
      </c>
      <c r="F74" s="25">
        <f t="shared" si="21"/>
        <v>286621974</v>
      </c>
      <c r="G74" s="25">
        <f t="shared" si="21"/>
        <v>0</v>
      </c>
      <c r="H74" s="25">
        <f t="shared" si="21"/>
        <v>79868357</v>
      </c>
      <c r="I74" s="25">
        <f t="shared" si="21"/>
        <v>13890294</v>
      </c>
      <c r="J74" s="25">
        <f t="shared" si="21"/>
        <v>93758651</v>
      </c>
      <c r="K74" s="25">
        <f t="shared" si="21"/>
        <v>16672484</v>
      </c>
      <c r="L74" s="25">
        <f t="shared" si="21"/>
        <v>397053109</v>
      </c>
    </row>
    <row r="75" spans="2:12" x14ac:dyDescent="0.25">
      <c r="B75" t="s">
        <v>106</v>
      </c>
      <c r="D75" s="25">
        <f>D7</f>
        <v>230960102</v>
      </c>
      <c r="E75" s="25">
        <f t="shared" ref="E75:L75" si="22">E7</f>
        <v>67399036</v>
      </c>
      <c r="F75" s="25">
        <f t="shared" si="22"/>
        <v>298359138</v>
      </c>
      <c r="G75" s="25">
        <f t="shared" si="22"/>
        <v>425935</v>
      </c>
      <c r="H75" s="25">
        <f t="shared" si="22"/>
        <v>0</v>
      </c>
      <c r="I75" s="25">
        <f t="shared" si="22"/>
        <v>41450</v>
      </c>
      <c r="J75" s="25">
        <f t="shared" si="22"/>
        <v>41450</v>
      </c>
      <c r="K75" s="25">
        <f t="shared" si="22"/>
        <v>52350908</v>
      </c>
      <c r="L75" s="25">
        <f t="shared" si="22"/>
        <v>351177431</v>
      </c>
    </row>
    <row r="76" spans="2:12" x14ac:dyDescent="0.25">
      <c r="B76" t="s">
        <v>107</v>
      </c>
      <c r="D76" s="25">
        <f>D50+D42+D29+D15+D14+D8+D6</f>
        <v>16542075</v>
      </c>
      <c r="E76" s="25">
        <f t="shared" ref="E76:L76" si="23">E50+E42+E29+E15+E14+E8+E6</f>
        <v>51587861</v>
      </c>
      <c r="F76" s="25">
        <f t="shared" si="23"/>
        <v>68129936</v>
      </c>
      <c r="G76" s="25">
        <f t="shared" si="23"/>
        <v>24836997</v>
      </c>
      <c r="H76" s="25">
        <f t="shared" si="23"/>
        <v>0</v>
      </c>
      <c r="I76" s="25">
        <f t="shared" si="23"/>
        <v>10244299</v>
      </c>
      <c r="J76" s="25">
        <f t="shared" si="23"/>
        <v>10244299</v>
      </c>
      <c r="K76" s="25">
        <f t="shared" si="23"/>
        <v>14034667</v>
      </c>
      <c r="L76" s="25">
        <f t="shared" si="23"/>
        <v>117245899</v>
      </c>
    </row>
    <row r="77" spans="2:12" x14ac:dyDescent="0.25">
      <c r="D77" s="25">
        <f>SUM(D73:D76)</f>
        <v>652511193</v>
      </c>
      <c r="E77" s="25">
        <f t="shared" ref="E77:L77" si="24">SUM(E73:E76)</f>
        <v>533675165</v>
      </c>
      <c r="F77" s="25">
        <f t="shared" si="24"/>
        <v>1186186358</v>
      </c>
      <c r="G77" s="25">
        <f t="shared" si="24"/>
        <v>37546031</v>
      </c>
      <c r="H77" s="25">
        <f t="shared" si="24"/>
        <v>1251489050</v>
      </c>
      <c r="I77" s="25">
        <f t="shared" si="24"/>
        <v>75125654</v>
      </c>
      <c r="J77" s="25">
        <f t="shared" si="24"/>
        <v>1326614704</v>
      </c>
      <c r="K77" s="25">
        <f t="shared" si="24"/>
        <v>83058059</v>
      </c>
      <c r="L77" s="25">
        <f t="shared" si="24"/>
        <v>2633405152</v>
      </c>
    </row>
    <row r="81" spans="4:4" x14ac:dyDescent="0.25">
      <c r="D81">
        <v>221045968.65809238</v>
      </c>
    </row>
    <row r="82" spans="4:4" x14ac:dyDescent="0.25">
      <c r="D82" s="25">
        <f>D81+D73</f>
        <v>489855043.65809238</v>
      </c>
    </row>
  </sheetData>
  <pageMargins left="0.7" right="0.7" top="0.75" bottom="0.75" header="0.3" footer="0.3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77"/>
  <sheetViews>
    <sheetView workbookViewId="0">
      <pane ySplit="5" topLeftCell="A36" activePane="bottomLeft" state="frozen"/>
      <selection pane="bottomLeft" activeCell="G55" sqref="G55"/>
    </sheetView>
  </sheetViews>
  <sheetFormatPr defaultRowHeight="15" x14ac:dyDescent="0.25"/>
  <cols>
    <col min="2" max="2" width="22.85546875" customWidth="1"/>
    <col min="3" max="3" width="1.42578125" customWidth="1"/>
    <col min="4" max="5" width="15.28515625" customWidth="1"/>
    <col min="6" max="6" width="16.28515625" style="25" customWidth="1"/>
    <col min="7" max="7" width="15.28515625" customWidth="1"/>
    <col min="8" max="8" width="16.28515625" bestFit="1" customWidth="1"/>
    <col min="9" max="9" width="15.28515625" customWidth="1"/>
    <col min="10" max="10" width="16.28515625" style="25" customWidth="1"/>
    <col min="11" max="11" width="15.28515625" customWidth="1"/>
    <col min="12" max="12" width="16.28515625" style="25" customWidth="1"/>
    <col min="13" max="13" width="1.42578125" customWidth="1"/>
  </cols>
  <sheetData>
    <row r="1" spans="1:13" s="99" customFormat="1" ht="18.75" x14ac:dyDescent="0.3">
      <c r="A1" s="99" t="s">
        <v>94</v>
      </c>
      <c r="F1" s="100"/>
      <c r="J1" s="100"/>
      <c r="L1" s="100"/>
    </row>
    <row r="2" spans="1:13" s="99" customFormat="1" ht="18.75" x14ac:dyDescent="0.3">
      <c r="A2" s="101" t="s">
        <v>90</v>
      </c>
      <c r="B2" s="101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9" customFormat="1" ht="18.75" x14ac:dyDescent="0.3">
      <c r="A3" s="102"/>
      <c r="B3" s="101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x14ac:dyDescent="0.25">
      <c r="A4" s="1"/>
      <c r="B4" s="2"/>
      <c r="C4" s="9"/>
      <c r="D4" s="25"/>
      <c r="E4" s="25"/>
      <c r="G4" s="25"/>
      <c r="H4" s="25"/>
      <c r="I4" s="25"/>
      <c r="K4" s="25"/>
      <c r="M4" s="9"/>
    </row>
    <row r="5" spans="1:13" ht="30" x14ac:dyDescent="0.25">
      <c r="A5" s="10" t="s">
        <v>0</v>
      </c>
      <c r="B5" s="10" t="s">
        <v>1</v>
      </c>
      <c r="C5" s="4"/>
      <c r="D5" s="26" t="s">
        <v>57</v>
      </c>
      <c r="E5" s="26" t="s">
        <v>58</v>
      </c>
      <c r="F5" s="26" t="s">
        <v>67</v>
      </c>
      <c r="G5" s="26" t="s">
        <v>59</v>
      </c>
      <c r="H5" s="73" t="s">
        <v>88</v>
      </c>
      <c r="I5" s="73" t="s">
        <v>68</v>
      </c>
      <c r="J5" s="26" t="s">
        <v>60</v>
      </c>
      <c r="K5" s="26" t="s">
        <v>61</v>
      </c>
      <c r="L5" s="26" t="s">
        <v>62</v>
      </c>
      <c r="M5" s="4"/>
    </row>
    <row r="6" spans="1:13" s="32" customFormat="1" x14ac:dyDescent="0.25">
      <c r="A6" s="47" t="s">
        <v>2</v>
      </c>
      <c r="B6" s="47" t="s">
        <v>3</v>
      </c>
      <c r="C6" s="48"/>
      <c r="D6" s="83">
        <v>14046612</v>
      </c>
      <c r="E6" s="83">
        <v>24630000</v>
      </c>
      <c r="F6" s="83">
        <f>D6+E6</f>
        <v>38676612</v>
      </c>
      <c r="G6" s="83">
        <v>11500000</v>
      </c>
      <c r="H6" s="74">
        <v>0</v>
      </c>
      <c r="I6" s="74">
        <v>2730299</v>
      </c>
      <c r="J6" s="83">
        <f t="shared" ref="J6:J11" si="0">H6+I6</f>
        <v>2730299</v>
      </c>
      <c r="K6" s="83">
        <v>12172314</v>
      </c>
      <c r="L6" s="83">
        <f t="shared" ref="L6:L11" si="1">F6+G6+J6+K6</f>
        <v>65079225</v>
      </c>
      <c r="M6" s="48"/>
    </row>
    <row r="7" spans="1:13" s="32" customFormat="1" x14ac:dyDescent="0.25">
      <c r="A7" s="49" t="s">
        <v>4</v>
      </c>
      <c r="B7" s="49" t="s">
        <v>4</v>
      </c>
      <c r="C7" s="50"/>
      <c r="D7" s="43">
        <v>182208087</v>
      </c>
      <c r="E7" s="44">
        <v>60321750</v>
      </c>
      <c r="F7" s="83">
        <f>D7+E7</f>
        <v>242529837</v>
      </c>
      <c r="G7" s="44">
        <v>3725935</v>
      </c>
      <c r="H7" s="75">
        <v>0</v>
      </c>
      <c r="I7" s="75">
        <v>92750</v>
      </c>
      <c r="J7" s="83">
        <f t="shared" si="0"/>
        <v>92750</v>
      </c>
      <c r="K7" s="44">
        <v>47024032</v>
      </c>
      <c r="L7" s="83">
        <f t="shared" si="1"/>
        <v>293372554</v>
      </c>
      <c r="M7" s="50"/>
    </row>
    <row r="8" spans="1:13" s="32" customFormat="1" x14ac:dyDescent="0.25">
      <c r="A8" s="51" t="s">
        <v>5</v>
      </c>
      <c r="B8" s="51" t="s">
        <v>5</v>
      </c>
      <c r="C8" s="52"/>
      <c r="D8" s="45">
        <v>2279428</v>
      </c>
      <c r="E8" s="46">
        <v>40980</v>
      </c>
      <c r="F8" s="83">
        <f>D8+E8</f>
        <v>2320408</v>
      </c>
      <c r="G8" s="46">
        <v>375000</v>
      </c>
      <c r="H8" s="76">
        <v>0</v>
      </c>
      <c r="I8" s="76">
        <v>5100000</v>
      </c>
      <c r="J8" s="83">
        <f t="shared" si="0"/>
        <v>5100000</v>
      </c>
      <c r="K8" s="46">
        <v>4034667</v>
      </c>
      <c r="L8" s="83">
        <f t="shared" si="1"/>
        <v>11830075</v>
      </c>
      <c r="M8" s="52"/>
    </row>
    <row r="9" spans="1:13" x14ac:dyDescent="0.25">
      <c r="A9" s="16" t="s">
        <v>6</v>
      </c>
      <c r="B9" s="16" t="s">
        <v>7</v>
      </c>
      <c r="C9" s="3"/>
      <c r="D9" s="27">
        <v>12616870</v>
      </c>
      <c r="E9" s="28">
        <v>796247</v>
      </c>
      <c r="F9" s="28">
        <f>D9+E9</f>
        <v>13413117</v>
      </c>
      <c r="G9" s="28">
        <v>0</v>
      </c>
      <c r="H9" s="77">
        <v>25739562</v>
      </c>
      <c r="I9" s="77">
        <v>450000</v>
      </c>
      <c r="J9" s="28">
        <f t="shared" si="0"/>
        <v>26189562</v>
      </c>
      <c r="K9" s="28">
        <v>0</v>
      </c>
      <c r="L9" s="28">
        <f t="shared" si="1"/>
        <v>39602679</v>
      </c>
      <c r="M9" s="3"/>
    </row>
    <row r="10" spans="1:13" x14ac:dyDescent="0.25">
      <c r="A10" s="15"/>
      <c r="B10" s="16" t="s">
        <v>8</v>
      </c>
      <c r="C10" s="3"/>
      <c r="D10" s="27">
        <v>10611041</v>
      </c>
      <c r="E10" s="28">
        <v>401275</v>
      </c>
      <c r="F10" s="28">
        <f>D10+E10</f>
        <v>11012316</v>
      </c>
      <c r="G10" s="28">
        <v>0</v>
      </c>
      <c r="H10" s="77">
        <v>25536275</v>
      </c>
      <c r="I10" s="77">
        <v>37600</v>
      </c>
      <c r="J10" s="28">
        <f t="shared" si="0"/>
        <v>25573875</v>
      </c>
      <c r="K10" s="28">
        <v>0</v>
      </c>
      <c r="L10" s="28">
        <f t="shared" si="1"/>
        <v>36586191</v>
      </c>
      <c r="M10" s="3"/>
    </row>
    <row r="11" spans="1:13" x14ac:dyDescent="0.25">
      <c r="A11" s="15"/>
      <c r="B11" s="16" t="s">
        <v>9</v>
      </c>
      <c r="C11" s="3"/>
      <c r="D11" s="27">
        <v>5186197</v>
      </c>
      <c r="E11" s="28">
        <v>286589</v>
      </c>
      <c r="F11" s="28">
        <f t="shared" ref="F11:F22" si="2">D11+E11</f>
        <v>5472786</v>
      </c>
      <c r="G11" s="28">
        <v>0</v>
      </c>
      <c r="H11" s="77">
        <v>4096323</v>
      </c>
      <c r="I11" s="77">
        <v>0</v>
      </c>
      <c r="J11" s="28">
        <f t="shared" si="0"/>
        <v>4096323</v>
      </c>
      <c r="K11" s="28">
        <v>0</v>
      </c>
      <c r="L11" s="28">
        <f t="shared" si="1"/>
        <v>9569109</v>
      </c>
      <c r="M11" s="3"/>
    </row>
    <row r="12" spans="1:13" x14ac:dyDescent="0.25">
      <c r="A12" s="15"/>
      <c r="B12" s="16" t="s">
        <v>10</v>
      </c>
      <c r="C12" s="3"/>
      <c r="D12" s="27">
        <v>25156147</v>
      </c>
      <c r="E12" s="28">
        <v>1669276</v>
      </c>
      <c r="F12" s="28">
        <f t="shared" si="2"/>
        <v>26825423</v>
      </c>
      <c r="G12" s="28">
        <v>0</v>
      </c>
      <c r="H12" s="77">
        <v>55839518</v>
      </c>
      <c r="I12" s="77">
        <v>1100000</v>
      </c>
      <c r="J12" s="28">
        <f t="shared" ref="J12:J22" si="3">H12+I12</f>
        <v>56939518</v>
      </c>
      <c r="K12" s="28">
        <v>0</v>
      </c>
      <c r="L12" s="28">
        <f t="shared" ref="L12:L21" si="4">F12+G12+J12+K12</f>
        <v>83764941</v>
      </c>
      <c r="M12" s="3"/>
    </row>
    <row r="13" spans="1:13" x14ac:dyDescent="0.25">
      <c r="A13" s="15"/>
      <c r="B13" s="16" t="s">
        <v>11</v>
      </c>
      <c r="C13" s="3"/>
      <c r="D13" s="27">
        <v>3166341</v>
      </c>
      <c r="E13" s="28">
        <v>138658</v>
      </c>
      <c r="F13" s="28">
        <f t="shared" si="2"/>
        <v>3304999</v>
      </c>
      <c r="G13" s="28">
        <v>0</v>
      </c>
      <c r="H13" s="77">
        <v>5783195</v>
      </c>
      <c r="I13" s="77">
        <v>100000</v>
      </c>
      <c r="J13" s="28">
        <f t="shared" si="3"/>
        <v>5883195</v>
      </c>
      <c r="K13" s="28">
        <v>0</v>
      </c>
      <c r="L13" s="28">
        <f t="shared" si="4"/>
        <v>9188194</v>
      </c>
      <c r="M13" s="3"/>
    </row>
    <row r="14" spans="1:13" x14ac:dyDescent="0.25">
      <c r="A14" s="15"/>
      <c r="B14" s="16" t="s">
        <v>12</v>
      </c>
      <c r="C14" s="3"/>
      <c r="D14" s="27">
        <v>9330457</v>
      </c>
      <c r="E14" s="28">
        <v>10000000</v>
      </c>
      <c r="F14" s="28">
        <f t="shared" si="2"/>
        <v>19330457</v>
      </c>
      <c r="G14" s="28">
        <v>0</v>
      </c>
      <c r="H14" s="77">
        <v>0</v>
      </c>
      <c r="I14" s="77">
        <v>0</v>
      </c>
      <c r="J14" s="28">
        <f t="shared" si="3"/>
        <v>0</v>
      </c>
      <c r="K14" s="28">
        <v>0</v>
      </c>
      <c r="L14" s="28">
        <f t="shared" si="4"/>
        <v>19330457</v>
      </c>
      <c r="M14" s="3"/>
    </row>
    <row r="15" spans="1:13" x14ac:dyDescent="0.25">
      <c r="A15" s="15"/>
      <c r="B15" s="16" t="s">
        <v>13</v>
      </c>
      <c r="C15" s="3"/>
      <c r="D15" s="27">
        <v>1287012</v>
      </c>
      <c r="E15" s="28">
        <v>0</v>
      </c>
      <c r="F15" s="28">
        <f t="shared" si="2"/>
        <v>1287012</v>
      </c>
      <c r="G15" s="28">
        <v>0</v>
      </c>
      <c r="H15" s="77">
        <v>0</v>
      </c>
      <c r="I15" s="77">
        <v>0</v>
      </c>
      <c r="J15" s="28">
        <f t="shared" si="3"/>
        <v>0</v>
      </c>
      <c r="K15" s="28">
        <v>0</v>
      </c>
      <c r="L15" s="28">
        <f t="shared" si="4"/>
        <v>1287012</v>
      </c>
      <c r="M15" s="3"/>
    </row>
    <row r="16" spans="1:13" x14ac:dyDescent="0.25">
      <c r="A16" s="15"/>
      <c r="B16" s="16" t="s">
        <v>14</v>
      </c>
      <c r="C16" s="3"/>
      <c r="D16" s="27">
        <v>7637236</v>
      </c>
      <c r="E16" s="28">
        <v>426555</v>
      </c>
      <c r="F16" s="28">
        <f t="shared" si="2"/>
        <v>8063791</v>
      </c>
      <c r="G16" s="28">
        <v>0</v>
      </c>
      <c r="H16" s="77">
        <v>10370051</v>
      </c>
      <c r="I16" s="77">
        <v>700</v>
      </c>
      <c r="J16" s="28">
        <f t="shared" si="3"/>
        <v>10370751</v>
      </c>
      <c r="K16" s="28">
        <v>0</v>
      </c>
      <c r="L16" s="28">
        <f t="shared" si="4"/>
        <v>18434542</v>
      </c>
      <c r="M16" s="3"/>
    </row>
    <row r="17" spans="1:13" x14ac:dyDescent="0.25">
      <c r="A17" s="15"/>
      <c r="B17" s="16" t="s">
        <v>15</v>
      </c>
      <c r="C17" s="3"/>
      <c r="D17" s="27">
        <v>10021027</v>
      </c>
      <c r="E17" s="28">
        <v>555514</v>
      </c>
      <c r="F17" s="28">
        <f t="shared" si="2"/>
        <v>10576541</v>
      </c>
      <c r="G17" s="28">
        <v>0</v>
      </c>
      <c r="H17" s="77">
        <v>7339506</v>
      </c>
      <c r="I17" s="77">
        <v>10000</v>
      </c>
      <c r="J17" s="28">
        <f t="shared" si="3"/>
        <v>7349506</v>
      </c>
      <c r="K17" s="28">
        <v>0</v>
      </c>
      <c r="L17" s="28">
        <f t="shared" si="4"/>
        <v>17926047</v>
      </c>
      <c r="M17" s="3"/>
    </row>
    <row r="18" spans="1:13" x14ac:dyDescent="0.25">
      <c r="A18" s="15"/>
      <c r="B18" s="16" t="s">
        <v>16</v>
      </c>
      <c r="C18" s="3"/>
      <c r="D18" s="27">
        <v>3445379</v>
      </c>
      <c r="E18" s="28">
        <v>154822</v>
      </c>
      <c r="F18" s="28">
        <f t="shared" si="2"/>
        <v>3600201</v>
      </c>
      <c r="G18" s="28">
        <v>0</v>
      </c>
      <c r="H18" s="77">
        <v>5891132</v>
      </c>
      <c r="I18" s="77">
        <f>51373+31063</f>
        <v>82436</v>
      </c>
      <c r="J18" s="28">
        <f t="shared" si="3"/>
        <v>5973568</v>
      </c>
      <c r="K18" s="28">
        <v>0</v>
      </c>
      <c r="L18" s="28">
        <f t="shared" si="4"/>
        <v>9573769</v>
      </c>
      <c r="M18" s="3"/>
    </row>
    <row r="19" spans="1:13" x14ac:dyDescent="0.25">
      <c r="A19" s="15"/>
      <c r="B19" s="16" t="s">
        <v>17</v>
      </c>
      <c r="C19" s="3"/>
      <c r="D19" s="27">
        <v>5038565</v>
      </c>
      <c r="E19" s="28">
        <v>237395</v>
      </c>
      <c r="F19" s="28">
        <f t="shared" si="2"/>
        <v>5275960</v>
      </c>
      <c r="G19" s="28">
        <v>0</v>
      </c>
      <c r="H19" s="77">
        <v>5794961</v>
      </c>
      <c r="I19" s="77">
        <f>1559+3480</f>
        <v>5039</v>
      </c>
      <c r="J19" s="28">
        <f t="shared" si="3"/>
        <v>5800000</v>
      </c>
      <c r="K19" s="28">
        <v>0</v>
      </c>
      <c r="L19" s="28">
        <f t="shared" si="4"/>
        <v>11075960</v>
      </c>
      <c r="M19" s="3"/>
    </row>
    <row r="20" spans="1:13" x14ac:dyDescent="0.25">
      <c r="A20" s="15"/>
      <c r="B20" s="16" t="s">
        <v>18</v>
      </c>
      <c r="C20" s="3"/>
      <c r="D20" s="27">
        <v>3191701</v>
      </c>
      <c r="E20" s="28">
        <v>140903</v>
      </c>
      <c r="F20" s="28">
        <f t="shared" si="2"/>
        <v>3332604</v>
      </c>
      <c r="G20" s="28">
        <v>0</v>
      </c>
      <c r="H20" s="77">
        <v>6142431</v>
      </c>
      <c r="I20" s="77">
        <v>0</v>
      </c>
      <c r="J20" s="28">
        <f t="shared" si="3"/>
        <v>6142431</v>
      </c>
      <c r="K20" s="28">
        <v>0</v>
      </c>
      <c r="L20" s="28">
        <f t="shared" si="4"/>
        <v>9475035</v>
      </c>
      <c r="M20" s="3"/>
    </row>
    <row r="21" spans="1:13" x14ac:dyDescent="0.25">
      <c r="A21" s="15"/>
      <c r="B21" s="16" t="s">
        <v>19</v>
      </c>
      <c r="C21" s="3"/>
      <c r="D21" s="27">
        <v>12240139</v>
      </c>
      <c r="E21" s="28">
        <v>691090</v>
      </c>
      <c r="F21" s="28">
        <f t="shared" si="2"/>
        <v>12931229</v>
      </c>
      <c r="G21" s="28">
        <v>0</v>
      </c>
      <c r="H21" s="77">
        <v>16366730</v>
      </c>
      <c r="I21" s="77">
        <v>8116</v>
      </c>
      <c r="J21" s="28">
        <f t="shared" si="3"/>
        <v>16374846</v>
      </c>
      <c r="K21" s="28">
        <v>0</v>
      </c>
      <c r="L21" s="28">
        <f t="shared" si="4"/>
        <v>29306075</v>
      </c>
      <c r="M21" s="3"/>
    </row>
    <row r="22" spans="1:13" x14ac:dyDescent="0.25">
      <c r="A22" s="15"/>
      <c r="B22" s="16" t="s">
        <v>20</v>
      </c>
      <c r="C22" s="3"/>
      <c r="D22" s="27">
        <v>6793216</v>
      </c>
      <c r="E22" s="28">
        <v>835102</v>
      </c>
      <c r="F22" s="28">
        <f t="shared" si="2"/>
        <v>7628318</v>
      </c>
      <c r="G22" s="28">
        <v>0</v>
      </c>
      <c r="H22" s="77">
        <v>8316912</v>
      </c>
      <c r="I22" s="77">
        <f>14491+64653</f>
        <v>79144</v>
      </c>
      <c r="J22" s="28">
        <f t="shared" si="3"/>
        <v>8396056</v>
      </c>
      <c r="K22" s="28">
        <v>0</v>
      </c>
      <c r="L22" s="28">
        <f>F22+G22+J22+K22</f>
        <v>16024374</v>
      </c>
      <c r="M22" s="3"/>
    </row>
    <row r="23" spans="1:13" x14ac:dyDescent="0.25">
      <c r="A23" s="17" t="s">
        <v>21</v>
      </c>
      <c r="B23" s="18"/>
      <c r="C23" s="6"/>
      <c r="D23" s="83">
        <f t="shared" ref="D23:K23" si="5">SUM(D9:D22)</f>
        <v>115721328</v>
      </c>
      <c r="E23" s="83">
        <f t="shared" si="5"/>
        <v>16333426</v>
      </c>
      <c r="F23" s="83">
        <f t="shared" si="5"/>
        <v>132054754</v>
      </c>
      <c r="G23" s="83">
        <f t="shared" si="5"/>
        <v>0</v>
      </c>
      <c r="H23" s="74">
        <f>SUM(H9:H22)</f>
        <v>177216596</v>
      </c>
      <c r="I23" s="74">
        <f>SUM(I9:I22)</f>
        <v>1873035</v>
      </c>
      <c r="J23" s="83">
        <f t="shared" si="5"/>
        <v>179089631</v>
      </c>
      <c r="K23" s="83">
        <f t="shared" si="5"/>
        <v>0</v>
      </c>
      <c r="L23" s="83">
        <f>F23+G23+J23+K23</f>
        <v>311144385</v>
      </c>
      <c r="M23" s="6"/>
    </row>
    <row r="24" spans="1:13" x14ac:dyDescent="0.25">
      <c r="A24" s="14" t="s">
        <v>22</v>
      </c>
      <c r="B24" s="14" t="s">
        <v>23</v>
      </c>
      <c r="C24" s="3"/>
      <c r="D24" s="27">
        <v>0</v>
      </c>
      <c r="E24" s="28">
        <v>0</v>
      </c>
      <c r="F24" s="28">
        <f t="shared" ref="F24:F35" si="6">D24+E24</f>
        <v>0</v>
      </c>
      <c r="G24" s="28">
        <v>0</v>
      </c>
      <c r="H24" s="77">
        <v>0</v>
      </c>
      <c r="I24" s="77">
        <v>0</v>
      </c>
      <c r="J24" s="28">
        <f t="shared" ref="J24:J35" si="7">H24+I24</f>
        <v>0</v>
      </c>
      <c r="K24" s="28">
        <v>0</v>
      </c>
      <c r="L24" s="28">
        <f t="shared" ref="L24:L35" si="8">F24+G24+J24+K24</f>
        <v>0</v>
      </c>
      <c r="M24" s="3"/>
    </row>
    <row r="25" spans="1:13" x14ac:dyDescent="0.25">
      <c r="A25" s="15"/>
      <c r="B25" s="16" t="s">
        <v>24</v>
      </c>
      <c r="C25" s="3"/>
      <c r="D25" s="27">
        <v>0</v>
      </c>
      <c r="E25" s="28">
        <v>0</v>
      </c>
      <c r="F25" s="28">
        <f t="shared" si="6"/>
        <v>0</v>
      </c>
      <c r="G25" s="28">
        <v>0</v>
      </c>
      <c r="H25" s="77">
        <v>0</v>
      </c>
      <c r="I25" s="77">
        <v>0</v>
      </c>
      <c r="J25" s="28">
        <f t="shared" si="7"/>
        <v>0</v>
      </c>
      <c r="K25" s="28">
        <v>0</v>
      </c>
      <c r="L25" s="28">
        <f t="shared" si="8"/>
        <v>0</v>
      </c>
      <c r="M25" s="3"/>
    </row>
    <row r="26" spans="1:13" x14ac:dyDescent="0.25">
      <c r="A26" s="15"/>
      <c r="B26" s="16" t="s">
        <v>25</v>
      </c>
      <c r="C26" s="3"/>
      <c r="D26" s="27">
        <v>67678648</v>
      </c>
      <c r="E26" s="28">
        <v>5580285</v>
      </c>
      <c r="F26" s="28">
        <f t="shared" si="6"/>
        <v>73258933</v>
      </c>
      <c r="G26" s="28">
        <v>0</v>
      </c>
      <c r="H26" s="77">
        <v>0</v>
      </c>
      <c r="I26" s="77">
        <v>6807967</v>
      </c>
      <c r="J26" s="28">
        <f t="shared" si="7"/>
        <v>6807967</v>
      </c>
      <c r="K26" s="28">
        <v>13018275</v>
      </c>
      <c r="L26" s="28">
        <f t="shared" si="8"/>
        <v>93085175</v>
      </c>
      <c r="M26" s="3"/>
    </row>
    <row r="27" spans="1:13" x14ac:dyDescent="0.25">
      <c r="A27" s="15"/>
      <c r="B27" s="16" t="s">
        <v>26</v>
      </c>
      <c r="C27" s="3"/>
      <c r="D27" s="27">
        <v>5111186</v>
      </c>
      <c r="E27" s="28">
        <v>283630</v>
      </c>
      <c r="F27" s="28">
        <f t="shared" si="6"/>
        <v>5394816</v>
      </c>
      <c r="G27" s="28">
        <v>0</v>
      </c>
      <c r="H27" s="77">
        <v>11873000</v>
      </c>
      <c r="I27" s="77">
        <v>54127</v>
      </c>
      <c r="J27" s="28">
        <f t="shared" si="7"/>
        <v>11927127</v>
      </c>
      <c r="K27" s="28">
        <v>0</v>
      </c>
      <c r="L27" s="28">
        <f t="shared" si="8"/>
        <v>17321943</v>
      </c>
      <c r="M27" s="3"/>
    </row>
    <row r="28" spans="1:13" x14ac:dyDescent="0.25">
      <c r="A28" s="15"/>
      <c r="B28" s="16" t="s">
        <v>27</v>
      </c>
      <c r="C28" s="3"/>
      <c r="D28" s="27">
        <v>113941275</v>
      </c>
      <c r="E28" s="28">
        <v>13520244</v>
      </c>
      <c r="F28" s="28">
        <f t="shared" si="6"/>
        <v>127461519</v>
      </c>
      <c r="G28" s="28">
        <v>7365818</v>
      </c>
      <c r="H28" s="77">
        <v>384447087</v>
      </c>
      <c r="I28" s="77">
        <f>1050885+13148744</f>
        <v>14199629</v>
      </c>
      <c r="J28" s="28">
        <f t="shared" si="7"/>
        <v>398646716</v>
      </c>
      <c r="K28" s="28">
        <v>0</v>
      </c>
      <c r="L28" s="28">
        <f t="shared" si="8"/>
        <v>533474053</v>
      </c>
      <c r="M28" s="3"/>
    </row>
    <row r="29" spans="1:13" x14ac:dyDescent="0.25">
      <c r="A29" s="15"/>
      <c r="B29" s="16" t="s">
        <v>28</v>
      </c>
      <c r="C29" s="3"/>
      <c r="D29" s="27">
        <v>0</v>
      </c>
      <c r="E29" s="28">
        <v>0</v>
      </c>
      <c r="F29" s="28">
        <f t="shared" si="6"/>
        <v>0</v>
      </c>
      <c r="G29" s="28">
        <v>0</v>
      </c>
      <c r="H29" s="77">
        <v>0</v>
      </c>
      <c r="I29" s="77">
        <v>0</v>
      </c>
      <c r="J29" s="28">
        <f t="shared" si="7"/>
        <v>0</v>
      </c>
      <c r="K29" s="28">
        <v>0</v>
      </c>
      <c r="L29" s="28">
        <f t="shared" si="8"/>
        <v>0</v>
      </c>
      <c r="M29" s="3"/>
    </row>
    <row r="30" spans="1:13" x14ac:dyDescent="0.25">
      <c r="A30" s="15"/>
      <c r="B30" s="16" t="s">
        <v>29</v>
      </c>
      <c r="C30" s="3"/>
      <c r="D30" s="27">
        <v>4561088</v>
      </c>
      <c r="E30" s="28">
        <v>263990</v>
      </c>
      <c r="F30" s="28">
        <f t="shared" si="6"/>
        <v>4825078</v>
      </c>
      <c r="G30" s="28">
        <v>0</v>
      </c>
      <c r="H30" s="77">
        <v>7460383</v>
      </c>
      <c r="I30" s="77">
        <v>68000</v>
      </c>
      <c r="J30" s="28">
        <f t="shared" si="7"/>
        <v>7528383</v>
      </c>
      <c r="K30" s="28">
        <v>0</v>
      </c>
      <c r="L30" s="28">
        <f t="shared" si="8"/>
        <v>12353461</v>
      </c>
      <c r="M30" s="3"/>
    </row>
    <row r="31" spans="1:13" x14ac:dyDescent="0.25">
      <c r="A31" s="15"/>
      <c r="B31" s="16" t="s">
        <v>30</v>
      </c>
      <c r="C31" s="3"/>
      <c r="D31" s="27">
        <v>75749770</v>
      </c>
      <c r="E31" s="28">
        <v>21002025</v>
      </c>
      <c r="F31" s="28">
        <f t="shared" si="6"/>
        <v>96751795</v>
      </c>
      <c r="G31" s="28">
        <v>0</v>
      </c>
      <c r="H31" s="77">
        <v>56820984</v>
      </c>
      <c r="I31" s="77">
        <f>1184366+483755</f>
        <v>1668121</v>
      </c>
      <c r="J31" s="28">
        <f t="shared" si="7"/>
        <v>58489105</v>
      </c>
      <c r="K31" s="28">
        <v>0</v>
      </c>
      <c r="L31" s="28">
        <f t="shared" si="8"/>
        <v>155240900</v>
      </c>
      <c r="M31" s="3"/>
    </row>
    <row r="32" spans="1:13" x14ac:dyDescent="0.25">
      <c r="A32" s="15"/>
      <c r="B32" s="16" t="s">
        <v>31</v>
      </c>
      <c r="C32" s="3"/>
      <c r="D32" s="27">
        <v>58142892</v>
      </c>
      <c r="E32" s="28">
        <v>9308955</v>
      </c>
      <c r="F32" s="28">
        <f t="shared" si="6"/>
        <v>67451847</v>
      </c>
      <c r="G32" s="28">
        <v>0</v>
      </c>
      <c r="H32" s="77">
        <v>16604073</v>
      </c>
      <c r="I32" s="77">
        <v>4505006</v>
      </c>
      <c r="J32" s="28">
        <f t="shared" si="7"/>
        <v>21109079</v>
      </c>
      <c r="K32" s="28">
        <v>0</v>
      </c>
      <c r="L32" s="28">
        <f t="shared" si="8"/>
        <v>88560926</v>
      </c>
      <c r="M32" s="3"/>
    </row>
    <row r="33" spans="1:13" x14ac:dyDescent="0.25">
      <c r="A33" s="15"/>
      <c r="B33" s="16" t="s">
        <v>32</v>
      </c>
      <c r="C33" s="3"/>
      <c r="D33" s="27">
        <v>6964229</v>
      </c>
      <c r="E33" s="28">
        <v>667574</v>
      </c>
      <c r="F33" s="28">
        <f t="shared" si="6"/>
        <v>7631803</v>
      </c>
      <c r="G33" s="28">
        <v>0</v>
      </c>
      <c r="H33" s="77">
        <v>24791822</v>
      </c>
      <c r="I33" s="77">
        <f>112425+8150</f>
        <v>120575</v>
      </c>
      <c r="J33" s="28">
        <f t="shared" si="7"/>
        <v>24912397</v>
      </c>
      <c r="K33" s="28">
        <v>0</v>
      </c>
      <c r="L33" s="28">
        <f t="shared" si="8"/>
        <v>32544200</v>
      </c>
      <c r="M33" s="3"/>
    </row>
    <row r="34" spans="1:13" x14ac:dyDescent="0.25">
      <c r="A34" s="15"/>
      <c r="B34" s="16" t="s">
        <v>33</v>
      </c>
      <c r="C34" s="3"/>
      <c r="D34" s="27">
        <v>0</v>
      </c>
      <c r="E34" s="28">
        <v>0</v>
      </c>
      <c r="F34" s="28">
        <f t="shared" si="6"/>
        <v>0</v>
      </c>
      <c r="G34" s="28">
        <v>0</v>
      </c>
      <c r="H34" s="77">
        <v>0</v>
      </c>
      <c r="I34" s="77">
        <v>0</v>
      </c>
      <c r="J34" s="28">
        <f t="shared" si="7"/>
        <v>0</v>
      </c>
      <c r="K34" s="28">
        <v>0</v>
      </c>
      <c r="L34" s="28">
        <f t="shared" si="8"/>
        <v>0</v>
      </c>
      <c r="M34" s="3"/>
    </row>
    <row r="35" spans="1:13" x14ac:dyDescent="0.25">
      <c r="A35" s="15"/>
      <c r="B35" s="16" t="s">
        <v>34</v>
      </c>
      <c r="C35" s="3"/>
      <c r="D35" s="27">
        <v>16154792</v>
      </c>
      <c r="E35" s="28">
        <v>99559</v>
      </c>
      <c r="F35" s="28">
        <f t="shared" si="6"/>
        <v>16254351</v>
      </c>
      <c r="G35" s="28">
        <v>0</v>
      </c>
      <c r="H35" s="77">
        <v>0</v>
      </c>
      <c r="I35" s="77">
        <v>845561</v>
      </c>
      <c r="J35" s="28">
        <f t="shared" si="7"/>
        <v>845561</v>
      </c>
      <c r="K35" s="28">
        <v>0</v>
      </c>
      <c r="L35" s="28">
        <f t="shared" si="8"/>
        <v>17099912</v>
      </c>
      <c r="M35" s="3"/>
    </row>
    <row r="36" spans="1:13" ht="14.25" customHeight="1" x14ac:dyDescent="0.25">
      <c r="A36" s="17" t="s">
        <v>35</v>
      </c>
      <c r="B36" s="18"/>
      <c r="C36" s="6"/>
      <c r="D36" s="83">
        <f t="shared" ref="D36:K36" si="9">SUM(D24:D35)</f>
        <v>348303880</v>
      </c>
      <c r="E36" s="83">
        <f t="shared" si="9"/>
        <v>50726262</v>
      </c>
      <c r="F36" s="83">
        <f t="shared" si="9"/>
        <v>399030142</v>
      </c>
      <c r="G36" s="83">
        <f t="shared" si="9"/>
        <v>7365818</v>
      </c>
      <c r="H36" s="74">
        <f>SUM(H24:H35)</f>
        <v>501997349</v>
      </c>
      <c r="I36" s="74">
        <f>SUM(I24:I35)</f>
        <v>28268986</v>
      </c>
      <c r="J36" s="83">
        <f t="shared" si="9"/>
        <v>530266335</v>
      </c>
      <c r="K36" s="83">
        <f t="shared" si="9"/>
        <v>13018275</v>
      </c>
      <c r="L36" s="83">
        <f>F36+G36+J36+K36</f>
        <v>949680570</v>
      </c>
      <c r="M36" s="6"/>
    </row>
    <row r="37" spans="1:13" x14ac:dyDescent="0.25">
      <c r="A37" s="14" t="s">
        <v>36</v>
      </c>
      <c r="B37" s="14" t="s">
        <v>37</v>
      </c>
      <c r="C37" s="3"/>
      <c r="D37" s="27">
        <v>3342477</v>
      </c>
      <c r="E37" s="28">
        <v>1978775</v>
      </c>
      <c r="F37" s="28">
        <f t="shared" ref="F37:F42" si="10">D37+E37</f>
        <v>5321252</v>
      </c>
      <c r="G37" s="28">
        <v>0</v>
      </c>
      <c r="H37" s="77">
        <v>0</v>
      </c>
      <c r="I37" s="77">
        <v>0</v>
      </c>
      <c r="J37" s="28">
        <v>0</v>
      </c>
      <c r="K37" s="28">
        <v>3654209</v>
      </c>
      <c r="L37" s="28">
        <f t="shared" ref="L37:L42" si="11">F37+G37+J37+K37</f>
        <v>8975461</v>
      </c>
      <c r="M37" s="3"/>
    </row>
    <row r="38" spans="1:13" x14ac:dyDescent="0.25">
      <c r="A38" s="15"/>
      <c r="B38" s="16" t="s">
        <v>38</v>
      </c>
      <c r="C38" s="3"/>
      <c r="D38" s="27">
        <v>15947767</v>
      </c>
      <c r="E38" s="28">
        <v>1961409</v>
      </c>
      <c r="F38" s="28">
        <f t="shared" si="10"/>
        <v>17909176</v>
      </c>
      <c r="G38" s="28">
        <v>3375199</v>
      </c>
      <c r="H38" s="77">
        <v>46785347</v>
      </c>
      <c r="I38" s="77">
        <v>3814616</v>
      </c>
      <c r="J38" s="28">
        <f>H38+I38</f>
        <v>50599963</v>
      </c>
      <c r="K38" s="28">
        <v>0</v>
      </c>
      <c r="L38" s="28">
        <f t="shared" si="11"/>
        <v>71884338</v>
      </c>
      <c r="M38" s="3"/>
    </row>
    <row r="39" spans="1:13" x14ac:dyDescent="0.25">
      <c r="A39" s="15"/>
      <c r="B39" s="16" t="s">
        <v>39</v>
      </c>
      <c r="C39" s="3"/>
      <c r="D39" s="27">
        <v>3313444</v>
      </c>
      <c r="E39" s="28">
        <v>214129</v>
      </c>
      <c r="F39" s="28">
        <f t="shared" si="10"/>
        <v>3527573</v>
      </c>
      <c r="G39" s="28">
        <v>0</v>
      </c>
      <c r="H39" s="77">
        <v>8971174</v>
      </c>
      <c r="I39" s="77">
        <v>102673</v>
      </c>
      <c r="J39" s="28">
        <f>H39+I39</f>
        <v>9073847</v>
      </c>
      <c r="K39" s="28">
        <v>0</v>
      </c>
      <c r="L39" s="28">
        <f t="shared" si="11"/>
        <v>12601420</v>
      </c>
      <c r="M39" s="3"/>
    </row>
    <row r="40" spans="1:13" x14ac:dyDescent="0.25">
      <c r="A40" s="15"/>
      <c r="B40" s="16" t="s">
        <v>40</v>
      </c>
      <c r="C40" s="3"/>
      <c r="D40" s="27">
        <v>5403318</v>
      </c>
      <c r="E40" s="28">
        <v>610645</v>
      </c>
      <c r="F40" s="28">
        <f t="shared" si="10"/>
        <v>6013963</v>
      </c>
      <c r="G40" s="28">
        <v>0</v>
      </c>
      <c r="H40" s="77">
        <v>13654187</v>
      </c>
      <c r="I40" s="77">
        <v>0</v>
      </c>
      <c r="J40" s="28">
        <f>H40+I40</f>
        <v>13654187</v>
      </c>
      <c r="K40" s="28">
        <v>0</v>
      </c>
      <c r="L40" s="28">
        <f t="shared" si="11"/>
        <v>19668150</v>
      </c>
      <c r="M40" s="3"/>
    </row>
    <row r="41" spans="1:13" x14ac:dyDescent="0.25">
      <c r="A41" s="15"/>
      <c r="B41" s="16" t="s">
        <v>41</v>
      </c>
      <c r="C41" s="3"/>
      <c r="D41" s="27">
        <v>4764036</v>
      </c>
      <c r="E41" s="28">
        <v>200658</v>
      </c>
      <c r="F41" s="28">
        <f t="shared" si="10"/>
        <v>4964694</v>
      </c>
      <c r="G41" s="28">
        <v>0</v>
      </c>
      <c r="H41" s="77">
        <v>9127268</v>
      </c>
      <c r="I41" s="77">
        <v>131570</v>
      </c>
      <c r="J41" s="28">
        <f>H41+I41</f>
        <v>9258838</v>
      </c>
      <c r="K41" s="28">
        <v>0</v>
      </c>
      <c r="L41" s="28">
        <f t="shared" si="11"/>
        <v>14223532</v>
      </c>
      <c r="M41" s="3"/>
    </row>
    <row r="42" spans="1:13" x14ac:dyDescent="0.25">
      <c r="A42" s="15"/>
      <c r="B42" s="16" t="s">
        <v>42</v>
      </c>
      <c r="C42" s="3"/>
      <c r="D42" s="27">
        <v>10924836</v>
      </c>
      <c r="E42" s="28">
        <v>0</v>
      </c>
      <c r="F42" s="28">
        <f t="shared" si="10"/>
        <v>10924836</v>
      </c>
      <c r="G42" s="28">
        <v>0</v>
      </c>
      <c r="H42" s="77">
        <v>0</v>
      </c>
      <c r="I42" s="77">
        <v>0</v>
      </c>
      <c r="J42" s="28">
        <f>H42+I42</f>
        <v>0</v>
      </c>
      <c r="K42" s="28">
        <v>0</v>
      </c>
      <c r="L42" s="28">
        <f t="shared" si="11"/>
        <v>10924836</v>
      </c>
      <c r="M42" s="3"/>
    </row>
    <row r="43" spans="1:13" x14ac:dyDescent="0.25">
      <c r="A43" s="17" t="s">
        <v>43</v>
      </c>
      <c r="B43" s="18"/>
      <c r="C43" s="6"/>
      <c r="D43" s="42">
        <f t="shared" ref="D43:K43" si="12">SUM(D37:D42)</f>
        <v>43695878</v>
      </c>
      <c r="E43" s="42">
        <f t="shared" si="12"/>
        <v>4965616</v>
      </c>
      <c r="F43" s="42">
        <f t="shared" si="12"/>
        <v>48661494</v>
      </c>
      <c r="G43" s="42">
        <f t="shared" si="12"/>
        <v>3375199</v>
      </c>
      <c r="H43" s="78">
        <f>SUM(H37:H42)</f>
        <v>78537976</v>
      </c>
      <c r="I43" s="78">
        <f>SUM(I37:I42)</f>
        <v>4048859</v>
      </c>
      <c r="J43" s="42">
        <f>SUM(J37:J42)</f>
        <v>82586835</v>
      </c>
      <c r="K43" s="42">
        <f t="shared" si="12"/>
        <v>3654209</v>
      </c>
      <c r="L43" s="83">
        <f>F43+G43+J43+K43</f>
        <v>138277737</v>
      </c>
      <c r="M43" s="6"/>
    </row>
    <row r="44" spans="1:13" x14ac:dyDescent="0.25">
      <c r="A44" s="14" t="s">
        <v>44</v>
      </c>
      <c r="B44" s="14" t="s">
        <v>45</v>
      </c>
      <c r="C44" s="3"/>
      <c r="D44" s="27">
        <v>13076623</v>
      </c>
      <c r="E44" s="28">
        <v>1103578</v>
      </c>
      <c r="F44" s="28">
        <f t="shared" ref="F44:F53" si="13">D44+E44</f>
        <v>14180201</v>
      </c>
      <c r="G44" s="28">
        <v>0</v>
      </c>
      <c r="H44" s="77">
        <v>32548043</v>
      </c>
      <c r="I44" s="77">
        <v>422000</v>
      </c>
      <c r="J44" s="28">
        <f t="shared" ref="J44:J53" si="14">H44+I44</f>
        <v>32970043</v>
      </c>
      <c r="K44" s="28">
        <v>0</v>
      </c>
      <c r="L44" s="28">
        <f t="shared" ref="L44:L53" si="15">F44+G44+J44+K44</f>
        <v>47150244</v>
      </c>
      <c r="M44" s="3"/>
    </row>
    <row r="45" spans="1:13" x14ac:dyDescent="0.25">
      <c r="A45" s="15"/>
      <c r="B45" s="16" t="s">
        <v>46</v>
      </c>
      <c r="C45" s="3"/>
      <c r="D45" s="27">
        <v>26550006</v>
      </c>
      <c r="E45" s="28">
        <v>2088753</v>
      </c>
      <c r="F45" s="28">
        <f t="shared" si="13"/>
        <v>28638759</v>
      </c>
      <c r="G45" s="28">
        <v>0</v>
      </c>
      <c r="H45" s="77">
        <v>86340950</v>
      </c>
      <c r="I45" s="77">
        <f>97000+3049698</f>
        <v>3146698</v>
      </c>
      <c r="J45" s="28">
        <f t="shared" si="14"/>
        <v>89487648</v>
      </c>
      <c r="K45" s="28">
        <v>0</v>
      </c>
      <c r="L45" s="28">
        <f t="shared" si="15"/>
        <v>118126407</v>
      </c>
      <c r="M45" s="3"/>
    </row>
    <row r="46" spans="1:13" x14ac:dyDescent="0.25">
      <c r="A46" s="15"/>
      <c r="B46" s="16" t="s">
        <v>47</v>
      </c>
      <c r="C46" s="3"/>
      <c r="D46" s="27">
        <v>16718898</v>
      </c>
      <c r="E46" s="28">
        <v>3050096</v>
      </c>
      <c r="F46" s="28">
        <f t="shared" si="13"/>
        <v>19768994</v>
      </c>
      <c r="G46" s="28">
        <v>0</v>
      </c>
      <c r="H46" s="77">
        <v>47498396</v>
      </c>
      <c r="I46" s="77">
        <v>390724</v>
      </c>
      <c r="J46" s="28">
        <f t="shared" si="14"/>
        <v>47889120</v>
      </c>
      <c r="K46" s="28">
        <v>0</v>
      </c>
      <c r="L46" s="28">
        <f t="shared" si="15"/>
        <v>67658114</v>
      </c>
      <c r="M46" s="3"/>
    </row>
    <row r="47" spans="1:13" x14ac:dyDescent="0.25">
      <c r="A47" s="15"/>
      <c r="B47" s="16" t="s">
        <v>48</v>
      </c>
      <c r="C47" s="3"/>
      <c r="D47" s="27">
        <v>14017818</v>
      </c>
      <c r="E47" s="28">
        <v>1182688</v>
      </c>
      <c r="F47" s="28">
        <f t="shared" si="13"/>
        <v>15200506</v>
      </c>
      <c r="G47" s="28">
        <v>0</v>
      </c>
      <c r="H47" s="77">
        <v>36443201</v>
      </c>
      <c r="I47" s="77">
        <f>42017+95500+2487013</f>
        <v>2624530</v>
      </c>
      <c r="J47" s="28">
        <f t="shared" si="14"/>
        <v>39067731</v>
      </c>
      <c r="K47" s="28">
        <v>0</v>
      </c>
      <c r="L47" s="28">
        <f t="shared" si="15"/>
        <v>54268237</v>
      </c>
      <c r="M47" s="3"/>
    </row>
    <row r="48" spans="1:13" x14ac:dyDescent="0.25">
      <c r="A48" s="15"/>
      <c r="B48" s="16" t="s">
        <v>49</v>
      </c>
      <c r="C48" s="3"/>
      <c r="D48" s="27">
        <v>19372164</v>
      </c>
      <c r="E48" s="28">
        <v>1379725</v>
      </c>
      <c r="F48" s="28">
        <f t="shared" si="13"/>
        <v>20751889</v>
      </c>
      <c r="G48" s="28">
        <v>74923</v>
      </c>
      <c r="H48" s="77">
        <v>49161172</v>
      </c>
      <c r="I48" s="77">
        <f>21897+568058</f>
        <v>589955</v>
      </c>
      <c r="J48" s="28">
        <f t="shared" si="14"/>
        <v>49751127</v>
      </c>
      <c r="K48" s="28">
        <v>0</v>
      </c>
      <c r="L48" s="28">
        <f t="shared" si="15"/>
        <v>70577939</v>
      </c>
      <c r="M48" s="3"/>
    </row>
    <row r="49" spans="1:14" x14ac:dyDescent="0.25">
      <c r="A49" s="15"/>
      <c r="B49" s="16" t="s">
        <v>50</v>
      </c>
      <c r="C49" s="3"/>
      <c r="D49" s="27">
        <v>27336478</v>
      </c>
      <c r="E49" s="28">
        <v>2186349</v>
      </c>
      <c r="F49" s="28">
        <f t="shared" si="13"/>
        <v>29522827</v>
      </c>
      <c r="G49" s="28">
        <v>0</v>
      </c>
      <c r="H49" s="77">
        <v>81626903</v>
      </c>
      <c r="I49" s="77">
        <f>503890+4141306</f>
        <v>4645196</v>
      </c>
      <c r="J49" s="28">
        <f t="shared" si="14"/>
        <v>86272099</v>
      </c>
      <c r="K49" s="28">
        <v>0</v>
      </c>
      <c r="L49" s="28">
        <f t="shared" si="15"/>
        <v>115794926</v>
      </c>
      <c r="M49" s="3"/>
    </row>
    <row r="50" spans="1:14" x14ac:dyDescent="0.25">
      <c r="A50" s="15"/>
      <c r="B50" s="16" t="s">
        <v>51</v>
      </c>
      <c r="C50" s="3"/>
      <c r="D50" s="27">
        <v>1026178</v>
      </c>
      <c r="E50" s="28">
        <v>0</v>
      </c>
      <c r="F50" s="28">
        <f t="shared" si="13"/>
        <v>1026178</v>
      </c>
      <c r="G50" s="28">
        <v>0</v>
      </c>
      <c r="H50" s="77">
        <v>0</v>
      </c>
      <c r="I50" s="77">
        <v>2414000</v>
      </c>
      <c r="J50" s="28">
        <f t="shared" si="14"/>
        <v>2414000</v>
      </c>
      <c r="K50" s="28">
        <v>0</v>
      </c>
      <c r="L50" s="28">
        <f t="shared" si="15"/>
        <v>3440178</v>
      </c>
      <c r="M50" s="3"/>
    </row>
    <row r="51" spans="1:14" x14ac:dyDescent="0.25">
      <c r="A51" s="15"/>
      <c r="B51" s="16" t="s">
        <v>52</v>
      </c>
      <c r="C51" s="3"/>
      <c r="D51" s="27">
        <v>43881375</v>
      </c>
      <c r="E51" s="28">
        <v>2816334</v>
      </c>
      <c r="F51" s="28">
        <f t="shared" si="13"/>
        <v>46697709</v>
      </c>
      <c r="G51" s="28">
        <v>0</v>
      </c>
      <c r="H51" s="77">
        <v>111163435</v>
      </c>
      <c r="I51" s="77">
        <v>3776090</v>
      </c>
      <c r="J51" s="28">
        <f t="shared" si="14"/>
        <v>114939525</v>
      </c>
      <c r="K51" s="28">
        <v>0</v>
      </c>
      <c r="L51" s="28">
        <f t="shared" si="15"/>
        <v>161637234</v>
      </c>
      <c r="M51" s="3"/>
    </row>
    <row r="52" spans="1:14" x14ac:dyDescent="0.25">
      <c r="A52" s="15"/>
      <c r="B52" s="16" t="s">
        <v>53</v>
      </c>
      <c r="C52" s="3"/>
      <c r="D52" s="27">
        <v>23266317</v>
      </c>
      <c r="E52" s="28">
        <v>1993260</v>
      </c>
      <c r="F52" s="28">
        <f t="shared" si="13"/>
        <v>25259577</v>
      </c>
      <c r="G52" s="28">
        <v>0</v>
      </c>
      <c r="H52" s="77">
        <v>55787710</v>
      </c>
      <c r="I52" s="77">
        <f>74000+890000+476000</f>
        <v>1440000</v>
      </c>
      <c r="J52" s="28">
        <f t="shared" si="14"/>
        <v>57227710</v>
      </c>
      <c r="K52" s="28">
        <v>0</v>
      </c>
      <c r="L52" s="28">
        <f t="shared" si="15"/>
        <v>82487287</v>
      </c>
      <c r="M52" s="3"/>
    </row>
    <row r="53" spans="1:14" x14ac:dyDescent="0.25">
      <c r="A53" s="15"/>
      <c r="B53" s="16" t="s">
        <v>54</v>
      </c>
      <c r="C53" s="3"/>
      <c r="D53" s="27">
        <v>27779142</v>
      </c>
      <c r="E53" s="28">
        <v>2702826</v>
      </c>
      <c r="F53" s="28">
        <f t="shared" si="13"/>
        <v>30481968</v>
      </c>
      <c r="G53" s="28">
        <v>0</v>
      </c>
      <c r="H53" s="77">
        <v>67744580</v>
      </c>
      <c r="I53" s="77">
        <f>295950+1705612</f>
        <v>2001562</v>
      </c>
      <c r="J53" s="28">
        <f t="shared" si="14"/>
        <v>69746142</v>
      </c>
      <c r="K53" s="28">
        <v>0</v>
      </c>
      <c r="L53" s="28">
        <f t="shared" si="15"/>
        <v>100228110</v>
      </c>
      <c r="M53" s="3"/>
    </row>
    <row r="54" spans="1:14" x14ac:dyDescent="0.25">
      <c r="A54" s="12" t="s">
        <v>55</v>
      </c>
      <c r="B54" s="13"/>
      <c r="C54" s="6"/>
      <c r="D54" s="83">
        <f t="shared" ref="D54:K54" si="16">SUM(D44:D53)</f>
        <v>213024999</v>
      </c>
      <c r="E54" s="83">
        <f t="shared" si="16"/>
        <v>18503609</v>
      </c>
      <c r="F54" s="83">
        <f t="shared" si="16"/>
        <v>231528608</v>
      </c>
      <c r="G54" s="83">
        <f t="shared" si="16"/>
        <v>74923</v>
      </c>
      <c r="H54" s="74">
        <f>SUM(H44:H53)</f>
        <v>568314390</v>
      </c>
      <c r="I54" s="74">
        <f>SUM(I44:I53)</f>
        <v>21450755</v>
      </c>
      <c r="J54" s="83">
        <f t="shared" si="16"/>
        <v>589765145</v>
      </c>
      <c r="K54" s="83">
        <f t="shared" si="16"/>
        <v>0</v>
      </c>
      <c r="L54" s="83">
        <f>F54+G54+J54+K54</f>
        <v>821368676</v>
      </c>
      <c r="M54" s="6"/>
    </row>
    <row r="55" spans="1:14" x14ac:dyDescent="0.25">
      <c r="A55" s="12" t="s">
        <v>56</v>
      </c>
      <c r="B55" s="13"/>
      <c r="C55" s="6"/>
      <c r="D55" s="53">
        <f t="shared" ref="D55:K55" si="17">D54+D43+D36+D23+D8+D7+D6</f>
        <v>919280212</v>
      </c>
      <c r="E55" s="53">
        <f t="shared" si="17"/>
        <v>175521643</v>
      </c>
      <c r="F55" s="83">
        <f t="shared" si="17"/>
        <v>1094801855</v>
      </c>
      <c r="G55" s="53">
        <f t="shared" si="17"/>
        <v>26416875</v>
      </c>
      <c r="H55" s="79">
        <f>H54+H43+H36+H23+H8+H7+H6</f>
        <v>1326066311</v>
      </c>
      <c r="I55" s="79">
        <f>I54+I43+I36+I23+I8+I7+I6</f>
        <v>63564684</v>
      </c>
      <c r="J55" s="83">
        <f t="shared" si="17"/>
        <v>1389630995</v>
      </c>
      <c r="K55" s="53">
        <f t="shared" si="17"/>
        <v>79903497</v>
      </c>
      <c r="L55" s="83">
        <f>F55+G55+J55+K55</f>
        <v>2590753222</v>
      </c>
      <c r="M55" s="6"/>
    </row>
    <row r="56" spans="1:14" s="32" customFormat="1" x14ac:dyDescent="0.25">
      <c r="A56" s="38" t="s">
        <v>63</v>
      </c>
      <c r="B56" s="38"/>
      <c r="C56" s="40"/>
      <c r="D56" s="83">
        <f>D55-D7-D24-D25-0</f>
        <v>737072125</v>
      </c>
      <c r="E56" s="83">
        <f>E55-E7-E24-E25-0</f>
        <v>115199893</v>
      </c>
      <c r="F56" s="41">
        <f>D56+E56</f>
        <v>852272018</v>
      </c>
      <c r="G56" s="83">
        <f>G55-G7-G24-G25-0</f>
        <v>22690940</v>
      </c>
      <c r="H56" s="74">
        <f>H55-H7-H24-H25-0</f>
        <v>1326066311</v>
      </c>
      <c r="I56" s="74">
        <f>I55-I7-I24-I25-0</f>
        <v>63471934</v>
      </c>
      <c r="J56" s="41">
        <f>H56+I56</f>
        <v>1389538245</v>
      </c>
      <c r="K56" s="83">
        <f>K55-K7-K24-K25-0</f>
        <v>32879465</v>
      </c>
      <c r="L56" s="83">
        <f>F56+G56+J56+K56</f>
        <v>2297380668</v>
      </c>
      <c r="M56" s="40"/>
      <c r="N56" s="31"/>
    </row>
    <row r="57" spans="1:14" x14ac:dyDescent="0.25">
      <c r="A57" s="7"/>
      <c r="B57" s="7"/>
      <c r="C57" s="7"/>
      <c r="M57" s="7"/>
    </row>
    <row r="58" spans="1:14" x14ac:dyDescent="0.25">
      <c r="A58" s="7"/>
      <c r="B58" s="7"/>
      <c r="C58" s="7"/>
      <c r="M58" s="7"/>
    </row>
    <row r="59" spans="1:14" x14ac:dyDescent="0.25">
      <c r="A59" s="98" t="s">
        <v>93</v>
      </c>
      <c r="D59" s="25">
        <f>D31+D32</f>
        <v>133892662</v>
      </c>
      <c r="E59" s="25">
        <f t="shared" ref="E59:L59" si="18">E31+E32</f>
        <v>30310980</v>
      </c>
      <c r="F59" s="25">
        <f t="shared" si="18"/>
        <v>164203642</v>
      </c>
      <c r="G59" s="25">
        <f t="shared" si="18"/>
        <v>0</v>
      </c>
      <c r="H59" s="25">
        <f t="shared" si="18"/>
        <v>73425057</v>
      </c>
      <c r="I59" s="25">
        <f t="shared" si="18"/>
        <v>6173127</v>
      </c>
      <c r="J59" s="25">
        <f t="shared" si="18"/>
        <v>79598184</v>
      </c>
      <c r="K59" s="25">
        <f t="shared" si="18"/>
        <v>0</v>
      </c>
      <c r="L59" s="25">
        <f t="shared" si="18"/>
        <v>243801826</v>
      </c>
    </row>
    <row r="63" spans="1:14" x14ac:dyDescent="0.25">
      <c r="D63" s="25">
        <f>D56-'FY08-09'!D56</f>
        <v>-696260635</v>
      </c>
    </row>
    <row r="65" spans="2:12" x14ac:dyDescent="0.25">
      <c r="F65" s="25">
        <f>F54-F50+F41+F40+F38+F33+F30+F28+F27+F23-F15-F14</f>
        <v>516140764</v>
      </c>
      <c r="G65" s="25"/>
      <c r="H65" s="25">
        <f t="shared" ref="H65" si="19">H54-H50+H41+H40+H38+H33+H30+H28+H27+H23-H15-H14</f>
        <v>1243670080</v>
      </c>
      <c r="I65" s="25"/>
    </row>
    <row r="66" spans="2:12" x14ac:dyDescent="0.25">
      <c r="F66" s="25">
        <f>F65-'FY08-09'!F65</f>
        <v>-580698590</v>
      </c>
    </row>
    <row r="67" spans="2:12" x14ac:dyDescent="0.25">
      <c r="D67" s="25">
        <f>D54-D50+D40+D38+D33+D28+D27+D34</f>
        <v>359366596</v>
      </c>
      <c r="E67" s="25">
        <f t="shared" ref="E67:L67" si="20">E54-E50+E40+E38+E33+E28+E27+E34</f>
        <v>35547111</v>
      </c>
      <c r="F67" s="25">
        <f t="shared" si="20"/>
        <v>394913707</v>
      </c>
      <c r="G67" s="25">
        <f t="shared" si="20"/>
        <v>10815940</v>
      </c>
      <c r="H67" s="25">
        <f t="shared" si="20"/>
        <v>1049865833</v>
      </c>
      <c r="I67" s="25">
        <f t="shared" si="20"/>
        <v>37225702</v>
      </c>
      <c r="J67" s="25">
        <f t="shared" si="20"/>
        <v>1087091535</v>
      </c>
      <c r="K67" s="25">
        <f t="shared" si="20"/>
        <v>0</v>
      </c>
      <c r="L67" s="25">
        <f t="shared" si="20"/>
        <v>1492821182</v>
      </c>
    </row>
    <row r="68" spans="2:12" x14ac:dyDescent="0.25">
      <c r="D68" s="25">
        <f>D41+D30+D23-D15-D14</f>
        <v>114428983</v>
      </c>
      <c r="E68" s="25">
        <f t="shared" ref="E68:L68" si="21">E41+E30+E23-E15-E14</f>
        <v>6798074</v>
      </c>
      <c r="F68" s="25">
        <f t="shared" si="21"/>
        <v>121227057</v>
      </c>
      <c r="G68" s="25">
        <f t="shared" si="21"/>
        <v>0</v>
      </c>
      <c r="H68" s="25">
        <f t="shared" si="21"/>
        <v>193804247</v>
      </c>
      <c r="I68" s="25">
        <f t="shared" si="21"/>
        <v>2072605</v>
      </c>
      <c r="J68" s="25">
        <f t="shared" si="21"/>
        <v>195876852</v>
      </c>
      <c r="K68" s="25">
        <f t="shared" si="21"/>
        <v>0</v>
      </c>
      <c r="L68" s="25">
        <f t="shared" si="21"/>
        <v>317103909</v>
      </c>
    </row>
    <row r="69" spans="2:12" x14ac:dyDescent="0.25">
      <c r="D69" s="25">
        <f>D68+D67</f>
        <v>473795579</v>
      </c>
      <c r="E69" s="25">
        <f t="shared" ref="E69:L69" si="22">E68+E67</f>
        <v>42345185</v>
      </c>
      <c r="F69" s="25">
        <f t="shared" si="22"/>
        <v>516140764</v>
      </c>
      <c r="G69" s="25">
        <f t="shared" si="22"/>
        <v>10815940</v>
      </c>
      <c r="H69" s="25">
        <f t="shared" si="22"/>
        <v>1243670080</v>
      </c>
      <c r="I69" s="25">
        <f t="shared" si="22"/>
        <v>39298307</v>
      </c>
      <c r="J69" s="25">
        <f t="shared" si="22"/>
        <v>1282968387</v>
      </c>
      <c r="K69" s="25">
        <f t="shared" si="22"/>
        <v>0</v>
      </c>
      <c r="L69" s="25">
        <f t="shared" si="22"/>
        <v>1809925091</v>
      </c>
    </row>
    <row r="72" spans="2:12" x14ac:dyDescent="0.25">
      <c r="B72" t="s">
        <v>110</v>
      </c>
      <c r="D72" s="25">
        <f>D73+D74-D37-D35-D26</f>
        <v>611001685</v>
      </c>
      <c r="E72" s="25">
        <f t="shared" ref="E72:L72" si="23">E73+E74-E37-E35-E26</f>
        <v>72870294</v>
      </c>
      <c r="F72" s="25">
        <f t="shared" si="23"/>
        <v>683871979</v>
      </c>
      <c r="G72" s="25">
        <f t="shared" si="23"/>
        <v>10815940</v>
      </c>
      <c r="H72" s="25">
        <f t="shared" si="23"/>
        <v>1326066311</v>
      </c>
      <c r="I72" s="25">
        <f t="shared" si="23"/>
        <v>45574107</v>
      </c>
      <c r="J72" s="25">
        <f t="shared" si="23"/>
        <v>1371640418</v>
      </c>
      <c r="K72" s="25">
        <f t="shared" si="23"/>
        <v>0</v>
      </c>
      <c r="L72" s="25">
        <f t="shared" si="23"/>
        <v>2066328337</v>
      </c>
    </row>
    <row r="73" spans="2:12" x14ac:dyDescent="0.25">
      <c r="B73" t="s">
        <v>104</v>
      </c>
      <c r="D73" s="25">
        <f>D69</f>
        <v>473795579</v>
      </c>
      <c r="E73" s="25">
        <f t="shared" ref="E73:L73" si="24">E69</f>
        <v>42345185</v>
      </c>
      <c r="F73" s="25">
        <f t="shared" si="24"/>
        <v>516140764</v>
      </c>
      <c r="G73" s="25">
        <f t="shared" si="24"/>
        <v>10815940</v>
      </c>
      <c r="H73" s="25">
        <f t="shared" si="24"/>
        <v>1243670080</v>
      </c>
      <c r="I73" s="25">
        <f t="shared" si="24"/>
        <v>39298307</v>
      </c>
      <c r="J73" s="25">
        <f t="shared" si="24"/>
        <v>1282968387</v>
      </c>
      <c r="K73" s="25">
        <f t="shared" si="24"/>
        <v>0</v>
      </c>
      <c r="L73" s="25">
        <f t="shared" si="24"/>
        <v>1809925091</v>
      </c>
    </row>
    <row r="74" spans="2:12" x14ac:dyDescent="0.25">
      <c r="B74" t="s">
        <v>105</v>
      </c>
      <c r="D74" s="25">
        <f>D39+D37+D35+D34+D32+D31+D26</f>
        <v>224382023</v>
      </c>
      <c r="E74" s="25">
        <f t="shared" ref="E74:L74" si="25">E39+E37+E35+E34+E32+E31+E26</f>
        <v>38183728</v>
      </c>
      <c r="F74" s="25">
        <f t="shared" si="25"/>
        <v>262565751</v>
      </c>
      <c r="G74" s="25">
        <f t="shared" si="25"/>
        <v>0</v>
      </c>
      <c r="H74" s="25">
        <f t="shared" si="25"/>
        <v>82396231</v>
      </c>
      <c r="I74" s="25">
        <f t="shared" si="25"/>
        <v>13929328</v>
      </c>
      <c r="J74" s="25">
        <f t="shared" si="25"/>
        <v>96325559</v>
      </c>
      <c r="K74" s="25">
        <f t="shared" si="25"/>
        <v>16672484</v>
      </c>
      <c r="L74" s="25">
        <f t="shared" si="25"/>
        <v>375563794</v>
      </c>
    </row>
    <row r="75" spans="2:12" x14ac:dyDescent="0.25">
      <c r="B75" t="s">
        <v>106</v>
      </c>
      <c r="D75" s="25">
        <f>D7</f>
        <v>182208087</v>
      </c>
      <c r="E75" s="25">
        <f t="shared" ref="E75:L75" si="26">E7</f>
        <v>60321750</v>
      </c>
      <c r="F75" s="25">
        <f t="shared" si="26"/>
        <v>242529837</v>
      </c>
      <c r="G75" s="25">
        <f t="shared" si="26"/>
        <v>3725935</v>
      </c>
      <c r="H75" s="25">
        <f t="shared" si="26"/>
        <v>0</v>
      </c>
      <c r="I75" s="25">
        <f t="shared" si="26"/>
        <v>92750</v>
      </c>
      <c r="J75" s="25">
        <f t="shared" si="26"/>
        <v>92750</v>
      </c>
      <c r="K75" s="25">
        <f t="shared" si="26"/>
        <v>47024032</v>
      </c>
      <c r="L75" s="25">
        <f t="shared" si="26"/>
        <v>293372554</v>
      </c>
    </row>
    <row r="76" spans="2:12" x14ac:dyDescent="0.25">
      <c r="B76" t="s">
        <v>107</v>
      </c>
      <c r="D76" s="25">
        <f>D50+D42+D29+D15+D14+D8+D6</f>
        <v>38894523</v>
      </c>
      <c r="E76" s="25">
        <f t="shared" ref="E76:L76" si="27">E50+E42+E29+E15+E14+E8+E6</f>
        <v>34670980</v>
      </c>
      <c r="F76" s="25">
        <f t="shared" si="27"/>
        <v>73565503</v>
      </c>
      <c r="G76" s="25">
        <f t="shared" si="27"/>
        <v>11875000</v>
      </c>
      <c r="H76" s="25">
        <f t="shared" si="27"/>
        <v>0</v>
      </c>
      <c r="I76" s="25">
        <f t="shared" si="27"/>
        <v>10244299</v>
      </c>
      <c r="J76" s="25">
        <f t="shared" si="27"/>
        <v>10244299</v>
      </c>
      <c r="K76" s="25">
        <f t="shared" si="27"/>
        <v>16206981</v>
      </c>
      <c r="L76" s="25">
        <f t="shared" si="27"/>
        <v>111891783</v>
      </c>
    </row>
    <row r="77" spans="2:12" x14ac:dyDescent="0.25">
      <c r="D77" s="25">
        <f>SUM(D73:D76)</f>
        <v>919280212</v>
      </c>
      <c r="E77" s="25">
        <f t="shared" ref="E77:L77" si="28">SUM(E73:E76)</f>
        <v>175521643</v>
      </c>
      <c r="F77" s="25">
        <f t="shared" si="28"/>
        <v>1094801855</v>
      </c>
      <c r="G77" s="25">
        <f t="shared" si="28"/>
        <v>26416875</v>
      </c>
      <c r="H77" s="25">
        <f t="shared" si="28"/>
        <v>1326066311</v>
      </c>
      <c r="I77" s="25">
        <f t="shared" si="28"/>
        <v>63564684</v>
      </c>
      <c r="J77" s="25">
        <f t="shared" si="28"/>
        <v>1389630995</v>
      </c>
      <c r="K77" s="25">
        <f t="shared" si="28"/>
        <v>79903497</v>
      </c>
      <c r="L77" s="25">
        <f t="shared" si="28"/>
        <v>2590753222</v>
      </c>
    </row>
  </sheetData>
  <pageMargins left="0.25" right="0.25" top="0.75" bottom="0.75" header="0.3" footer="0.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20</vt:i4>
      </vt:variant>
    </vt:vector>
  </HeadingPairs>
  <TitlesOfParts>
    <vt:vector size="39" baseType="lpstr">
      <vt:lpstr>FY08-09</vt:lpstr>
      <vt:lpstr>FY09-10</vt:lpstr>
      <vt:lpstr>FY10-11</vt:lpstr>
      <vt:lpstr>FY11-12</vt:lpstr>
      <vt:lpstr>FY12-13</vt:lpstr>
      <vt:lpstr>FY13-14</vt:lpstr>
      <vt:lpstr>FY14-15</vt:lpstr>
      <vt:lpstr>FY15-16</vt:lpstr>
      <vt:lpstr>FY16-17</vt:lpstr>
      <vt:lpstr>FY17-18</vt:lpstr>
      <vt:lpstr>FY18-19</vt:lpstr>
      <vt:lpstr>ChangeHistory09-18</vt:lpstr>
      <vt:lpstr>FY19-20</vt:lpstr>
      <vt:lpstr>FY20-21</vt:lpstr>
      <vt:lpstr>FY21-22</vt:lpstr>
      <vt:lpstr>ChangeHistory09-22</vt:lpstr>
      <vt:lpstr>ChangeFY09FY18Detail</vt:lpstr>
      <vt:lpstr>ChangeFY09FY21Detail</vt:lpstr>
      <vt:lpstr>ChangeFY09FY22Detail</vt:lpstr>
      <vt:lpstr>ChangeFY09FY21Detail!Print_Area</vt:lpstr>
      <vt:lpstr>ChangeFY09FY22Detail!Print_Area</vt:lpstr>
      <vt:lpstr>'ChangeHistory09-18'!Print_Area</vt:lpstr>
      <vt:lpstr>'ChangeHistory09-22'!Print_Area</vt:lpstr>
      <vt:lpstr>'FY08-09'!Print_Area</vt:lpstr>
      <vt:lpstr>'FY09-10'!Print_Area</vt:lpstr>
      <vt:lpstr>'FY10-11'!Print_Area</vt:lpstr>
      <vt:lpstr>'FY11-12'!Print_Area</vt:lpstr>
      <vt:lpstr>'FY12-13'!Print_Area</vt:lpstr>
      <vt:lpstr>'FY13-14'!Print_Area</vt:lpstr>
      <vt:lpstr>'FY14-15'!Print_Area</vt:lpstr>
      <vt:lpstr>'FY15-16'!Print_Area</vt:lpstr>
      <vt:lpstr>'FY16-17'!Print_Area</vt:lpstr>
      <vt:lpstr>'FY17-18'!Print_Area</vt:lpstr>
      <vt:lpstr>'FY18-19'!Print_Area</vt:lpstr>
      <vt:lpstr>'FY19-20'!Print_Area</vt:lpstr>
      <vt:lpstr>'FY20-21'!Print_Area</vt:lpstr>
      <vt:lpstr>'FY21-22'!Print_Area</vt:lpstr>
      <vt:lpstr>'ChangeHistory09-18'!Print_Titles</vt:lpstr>
      <vt:lpstr>'ChangeHistory09-22'!Print_Titles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Dawn Melancon</cp:lastModifiedBy>
  <cp:lastPrinted>2021-03-22T20:25:24Z</cp:lastPrinted>
  <dcterms:created xsi:type="dcterms:W3CDTF">2013-09-04T16:17:29Z</dcterms:created>
  <dcterms:modified xsi:type="dcterms:W3CDTF">2021-12-20T15:09:28Z</dcterms:modified>
</cp:coreProperties>
</file>