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S:\FINANCE\Budget_Analyst\Budget 2026\Tuition&amp;Fees\"/>
    </mc:Choice>
  </mc:AlternateContent>
  <xr:revisionPtr revIDLastSave="0" documentId="13_ncr:1_{F538D2EC-A835-415A-9EBA-3B9992529436}" xr6:coauthVersionLast="47" xr6:coauthVersionMax="47" xr10:uidLastSave="{00000000-0000-0000-0000-000000000000}"/>
  <bookViews>
    <workbookView xWindow="-110" yWindow="-110" windowWidth="19420" windowHeight="11500" xr2:uid="{5529F59E-7390-48D7-8656-FCE8B4D609DB}"/>
  </bookViews>
  <sheets>
    <sheet name="SummaryUGrad" sheetId="7" r:id="rId1"/>
    <sheet name="SummaryGrad" sheetId="6" r:id="rId2"/>
    <sheet name="Undergrad-12Hours" sheetId="4" r:id="rId3"/>
    <sheet name="Undergrad-15Hours" sheetId="1" r:id="rId4"/>
    <sheet name="Grad-18Hours" sheetId="2" r:id="rId5"/>
    <sheet name="Grad-20Hours" sheetId="3" r:id="rId6"/>
    <sheet name="Grad-24Hours" sheetId="5" r:id="rId7"/>
    <sheet name="UGrad_ChangeSummary" sheetId="8" r:id="rId8"/>
    <sheet name="Grad_ChangeSummary" sheetId="9" r:id="rId9"/>
    <sheet name="High Cost Programs" sheetId="10" r:id="rId10"/>
  </sheets>
  <definedNames>
    <definedName name="_xlnm.Print_Area" localSheetId="4">'Grad-18Hours'!$A$1:$Q$48</definedName>
    <definedName name="_xlnm.Print_Area" localSheetId="5">'Grad-20Hours'!$A$1:$Q$49</definedName>
    <definedName name="_xlnm.Print_Area" localSheetId="6">'Grad-24Hours'!$A$1:$Q$49</definedName>
    <definedName name="_xlnm.Print_Area" localSheetId="1">SummaryGrad!$A$1:$G$67</definedName>
    <definedName name="_xlnm.Print_Area" localSheetId="0">SummaryUGrad!$A$1:$F$60</definedName>
    <definedName name="_xlnm.Print_Area" localSheetId="7">UGrad_ChangeSummary!$A$1:$T$52</definedName>
    <definedName name="_xlnm.Print_Area" localSheetId="2">'Undergrad-12Hours'!$A$1:$V$51</definedName>
    <definedName name="_xlnm.Print_Area" localSheetId="3">'Undergrad-15Hours'!$A$1:$V$51</definedName>
    <definedName name="_xlnm.Print_Titles" localSheetId="1">SummaryGrad!$1:$7</definedName>
    <definedName name="_xlnm.Print_Titles" localSheetId="0">SummaryUGrad!$1:$7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21" i="9" l="1"/>
  <c r="AD21" i="9"/>
  <c r="X21" i="9"/>
  <c r="Y21" i="9" s="1"/>
  <c r="S21" i="9"/>
  <c r="T21" i="9"/>
  <c r="N21" i="9"/>
  <c r="O21" i="9"/>
  <c r="I21" i="9"/>
  <c r="J21" i="9" s="1"/>
  <c r="D21" i="9"/>
  <c r="E21" i="9"/>
  <c r="S26" i="8"/>
  <c r="T26" i="8"/>
  <c r="S27" i="8"/>
  <c r="T27" i="8"/>
  <c r="S28" i="8"/>
  <c r="T28" i="8"/>
  <c r="N26" i="8"/>
  <c r="O26" i="8"/>
  <c r="N27" i="8"/>
  <c r="O27" i="8"/>
  <c r="N28" i="8"/>
  <c r="O28" i="8"/>
  <c r="I26" i="8"/>
  <c r="J26" i="8"/>
  <c r="I27" i="8"/>
  <c r="J27" i="8"/>
  <c r="I28" i="8"/>
  <c r="J28" i="8" s="1"/>
  <c r="D26" i="8"/>
  <c r="E26" i="8"/>
  <c r="D27" i="8"/>
  <c r="E27" i="8" s="1"/>
  <c r="D28" i="8"/>
  <c r="E28" i="8"/>
  <c r="S22" i="8"/>
  <c r="T22" i="8" s="1"/>
  <c r="S23" i="8"/>
  <c r="T23" i="8"/>
  <c r="N22" i="8"/>
  <c r="O22" i="8" s="1"/>
  <c r="N23" i="8"/>
  <c r="O23" i="8"/>
  <c r="I22" i="8"/>
  <c r="J22" i="8"/>
  <c r="I23" i="8"/>
  <c r="J23" i="8"/>
  <c r="D22" i="8"/>
  <c r="E22" i="8"/>
  <c r="D23" i="8"/>
  <c r="E23" i="8"/>
  <c r="S17" i="8"/>
  <c r="T17" i="8"/>
  <c r="N17" i="8"/>
  <c r="O17" i="8"/>
  <c r="I17" i="8"/>
  <c r="J17" i="8"/>
  <c r="D17" i="8"/>
  <c r="E17" i="8" s="1"/>
  <c r="S15" i="8"/>
  <c r="T15" i="8"/>
  <c r="N15" i="8"/>
  <c r="O15" i="8"/>
  <c r="I15" i="8"/>
  <c r="J15" i="8"/>
  <c r="D15" i="8"/>
  <c r="E15" i="8"/>
  <c r="S12" i="8"/>
  <c r="T12" i="8"/>
  <c r="N12" i="8"/>
  <c r="O12" i="8"/>
  <c r="J12" i="8"/>
  <c r="E12" i="8"/>
  <c r="I12" i="8"/>
  <c r="D12" i="8"/>
  <c r="I17" i="9"/>
  <c r="J17" i="9"/>
  <c r="D17" i="9"/>
  <c r="E17" i="9"/>
  <c r="R31" i="8"/>
  <c r="M31" i="8"/>
  <c r="H31" i="8"/>
  <c r="C31" i="8"/>
  <c r="B25" i="1"/>
  <c r="E40" i="7" l="1"/>
  <c r="D40" i="7"/>
  <c r="X30" i="1"/>
  <c r="V30" i="1"/>
  <c r="T30" i="1"/>
  <c r="P30" i="1"/>
  <c r="Q30" i="1"/>
  <c r="F40" i="7"/>
  <c r="C40" i="7"/>
  <c r="B40" i="7"/>
  <c r="V30" i="4"/>
  <c r="T30" i="4"/>
  <c r="P30" i="4"/>
  <c r="Q30" i="4"/>
  <c r="B25" i="4"/>
  <c r="B7" i="5" l="1"/>
  <c r="B7" i="3"/>
  <c r="B7" i="2"/>
  <c r="C26" i="9" l="1"/>
  <c r="D26" i="9" s="1"/>
  <c r="E26" i="9" s="1"/>
  <c r="G37" i="6"/>
  <c r="F37" i="6"/>
  <c r="E37" i="6"/>
  <c r="D37" i="6"/>
  <c r="C37" i="6"/>
  <c r="B37" i="6"/>
  <c r="AB26" i="9"/>
  <c r="AC26" i="9" s="1"/>
  <c r="AD26" i="9" s="1"/>
  <c r="W26" i="9"/>
  <c r="X26" i="9"/>
  <c r="Y26" i="9"/>
  <c r="R26" i="9"/>
  <c r="S26" i="9"/>
  <c r="T26" i="9"/>
  <c r="M26" i="9"/>
  <c r="N26" i="9"/>
  <c r="O26" i="9"/>
  <c r="H26" i="9"/>
  <c r="I26" i="9"/>
  <c r="J26" i="9"/>
  <c r="C9" i="5" l="1"/>
  <c r="C9" i="3"/>
  <c r="B11" i="4"/>
  <c r="D41" i="10" l="1"/>
  <c r="D42" i="10"/>
  <c r="D43" i="10"/>
  <c r="D44" i="10"/>
  <c r="D45" i="10"/>
  <c r="D46" i="10"/>
  <c r="D47" i="10"/>
  <c r="D48" i="10"/>
  <c r="D49" i="10"/>
  <c r="D50" i="10"/>
  <c r="D51" i="10"/>
  <c r="D52" i="10"/>
  <c r="D53" i="10"/>
  <c r="D54" i="10"/>
  <c r="D55" i="10"/>
  <c r="D56" i="10"/>
  <c r="D57" i="10"/>
  <c r="D58" i="10"/>
  <c r="D59" i="10"/>
  <c r="D60" i="10"/>
  <c r="D61" i="10"/>
  <c r="D62" i="10"/>
  <c r="D63" i="10"/>
  <c r="D64" i="10"/>
  <c r="D65" i="10"/>
  <c r="D66" i="10"/>
  <c r="D67" i="10"/>
  <c r="D68" i="10"/>
  <c r="D69" i="10"/>
  <c r="D70" i="10"/>
  <c r="D71" i="10"/>
  <c r="D72" i="10"/>
  <c r="D73" i="10"/>
  <c r="D74" i="10"/>
  <c r="D75" i="10"/>
  <c r="D76" i="10"/>
  <c r="D77" i="10"/>
  <c r="D78" i="10"/>
  <c r="D79" i="10"/>
  <c r="D80" i="10"/>
  <c r="D81" i="10"/>
  <c r="D82" i="10"/>
  <c r="D83" i="10"/>
  <c r="D84" i="10"/>
  <c r="D85" i="10"/>
  <c r="D86" i="10"/>
  <c r="D87" i="10"/>
  <c r="D88" i="10"/>
  <c r="D89" i="10"/>
  <c r="D90" i="10"/>
  <c r="D91" i="10"/>
  <c r="D92" i="10"/>
  <c r="AC17" i="9"/>
  <c r="AD17" i="9" s="1"/>
  <c r="X17" i="9"/>
  <c r="Y17" i="9"/>
  <c r="S17" i="9"/>
  <c r="T17" i="9" s="1"/>
  <c r="N17" i="9"/>
  <c r="O17" i="9" s="1"/>
  <c r="M14" i="8"/>
  <c r="N14" i="8" s="1"/>
  <c r="O14" i="8" s="1"/>
  <c r="C14" i="8"/>
  <c r="D14" i="8" s="1"/>
  <c r="E14" i="8" s="1"/>
  <c r="C26" i="8"/>
  <c r="M12" i="8"/>
  <c r="C12" i="8"/>
  <c r="B27" i="1"/>
  <c r="M28" i="8" s="1"/>
  <c r="B12" i="5" l="1"/>
  <c r="B12" i="3" l="1"/>
  <c r="B12" i="2"/>
  <c r="F33" i="7" l="1"/>
  <c r="F34" i="7"/>
  <c r="F35" i="7"/>
  <c r="F36" i="7"/>
  <c r="F37" i="7"/>
  <c r="F38" i="7"/>
  <c r="B27" i="4"/>
  <c r="C28" i="8" s="1"/>
  <c r="F28" i="7"/>
  <c r="F23" i="7"/>
  <c r="F21" i="7"/>
  <c r="F18" i="7"/>
  <c r="F14" i="7"/>
  <c r="X27" i="1"/>
  <c r="V27" i="1"/>
  <c r="T27" i="1"/>
  <c r="P27" i="1"/>
  <c r="Q27" i="1" l="1"/>
  <c r="E33" i="7" s="1"/>
  <c r="R28" i="8"/>
  <c r="D33" i="7"/>
  <c r="C17" i="5" l="1"/>
  <c r="C16" i="5"/>
  <c r="C15" i="5"/>
  <c r="C14" i="5"/>
  <c r="C13" i="5"/>
  <c r="C11" i="5"/>
  <c r="C10" i="5"/>
  <c r="B20" i="5"/>
  <c r="C16" i="3"/>
  <c r="C15" i="3"/>
  <c r="C14" i="3"/>
  <c r="P15" i="3"/>
  <c r="C13" i="3"/>
  <c r="C10" i="3"/>
  <c r="C11" i="3"/>
  <c r="C17" i="3"/>
  <c r="B20" i="3"/>
  <c r="B19" i="2"/>
  <c r="C16" i="2"/>
  <c r="C14" i="2"/>
  <c r="C15" i="2"/>
  <c r="C13" i="2"/>
  <c r="P14" i="3" l="1"/>
  <c r="C11" i="2"/>
  <c r="C10" i="2"/>
  <c r="C18" i="1" l="1"/>
  <c r="C17" i="1"/>
  <c r="B16" i="1"/>
  <c r="M17" i="8" s="1"/>
  <c r="B14" i="1"/>
  <c r="M15" i="8" s="1"/>
  <c r="C12" i="1"/>
  <c r="B7" i="1"/>
  <c r="M8" i="8" s="1"/>
  <c r="M26" i="8"/>
  <c r="B22" i="1"/>
  <c r="X25" i="1"/>
  <c r="V25" i="1"/>
  <c r="X16" i="1"/>
  <c r="V16" i="1"/>
  <c r="X14" i="1"/>
  <c r="V14" i="1"/>
  <c r="X11" i="1"/>
  <c r="V11" i="1"/>
  <c r="X7" i="1"/>
  <c r="V7" i="1"/>
  <c r="C18" i="4"/>
  <c r="C17" i="4"/>
  <c r="C12" i="4"/>
  <c r="B16" i="4"/>
  <c r="C17" i="8" s="1"/>
  <c r="V16" i="4"/>
  <c r="B14" i="4"/>
  <c r="C15" i="8" s="1"/>
  <c r="V14" i="4"/>
  <c r="V11" i="4"/>
  <c r="B7" i="4"/>
  <c r="C8" i="8" s="1"/>
  <c r="V7" i="4"/>
  <c r="P8" i="4"/>
  <c r="Q8" i="4" s="1"/>
  <c r="T8" i="4"/>
  <c r="V8" i="4"/>
  <c r="V27" i="4"/>
  <c r="T27" i="4"/>
  <c r="P27" i="4"/>
  <c r="H28" i="8" s="1"/>
  <c r="V25" i="4"/>
  <c r="B22" i="4"/>
  <c r="W21" i="9"/>
  <c r="M21" i="9"/>
  <c r="C21" i="9"/>
  <c r="T7" i="4" l="1"/>
  <c r="T7" i="1"/>
  <c r="T16" i="1"/>
  <c r="P16" i="1"/>
  <c r="P25" i="1"/>
  <c r="R26" i="8" s="1"/>
  <c r="T14" i="1"/>
  <c r="T11" i="1"/>
  <c r="T25" i="4"/>
  <c r="Q27" i="4"/>
  <c r="C33" i="7" s="1"/>
  <c r="B33" i="7"/>
  <c r="T14" i="4"/>
  <c r="T16" i="4"/>
  <c r="P7" i="4"/>
  <c r="H8" i="8" s="1"/>
  <c r="P11" i="4"/>
  <c r="H12" i="8" s="1"/>
  <c r="T11" i="4"/>
  <c r="T25" i="1"/>
  <c r="P14" i="1"/>
  <c r="R15" i="8" s="1"/>
  <c r="P14" i="4"/>
  <c r="H15" i="8" s="1"/>
  <c r="Q16" i="1"/>
  <c r="E23" i="7" s="1"/>
  <c r="P11" i="1"/>
  <c r="R12" i="8" s="1"/>
  <c r="P7" i="1"/>
  <c r="R8" i="8" s="1"/>
  <c r="P16" i="4"/>
  <c r="H17" i="8" s="1"/>
  <c r="P25" i="4"/>
  <c r="H26" i="8" s="1"/>
  <c r="T21" i="1"/>
  <c r="V21" i="1"/>
  <c r="T22" i="1"/>
  <c r="V22" i="1"/>
  <c r="D23" i="7" l="1"/>
  <c r="R17" i="8"/>
  <c r="Q14" i="1"/>
  <c r="E21" i="7" s="1"/>
  <c r="D21" i="7"/>
  <c r="Q25" i="1"/>
  <c r="E28" i="7" s="1"/>
  <c r="D28" i="7"/>
  <c r="Q11" i="1"/>
  <c r="E18" i="7" s="1"/>
  <c r="D18" i="7"/>
  <c r="Q7" i="1"/>
  <c r="E14" i="7" s="1"/>
  <c r="D14" i="7"/>
  <c r="Q11" i="4"/>
  <c r="C18" i="7" s="1"/>
  <c r="B18" i="7"/>
  <c r="Q14" i="4"/>
  <c r="C21" i="7" s="1"/>
  <c r="B21" i="7"/>
  <c r="Q7" i="4"/>
  <c r="C14" i="7" s="1"/>
  <c r="B14" i="7"/>
  <c r="Q25" i="4"/>
  <c r="C28" i="7" s="1"/>
  <c r="B28" i="7"/>
  <c r="Q16" i="4"/>
  <c r="C23" i="7" s="1"/>
  <c r="B23" i="7"/>
  <c r="V21" i="4"/>
  <c r="V22" i="4"/>
  <c r="T21" i="4"/>
  <c r="T22" i="4"/>
  <c r="M22" i="8"/>
  <c r="M23" i="8"/>
  <c r="C22" i="8"/>
  <c r="C23" i="8"/>
  <c r="F31" i="7" l="1"/>
  <c r="F30" i="7"/>
  <c r="P21" i="1"/>
  <c r="P22" i="1"/>
  <c r="R23" i="8" s="1"/>
  <c r="P21" i="4"/>
  <c r="B30" i="7" s="1"/>
  <c r="P22" i="4"/>
  <c r="H23" i="8" s="1"/>
  <c r="P19" i="2"/>
  <c r="P20" i="5"/>
  <c r="P19" i="3"/>
  <c r="P20" i="3"/>
  <c r="Q20" i="5" l="1"/>
  <c r="G29" i="6" s="1"/>
  <c r="AB21" i="9"/>
  <c r="Q20" i="3"/>
  <c r="E29" i="6" s="1"/>
  <c r="R21" i="9"/>
  <c r="Q19" i="2"/>
  <c r="C29" i="6" s="1"/>
  <c r="H21" i="9"/>
  <c r="Q22" i="1"/>
  <c r="E31" i="7" s="1"/>
  <c r="Q21" i="1"/>
  <c r="E30" i="7" s="1"/>
  <c r="R22" i="8"/>
  <c r="D30" i="7"/>
  <c r="D31" i="7"/>
  <c r="Q21" i="4"/>
  <c r="C30" i="7" s="1"/>
  <c r="H22" i="8"/>
  <c r="B31" i="7"/>
  <c r="Q22" i="4"/>
  <c r="C31" i="7" s="1"/>
  <c r="F29" i="6"/>
  <c r="B29" i="6"/>
  <c r="D29" i="6"/>
  <c r="P49" i="4"/>
  <c r="P45" i="4"/>
  <c r="P43" i="4"/>
  <c r="P33" i="1"/>
  <c r="D38" i="7" s="1"/>
  <c r="P41" i="1"/>
  <c r="P42" i="1"/>
  <c r="P43" i="1"/>
  <c r="P44" i="1"/>
  <c r="P45" i="1"/>
  <c r="P46" i="1"/>
  <c r="P47" i="1"/>
  <c r="P48" i="1"/>
  <c r="P49" i="1"/>
  <c r="P50" i="1"/>
  <c r="P51" i="1"/>
  <c r="P40" i="1"/>
  <c r="Q46" i="1" l="1"/>
  <c r="Q47" i="1"/>
  <c r="Q48" i="1"/>
  <c r="Q49" i="1"/>
  <c r="Q50" i="1"/>
  <c r="Q51" i="1"/>
  <c r="Q45" i="1" l="1"/>
  <c r="P36" i="1" l="1"/>
  <c r="P6" i="3"/>
  <c r="P40" i="4"/>
  <c r="P6" i="4"/>
  <c r="Q6" i="4" s="1"/>
  <c r="P33" i="4"/>
  <c r="B38" i="7" s="1"/>
  <c r="Q42" i="1" l="1"/>
  <c r="X36" i="1" l="1"/>
  <c r="X26" i="1"/>
  <c r="P18" i="1" l="1"/>
  <c r="L3" i="4"/>
  <c r="L2" i="4" l="1"/>
  <c r="P50" i="3"/>
  <c r="Q50" i="3" s="1"/>
  <c r="E12" i="6" s="1"/>
  <c r="P51" i="3"/>
  <c r="Q51" i="3" s="1"/>
  <c r="E13" i="6" s="1"/>
  <c r="W51" i="9"/>
  <c r="X51" i="9" s="1"/>
  <c r="Y51" i="9" s="1"/>
  <c r="W52" i="9"/>
  <c r="X52" i="9" s="1"/>
  <c r="Y52" i="9" s="1"/>
  <c r="M51" i="9"/>
  <c r="N51" i="9" s="1"/>
  <c r="O51" i="9" s="1"/>
  <c r="M52" i="9"/>
  <c r="N52" i="9" s="1"/>
  <c r="O52" i="9" s="1"/>
  <c r="C51" i="9"/>
  <c r="D51" i="9" s="1"/>
  <c r="E51" i="9" s="1"/>
  <c r="C52" i="9"/>
  <c r="D52" i="9" s="1"/>
  <c r="E52" i="9" s="1"/>
  <c r="P50" i="5"/>
  <c r="Q50" i="5" s="1"/>
  <c r="G12" i="6" s="1"/>
  <c r="P51" i="5"/>
  <c r="AB52" i="9" s="1"/>
  <c r="AC52" i="9" s="1"/>
  <c r="AD52" i="9" s="1"/>
  <c r="P49" i="2"/>
  <c r="Q49" i="2" s="1"/>
  <c r="C12" i="6" s="1"/>
  <c r="P50" i="2"/>
  <c r="Q50" i="2" s="1"/>
  <c r="C13" i="6" s="1"/>
  <c r="Q51" i="5" l="1"/>
  <c r="G13" i="6" s="1"/>
  <c r="F13" i="6"/>
  <c r="B13" i="6"/>
  <c r="H51" i="9"/>
  <c r="I51" i="9" s="1"/>
  <c r="J51" i="9" s="1"/>
  <c r="AB51" i="9"/>
  <c r="AC51" i="9" s="1"/>
  <c r="AD51" i="9" s="1"/>
  <c r="F12" i="6"/>
  <c r="D13" i="6"/>
  <c r="D12" i="6"/>
  <c r="H52" i="9"/>
  <c r="I52" i="9" s="1"/>
  <c r="J52" i="9" s="1"/>
  <c r="B12" i="6"/>
  <c r="R51" i="9"/>
  <c r="S51" i="9" s="1"/>
  <c r="T51" i="9" s="1"/>
  <c r="R52" i="9"/>
  <c r="S52" i="9" s="1"/>
  <c r="T52" i="9" s="1"/>
  <c r="W17" i="9" l="1"/>
  <c r="M17" i="9"/>
  <c r="C17" i="9"/>
  <c r="P15" i="2"/>
  <c r="Q15" i="2" s="1"/>
  <c r="C25" i="6" s="1"/>
  <c r="P16" i="3"/>
  <c r="Q16" i="3" s="1"/>
  <c r="E25" i="6" s="1"/>
  <c r="P16" i="5"/>
  <c r="Q16" i="5" s="1"/>
  <c r="G25" i="6" s="1"/>
  <c r="T16" i="5"/>
  <c r="F25" i="6" l="1"/>
  <c r="AB17" i="9"/>
  <c r="D25" i="6"/>
  <c r="R17" i="9"/>
  <c r="B25" i="6"/>
  <c r="H17" i="9"/>
  <c r="P41" i="4"/>
  <c r="P42" i="4"/>
  <c r="P44" i="4"/>
  <c r="P46" i="4"/>
  <c r="P47" i="4"/>
  <c r="P48" i="4"/>
  <c r="P50" i="4"/>
  <c r="P51" i="4"/>
  <c r="P20" i="2"/>
  <c r="P18" i="2"/>
  <c r="P44" i="5" l="1"/>
  <c r="P44" i="3"/>
  <c r="P43" i="2"/>
  <c r="P37" i="5"/>
  <c r="P23" i="2"/>
  <c r="P34" i="1"/>
  <c r="P20" i="1"/>
  <c r="Q20" i="1" s="1"/>
  <c r="P6" i="1"/>
  <c r="P17" i="4"/>
  <c r="P20" i="4"/>
  <c r="Q44" i="5" l="1"/>
  <c r="Q44" i="3"/>
  <c r="Q43" i="2"/>
  <c r="V9" i="4"/>
  <c r="W44" i="9" l="1"/>
  <c r="X44" i="9" s="1"/>
  <c r="Y44" i="9" s="1"/>
  <c r="W42" i="9"/>
  <c r="X42" i="9" s="1"/>
  <c r="Y42" i="9" s="1"/>
  <c r="M44" i="9"/>
  <c r="N44" i="9" s="1"/>
  <c r="O44" i="9" s="1"/>
  <c r="M42" i="9"/>
  <c r="N42" i="9" s="1"/>
  <c r="O42" i="9" s="1"/>
  <c r="C44" i="9"/>
  <c r="D44" i="9" s="1"/>
  <c r="E44" i="9" s="1"/>
  <c r="C42" i="9"/>
  <c r="D42" i="9" s="1"/>
  <c r="E42" i="9" s="1"/>
  <c r="P42" i="2" l="1"/>
  <c r="P43" i="3"/>
  <c r="P43" i="5"/>
  <c r="P41" i="5"/>
  <c r="Q41" i="5" s="1"/>
  <c r="G52" i="6" s="1"/>
  <c r="P41" i="3"/>
  <c r="P40" i="2"/>
  <c r="Q40" i="2" s="1"/>
  <c r="C52" i="6" s="1"/>
  <c r="P9" i="4"/>
  <c r="F52" i="6" l="1"/>
  <c r="AB42" i="9"/>
  <c r="AC42" i="9" s="1"/>
  <c r="AD42" i="9" s="1"/>
  <c r="Q43" i="5"/>
  <c r="G53" i="6" s="1"/>
  <c r="F53" i="6"/>
  <c r="AB44" i="9"/>
  <c r="AC44" i="9" s="1"/>
  <c r="AD44" i="9" s="1"/>
  <c r="Q41" i="3"/>
  <c r="E52" i="6" s="1"/>
  <c r="D52" i="6"/>
  <c r="R42" i="9"/>
  <c r="S42" i="9" s="1"/>
  <c r="T42" i="9" s="1"/>
  <c r="Q43" i="3"/>
  <c r="E53" i="6" s="1"/>
  <c r="D53" i="6"/>
  <c r="R44" i="9"/>
  <c r="S44" i="9" s="1"/>
  <c r="T44" i="9" s="1"/>
  <c r="Q42" i="2"/>
  <c r="C53" i="6" s="1"/>
  <c r="B53" i="6"/>
  <c r="H44" i="9"/>
  <c r="I44" i="9" s="1"/>
  <c r="J44" i="9" s="1"/>
  <c r="B52" i="6"/>
  <c r="H42" i="9"/>
  <c r="I42" i="9" s="1"/>
  <c r="J42" i="9" s="1"/>
  <c r="M7" i="8"/>
  <c r="M9" i="8"/>
  <c r="M10" i="8"/>
  <c r="M11" i="8"/>
  <c r="M13" i="8"/>
  <c r="M16" i="8"/>
  <c r="M18" i="8"/>
  <c r="M19" i="8"/>
  <c r="T34" i="1" l="1"/>
  <c r="P26" i="1" l="1"/>
  <c r="W50" i="9" l="1"/>
  <c r="P6" i="5" l="1"/>
  <c r="P7" i="5"/>
  <c r="P8" i="5"/>
  <c r="P9" i="5"/>
  <c r="P10" i="5"/>
  <c r="P11" i="5"/>
  <c r="P12" i="5"/>
  <c r="P13" i="5"/>
  <c r="P14" i="5"/>
  <c r="P15" i="5"/>
  <c r="P17" i="5"/>
  <c r="M50" i="9" l="1"/>
  <c r="C50" i="9"/>
  <c r="D50" i="9" s="1"/>
  <c r="P47" i="5"/>
  <c r="P48" i="5"/>
  <c r="P49" i="5"/>
  <c r="Q49" i="5" s="1"/>
  <c r="P36" i="4"/>
  <c r="AB50" i="9" l="1"/>
  <c r="AC50" i="9" s="1"/>
  <c r="F11" i="6"/>
  <c r="W39" i="9"/>
  <c r="X39" i="9" s="1"/>
  <c r="Y39" i="9" s="1"/>
  <c r="P38" i="3"/>
  <c r="R39" i="9" s="1"/>
  <c r="S39" i="9" s="1"/>
  <c r="T39" i="9" s="1"/>
  <c r="M39" i="9"/>
  <c r="N39" i="9" s="1"/>
  <c r="O39" i="9" s="1"/>
  <c r="C39" i="9"/>
  <c r="D39" i="9" s="1"/>
  <c r="E39" i="9" s="1"/>
  <c r="Q38" i="3" l="1"/>
  <c r="E48" i="6" s="1"/>
  <c r="D48" i="6"/>
  <c r="P37" i="2"/>
  <c r="P38" i="5"/>
  <c r="Q38" i="5" l="1"/>
  <c r="G48" i="6" s="1"/>
  <c r="F48" i="6"/>
  <c r="AB39" i="9"/>
  <c r="AC39" i="9" s="1"/>
  <c r="AD39" i="9" s="1"/>
  <c r="Q37" i="2"/>
  <c r="C48" i="6" s="1"/>
  <c r="H39" i="9"/>
  <c r="I39" i="9" s="1"/>
  <c r="J39" i="9" s="1"/>
  <c r="B48" i="6"/>
  <c r="P39" i="5"/>
  <c r="P40" i="5"/>
  <c r="P42" i="5"/>
  <c r="P45" i="5"/>
  <c r="P36" i="5"/>
  <c r="P35" i="5"/>
  <c r="P34" i="5"/>
  <c r="P32" i="5"/>
  <c r="P33" i="5"/>
  <c r="P31" i="5"/>
  <c r="P25" i="5"/>
  <c r="P26" i="5"/>
  <c r="P27" i="5"/>
  <c r="P28" i="5"/>
  <c r="P29" i="5"/>
  <c r="P30" i="5"/>
  <c r="P24" i="5"/>
  <c r="P23" i="5"/>
  <c r="P22" i="5"/>
  <c r="P21" i="5"/>
  <c r="P19" i="5" l="1"/>
  <c r="T6" i="5" l="1"/>
  <c r="P25" i="3" l="1"/>
  <c r="P24" i="2"/>
  <c r="Q24" i="2" s="1"/>
  <c r="X6" i="1"/>
  <c r="X44" i="1"/>
  <c r="X45" i="1"/>
  <c r="X46" i="1"/>
  <c r="X47" i="1"/>
  <c r="X48" i="1"/>
  <c r="X49" i="1"/>
  <c r="X50" i="1"/>
  <c r="X51" i="1"/>
  <c r="X38" i="1"/>
  <c r="X40" i="1"/>
  <c r="X41" i="1"/>
  <c r="X42" i="1"/>
  <c r="X43" i="1"/>
  <c r="V33" i="1"/>
  <c r="T34" i="4"/>
  <c r="P27" i="3"/>
  <c r="Q27" i="3" s="1"/>
  <c r="E42" i="6" s="1"/>
  <c r="P26" i="2"/>
  <c r="B42" i="6" s="1"/>
  <c r="M33" i="8"/>
  <c r="N33" i="8" s="1"/>
  <c r="O33" i="8" s="1"/>
  <c r="W28" i="9"/>
  <c r="X28" i="9" s="1"/>
  <c r="Y28" i="9" s="1"/>
  <c r="M28" i="9"/>
  <c r="N28" i="9" s="1"/>
  <c r="O28" i="9" s="1"/>
  <c r="C28" i="9"/>
  <c r="D28" i="9" s="1"/>
  <c r="E28" i="9" s="1"/>
  <c r="Q33" i="1"/>
  <c r="E38" i="7" s="1"/>
  <c r="T25" i="5"/>
  <c r="M34" i="8"/>
  <c r="N34" i="8" s="1"/>
  <c r="O34" i="8" s="1"/>
  <c r="C34" i="8"/>
  <c r="D34" i="8" s="1"/>
  <c r="E34" i="8" s="1"/>
  <c r="X33" i="1"/>
  <c r="T33" i="1"/>
  <c r="V33" i="4"/>
  <c r="T33" i="4"/>
  <c r="P48" i="2"/>
  <c r="B11" i="6" s="1"/>
  <c r="M49" i="9"/>
  <c r="N49" i="9" s="1"/>
  <c r="O49" i="9" s="1"/>
  <c r="W8" i="9"/>
  <c r="X8" i="9" s="1"/>
  <c r="Y8" i="9" s="1"/>
  <c r="W9" i="9"/>
  <c r="X9" i="9" s="1"/>
  <c r="Y9" i="9" s="1"/>
  <c r="W10" i="9"/>
  <c r="X10" i="9" s="1"/>
  <c r="Y10" i="9" s="1"/>
  <c r="W11" i="9"/>
  <c r="X11" i="9" s="1"/>
  <c r="Y11" i="9" s="1"/>
  <c r="W12" i="9"/>
  <c r="X12" i="9" s="1"/>
  <c r="Y12" i="9" s="1"/>
  <c r="W13" i="9"/>
  <c r="X13" i="9" s="1"/>
  <c r="Y13" i="9" s="1"/>
  <c r="W14" i="9"/>
  <c r="X14" i="9" s="1"/>
  <c r="Y14" i="9" s="1"/>
  <c r="W15" i="9"/>
  <c r="X15" i="9" s="1"/>
  <c r="Y15" i="9" s="1"/>
  <c r="W16" i="9"/>
  <c r="X16" i="9" s="1"/>
  <c r="Y16" i="9" s="1"/>
  <c r="W18" i="9"/>
  <c r="X18" i="9" s="1"/>
  <c r="Y18" i="9" s="1"/>
  <c r="W20" i="9"/>
  <c r="X20" i="9" s="1"/>
  <c r="Y20" i="9" s="1"/>
  <c r="W22" i="9"/>
  <c r="X22" i="9" s="1"/>
  <c r="Y22" i="9" s="1"/>
  <c r="W23" i="9"/>
  <c r="X23" i="9" s="1"/>
  <c r="Y23" i="9" s="1"/>
  <c r="W24" i="9"/>
  <c r="X24" i="9" s="1"/>
  <c r="Y24" i="9" s="1"/>
  <c r="W25" i="9"/>
  <c r="X25" i="9" s="1"/>
  <c r="Y25" i="9" s="1"/>
  <c r="W27" i="9"/>
  <c r="X27" i="9" s="1"/>
  <c r="Y27" i="9" s="1"/>
  <c r="W29" i="9"/>
  <c r="X29" i="9" s="1"/>
  <c r="Y29" i="9" s="1"/>
  <c r="W30" i="9"/>
  <c r="X30" i="9" s="1"/>
  <c r="Y30" i="9" s="1"/>
  <c r="W31" i="9"/>
  <c r="X31" i="9" s="1"/>
  <c r="Y31" i="9" s="1"/>
  <c r="W32" i="9"/>
  <c r="X32" i="9" s="1"/>
  <c r="Y32" i="9" s="1"/>
  <c r="W33" i="9"/>
  <c r="X33" i="9" s="1"/>
  <c r="Y33" i="9" s="1"/>
  <c r="W34" i="9"/>
  <c r="X34" i="9" s="1"/>
  <c r="Y34" i="9" s="1"/>
  <c r="W35" i="9"/>
  <c r="X35" i="9" s="1"/>
  <c r="Y35" i="9" s="1"/>
  <c r="W36" i="9"/>
  <c r="X36" i="9" s="1"/>
  <c r="Y36" i="9" s="1"/>
  <c r="W37" i="9"/>
  <c r="X37" i="9" s="1"/>
  <c r="Y37" i="9" s="1"/>
  <c r="W38" i="9"/>
  <c r="X38" i="9" s="1"/>
  <c r="Y38" i="9" s="1"/>
  <c r="W40" i="9"/>
  <c r="X40" i="9" s="1"/>
  <c r="Y40" i="9" s="1"/>
  <c r="W41" i="9"/>
  <c r="X41" i="9" s="1"/>
  <c r="Y41" i="9" s="1"/>
  <c r="W43" i="9"/>
  <c r="X43" i="9" s="1"/>
  <c r="Y43" i="9" s="1"/>
  <c r="W46" i="9"/>
  <c r="X46" i="9" s="1"/>
  <c r="Y46" i="9" s="1"/>
  <c r="W48" i="9"/>
  <c r="X48" i="9" s="1"/>
  <c r="Y48" i="9" s="1"/>
  <c r="W49" i="9"/>
  <c r="X49" i="9" s="1"/>
  <c r="Y49" i="9" s="1"/>
  <c r="X50" i="9"/>
  <c r="Y50" i="9" s="1"/>
  <c r="W7" i="9"/>
  <c r="X7" i="9" s="1"/>
  <c r="Y7" i="9" s="1"/>
  <c r="M8" i="9"/>
  <c r="N8" i="9" s="1"/>
  <c r="O8" i="9" s="1"/>
  <c r="M9" i="9"/>
  <c r="N9" i="9" s="1"/>
  <c r="O9" i="9" s="1"/>
  <c r="M10" i="9"/>
  <c r="N10" i="9" s="1"/>
  <c r="O10" i="9" s="1"/>
  <c r="M11" i="9"/>
  <c r="N11" i="9" s="1"/>
  <c r="O11" i="9" s="1"/>
  <c r="M12" i="9"/>
  <c r="N12" i="9" s="1"/>
  <c r="O12" i="9" s="1"/>
  <c r="M13" i="9"/>
  <c r="N13" i="9" s="1"/>
  <c r="O13" i="9" s="1"/>
  <c r="M14" i="9"/>
  <c r="N14" i="9" s="1"/>
  <c r="O14" i="9" s="1"/>
  <c r="M15" i="9"/>
  <c r="N15" i="9" s="1"/>
  <c r="O15" i="9" s="1"/>
  <c r="M16" i="9"/>
  <c r="N16" i="9" s="1"/>
  <c r="O16" i="9" s="1"/>
  <c r="M18" i="9"/>
  <c r="N18" i="9" s="1"/>
  <c r="O18" i="9" s="1"/>
  <c r="M20" i="9"/>
  <c r="N20" i="9" s="1"/>
  <c r="O20" i="9" s="1"/>
  <c r="M22" i="9"/>
  <c r="N22" i="9" s="1"/>
  <c r="O22" i="9" s="1"/>
  <c r="M23" i="9"/>
  <c r="N23" i="9" s="1"/>
  <c r="O23" i="9" s="1"/>
  <c r="M24" i="9"/>
  <c r="N24" i="9" s="1"/>
  <c r="O24" i="9" s="1"/>
  <c r="M25" i="9"/>
  <c r="N25" i="9" s="1"/>
  <c r="O25" i="9" s="1"/>
  <c r="M27" i="9"/>
  <c r="N27" i="9" s="1"/>
  <c r="O27" i="9" s="1"/>
  <c r="M29" i="9"/>
  <c r="N29" i="9" s="1"/>
  <c r="O29" i="9" s="1"/>
  <c r="M30" i="9"/>
  <c r="N30" i="9" s="1"/>
  <c r="O30" i="9" s="1"/>
  <c r="M31" i="9"/>
  <c r="N31" i="9" s="1"/>
  <c r="O31" i="9" s="1"/>
  <c r="M32" i="9"/>
  <c r="N32" i="9" s="1"/>
  <c r="O32" i="9" s="1"/>
  <c r="M33" i="9"/>
  <c r="N33" i="9" s="1"/>
  <c r="O33" i="9" s="1"/>
  <c r="M34" i="9"/>
  <c r="N34" i="9" s="1"/>
  <c r="O34" i="9" s="1"/>
  <c r="M35" i="9"/>
  <c r="N35" i="9" s="1"/>
  <c r="O35" i="9" s="1"/>
  <c r="M36" i="9"/>
  <c r="N36" i="9" s="1"/>
  <c r="O36" i="9" s="1"/>
  <c r="M37" i="9"/>
  <c r="N37" i="9" s="1"/>
  <c r="O37" i="9" s="1"/>
  <c r="M38" i="9"/>
  <c r="N38" i="9" s="1"/>
  <c r="O38" i="9" s="1"/>
  <c r="M40" i="9"/>
  <c r="N40" i="9" s="1"/>
  <c r="O40" i="9" s="1"/>
  <c r="M41" i="9"/>
  <c r="N41" i="9" s="1"/>
  <c r="O41" i="9" s="1"/>
  <c r="M43" i="9"/>
  <c r="N43" i="9" s="1"/>
  <c r="O43" i="9" s="1"/>
  <c r="M46" i="9"/>
  <c r="N46" i="9" s="1"/>
  <c r="O46" i="9" s="1"/>
  <c r="M48" i="9"/>
  <c r="N48" i="9" s="1"/>
  <c r="O48" i="9" s="1"/>
  <c r="N50" i="9"/>
  <c r="O50" i="9" s="1"/>
  <c r="M7" i="9"/>
  <c r="N7" i="9" s="1"/>
  <c r="O7" i="9" s="1"/>
  <c r="C8" i="9"/>
  <c r="D8" i="9" s="1"/>
  <c r="E8" i="9" s="1"/>
  <c r="C9" i="9"/>
  <c r="D9" i="9" s="1"/>
  <c r="E9" i="9" s="1"/>
  <c r="C10" i="9"/>
  <c r="D10" i="9" s="1"/>
  <c r="E10" i="9" s="1"/>
  <c r="C11" i="9"/>
  <c r="D11" i="9" s="1"/>
  <c r="E11" i="9" s="1"/>
  <c r="C12" i="9"/>
  <c r="D12" i="9" s="1"/>
  <c r="E12" i="9" s="1"/>
  <c r="C13" i="9"/>
  <c r="D13" i="9" s="1"/>
  <c r="E13" i="9" s="1"/>
  <c r="C14" i="9"/>
  <c r="D14" i="9" s="1"/>
  <c r="E14" i="9" s="1"/>
  <c r="C16" i="9"/>
  <c r="D16" i="9" s="1"/>
  <c r="E16" i="9" s="1"/>
  <c r="C18" i="9"/>
  <c r="D18" i="9" s="1"/>
  <c r="E18" i="9" s="1"/>
  <c r="C20" i="9"/>
  <c r="D20" i="9" s="1"/>
  <c r="E20" i="9" s="1"/>
  <c r="C23" i="9"/>
  <c r="D23" i="9" s="1"/>
  <c r="E23" i="9" s="1"/>
  <c r="C24" i="9"/>
  <c r="D24" i="9" s="1"/>
  <c r="E24" i="9" s="1"/>
  <c r="C25" i="9"/>
  <c r="D25" i="9" s="1"/>
  <c r="E25" i="9" s="1"/>
  <c r="C27" i="9"/>
  <c r="D27" i="9" s="1"/>
  <c r="E27" i="9" s="1"/>
  <c r="C29" i="9"/>
  <c r="D29" i="9" s="1"/>
  <c r="E29" i="9" s="1"/>
  <c r="C30" i="9"/>
  <c r="D30" i="9" s="1"/>
  <c r="E30" i="9" s="1"/>
  <c r="C31" i="9"/>
  <c r="D31" i="9" s="1"/>
  <c r="E31" i="9" s="1"/>
  <c r="C32" i="9"/>
  <c r="D32" i="9" s="1"/>
  <c r="E32" i="9" s="1"/>
  <c r="C33" i="9"/>
  <c r="D33" i="9" s="1"/>
  <c r="E33" i="9" s="1"/>
  <c r="C34" i="9"/>
  <c r="D34" i="9" s="1"/>
  <c r="E34" i="9" s="1"/>
  <c r="C35" i="9"/>
  <c r="D35" i="9" s="1"/>
  <c r="E35" i="9" s="1"/>
  <c r="C36" i="9"/>
  <c r="D36" i="9" s="1"/>
  <c r="E36" i="9" s="1"/>
  <c r="C37" i="9"/>
  <c r="D37" i="9" s="1"/>
  <c r="E37" i="9" s="1"/>
  <c r="C38" i="9"/>
  <c r="D38" i="9" s="1"/>
  <c r="E38" i="9" s="1"/>
  <c r="C40" i="9"/>
  <c r="D40" i="9" s="1"/>
  <c r="E40" i="9" s="1"/>
  <c r="C41" i="9"/>
  <c r="D41" i="9" s="1"/>
  <c r="E41" i="9" s="1"/>
  <c r="C43" i="9"/>
  <c r="D43" i="9" s="1"/>
  <c r="E43" i="9" s="1"/>
  <c r="C46" i="9"/>
  <c r="D46" i="9" s="1"/>
  <c r="E46" i="9" s="1"/>
  <c r="C48" i="9"/>
  <c r="D48" i="9" s="1"/>
  <c r="E48" i="9" s="1"/>
  <c r="C49" i="9"/>
  <c r="D49" i="9" s="1"/>
  <c r="E49" i="9" s="1"/>
  <c r="E50" i="9"/>
  <c r="C7" i="9"/>
  <c r="D7" i="9" s="1"/>
  <c r="E7" i="9" s="1"/>
  <c r="P41" i="2"/>
  <c r="H43" i="9" s="1"/>
  <c r="I43" i="9" s="1"/>
  <c r="J43" i="9" s="1"/>
  <c r="P6" i="2"/>
  <c r="H7" i="9" s="1"/>
  <c r="I7" i="9" s="1"/>
  <c r="J7" i="9" s="1"/>
  <c r="P18" i="4"/>
  <c r="Q18" i="4" s="1"/>
  <c r="C25" i="7" s="1"/>
  <c r="Q14" i="3"/>
  <c r="E23" i="6" s="1"/>
  <c r="AB8" i="9"/>
  <c r="AC8" i="9" s="1"/>
  <c r="AD8" i="9" s="1"/>
  <c r="F17" i="6"/>
  <c r="AB10" i="9"/>
  <c r="AC10" i="9" s="1"/>
  <c r="AD10" i="9" s="1"/>
  <c r="Q10" i="5"/>
  <c r="G19" i="6" s="1"/>
  <c r="AB11" i="9"/>
  <c r="AC11" i="9" s="1"/>
  <c r="AD11" i="9" s="1"/>
  <c r="AB12" i="9"/>
  <c r="AC12" i="9" s="1"/>
  <c r="AD12" i="9" s="1"/>
  <c r="AB14" i="9"/>
  <c r="AC14" i="9" s="1"/>
  <c r="AD14" i="9" s="1"/>
  <c r="Q14" i="5"/>
  <c r="G23" i="6" s="1"/>
  <c r="AB15" i="9"/>
  <c r="AC15" i="9" s="1"/>
  <c r="AD15" i="9" s="1"/>
  <c r="AB16" i="9"/>
  <c r="AC16" i="9" s="1"/>
  <c r="AD16" i="9" s="1"/>
  <c r="AB18" i="9"/>
  <c r="AC18" i="9" s="1"/>
  <c r="AD18" i="9" s="1"/>
  <c r="AB20" i="9"/>
  <c r="AC20" i="9" s="1"/>
  <c r="AD20" i="9" s="1"/>
  <c r="Q21" i="5"/>
  <c r="G32" i="6" s="1"/>
  <c r="AB22" i="9"/>
  <c r="AC22" i="9" s="1"/>
  <c r="AD22" i="9" s="1"/>
  <c r="AB23" i="9"/>
  <c r="AC23" i="9" s="1"/>
  <c r="AD23" i="9" s="1"/>
  <c r="F30" i="6"/>
  <c r="AB24" i="9"/>
  <c r="AC24" i="9" s="1"/>
  <c r="AD24" i="9" s="1"/>
  <c r="AB25" i="9"/>
  <c r="AC25" i="9" s="1"/>
  <c r="AD25" i="9" s="1"/>
  <c r="Q26" i="5"/>
  <c r="G40" i="6" s="1"/>
  <c r="AB29" i="9"/>
  <c r="AC29" i="9" s="1"/>
  <c r="AD29" i="9" s="1"/>
  <c r="AB30" i="9"/>
  <c r="AC30" i="9" s="1"/>
  <c r="AD30" i="9" s="1"/>
  <c r="AB31" i="9"/>
  <c r="AC31" i="9" s="1"/>
  <c r="AD31" i="9" s="1"/>
  <c r="Q31" i="5"/>
  <c r="G39" i="6" s="1"/>
  <c r="AB32" i="9"/>
  <c r="AC32" i="9" s="1"/>
  <c r="AD32" i="9" s="1"/>
  <c r="AB33" i="9"/>
  <c r="AC33" i="9" s="1"/>
  <c r="AD33" i="9" s="1"/>
  <c r="AB34" i="9"/>
  <c r="AC34" i="9" s="1"/>
  <c r="AD34" i="9" s="1"/>
  <c r="AB35" i="9"/>
  <c r="AC35" i="9" s="1"/>
  <c r="AD35" i="9" s="1"/>
  <c r="AB36" i="9"/>
  <c r="AC36" i="9" s="1"/>
  <c r="AD36" i="9" s="1"/>
  <c r="AB37" i="9"/>
  <c r="AC37" i="9" s="1"/>
  <c r="AD37" i="9" s="1"/>
  <c r="Q37" i="5"/>
  <c r="G51" i="6" s="1"/>
  <c r="AB38" i="9"/>
  <c r="AC38" i="9" s="1"/>
  <c r="AD38" i="9" s="1"/>
  <c r="AB40" i="9"/>
  <c r="AC40" i="9" s="1"/>
  <c r="AD40" i="9" s="1"/>
  <c r="Q40" i="5"/>
  <c r="G47" i="6" s="1"/>
  <c r="AB41" i="9"/>
  <c r="AC41" i="9" s="1"/>
  <c r="AD41" i="9" s="1"/>
  <c r="AB43" i="9"/>
  <c r="AC43" i="9" s="1"/>
  <c r="AD43" i="9" s="1"/>
  <c r="Q45" i="5"/>
  <c r="G49" i="6" s="1"/>
  <c r="AB46" i="9"/>
  <c r="AC46" i="9" s="1"/>
  <c r="AD46" i="9" s="1"/>
  <c r="AB48" i="9"/>
  <c r="AC48" i="9" s="1"/>
  <c r="AD48" i="9" s="1"/>
  <c r="AB49" i="9"/>
  <c r="AC49" i="9" s="1"/>
  <c r="AD49" i="9" s="1"/>
  <c r="AB7" i="9"/>
  <c r="AC7" i="9" s="1"/>
  <c r="AD7" i="9" s="1"/>
  <c r="P7" i="3"/>
  <c r="R8" i="9" s="1"/>
  <c r="S8" i="9" s="1"/>
  <c r="T8" i="9" s="1"/>
  <c r="P8" i="3"/>
  <c r="Q8" i="3" s="1"/>
  <c r="E17" i="6" s="1"/>
  <c r="P9" i="3"/>
  <c r="R10" i="9" s="1"/>
  <c r="S10" i="9" s="1"/>
  <c r="T10" i="9" s="1"/>
  <c r="P10" i="3"/>
  <c r="R11" i="9" s="1"/>
  <c r="S11" i="9" s="1"/>
  <c r="T11" i="9" s="1"/>
  <c r="P11" i="3"/>
  <c r="R12" i="9" s="1"/>
  <c r="S12" i="9" s="1"/>
  <c r="T12" i="9" s="1"/>
  <c r="P12" i="3"/>
  <c r="D21" i="6" s="1"/>
  <c r="P13" i="3"/>
  <c r="R14" i="9" s="1"/>
  <c r="S14" i="9" s="1"/>
  <c r="T14" i="9" s="1"/>
  <c r="R16" i="9"/>
  <c r="S16" i="9" s="1"/>
  <c r="T16" i="9" s="1"/>
  <c r="P17" i="3"/>
  <c r="R18" i="9" s="1"/>
  <c r="S18" i="9" s="1"/>
  <c r="T18" i="9" s="1"/>
  <c r="R20" i="9"/>
  <c r="S20" i="9" s="1"/>
  <c r="T20" i="9" s="1"/>
  <c r="P21" i="3"/>
  <c r="R22" i="9" s="1"/>
  <c r="S22" i="9" s="1"/>
  <c r="T22" i="9" s="1"/>
  <c r="P22" i="3"/>
  <c r="D31" i="6" s="1"/>
  <c r="P23" i="3"/>
  <c r="R24" i="9" s="1"/>
  <c r="S24" i="9" s="1"/>
  <c r="T24" i="9" s="1"/>
  <c r="P24" i="3"/>
  <c r="R25" i="9" s="1"/>
  <c r="S25" i="9" s="1"/>
  <c r="T25" i="9" s="1"/>
  <c r="P26" i="3"/>
  <c r="R27" i="9" s="1"/>
  <c r="S27" i="9" s="1"/>
  <c r="T27" i="9" s="1"/>
  <c r="P28" i="3"/>
  <c r="Q28" i="3" s="1"/>
  <c r="E41" i="6" s="1"/>
  <c r="P29" i="3"/>
  <c r="R30" i="9" s="1"/>
  <c r="S30" i="9" s="1"/>
  <c r="T30" i="9" s="1"/>
  <c r="P30" i="3"/>
  <c r="R31" i="9" s="1"/>
  <c r="S31" i="9" s="1"/>
  <c r="T31" i="9" s="1"/>
  <c r="P31" i="3"/>
  <c r="R32" i="9" s="1"/>
  <c r="S32" i="9" s="1"/>
  <c r="T32" i="9" s="1"/>
  <c r="P32" i="3"/>
  <c r="D45" i="6" s="1"/>
  <c r="P33" i="3"/>
  <c r="R34" i="9" s="1"/>
  <c r="S34" i="9" s="1"/>
  <c r="T34" i="9" s="1"/>
  <c r="P34" i="3"/>
  <c r="Q34" i="3" s="1"/>
  <c r="E43" i="6" s="1"/>
  <c r="P35" i="3"/>
  <c r="R36" i="9" s="1"/>
  <c r="S36" i="9" s="1"/>
  <c r="T36" i="9" s="1"/>
  <c r="P36" i="3"/>
  <c r="R37" i="9" s="1"/>
  <c r="S37" i="9" s="1"/>
  <c r="T37" i="9" s="1"/>
  <c r="P37" i="3"/>
  <c r="R38" i="9" s="1"/>
  <c r="S38" i="9" s="1"/>
  <c r="T38" i="9" s="1"/>
  <c r="P39" i="3"/>
  <c r="Q39" i="3" s="1"/>
  <c r="E50" i="6" s="1"/>
  <c r="P40" i="3"/>
  <c r="R41" i="9" s="1"/>
  <c r="S41" i="9" s="1"/>
  <c r="T41" i="9" s="1"/>
  <c r="P42" i="3"/>
  <c r="R43" i="9" s="1"/>
  <c r="S43" i="9" s="1"/>
  <c r="T43" i="9" s="1"/>
  <c r="P45" i="3"/>
  <c r="R46" i="9" s="1"/>
  <c r="S46" i="9" s="1"/>
  <c r="T46" i="9" s="1"/>
  <c r="P47" i="3"/>
  <c r="R48" i="9" s="1"/>
  <c r="S48" i="9" s="1"/>
  <c r="T48" i="9" s="1"/>
  <c r="P48" i="3"/>
  <c r="R49" i="9" s="1"/>
  <c r="S49" i="9" s="1"/>
  <c r="T49" i="9" s="1"/>
  <c r="P49" i="3"/>
  <c r="D11" i="6" s="1"/>
  <c r="R7" i="9"/>
  <c r="S7" i="9" s="1"/>
  <c r="T7" i="9" s="1"/>
  <c r="P7" i="2"/>
  <c r="Q7" i="2" s="1"/>
  <c r="C16" i="6" s="1"/>
  <c r="P8" i="2"/>
  <c r="H9" i="9" s="1"/>
  <c r="I9" i="9" s="1"/>
  <c r="J9" i="9" s="1"/>
  <c r="P9" i="2"/>
  <c r="H10" i="9" s="1"/>
  <c r="I10" i="9" s="1"/>
  <c r="J10" i="9" s="1"/>
  <c r="P10" i="2"/>
  <c r="H11" i="9" s="1"/>
  <c r="I11" i="9" s="1"/>
  <c r="J11" i="9" s="1"/>
  <c r="P11" i="2"/>
  <c r="Q11" i="2" s="1"/>
  <c r="C20" i="6" s="1"/>
  <c r="P12" i="2"/>
  <c r="H13" i="9" s="1"/>
  <c r="I13" i="9" s="1"/>
  <c r="J13" i="9" s="1"/>
  <c r="P13" i="2"/>
  <c r="H14" i="9" s="1"/>
  <c r="I14" i="9" s="1"/>
  <c r="J14" i="9" s="1"/>
  <c r="P14" i="2"/>
  <c r="H16" i="9" s="1"/>
  <c r="I16" i="9" s="1"/>
  <c r="J16" i="9" s="1"/>
  <c r="P16" i="2"/>
  <c r="H18" i="9" s="1"/>
  <c r="I18" i="9" s="1"/>
  <c r="J18" i="9" s="1"/>
  <c r="H20" i="9"/>
  <c r="I20" i="9" s="1"/>
  <c r="J20" i="9" s="1"/>
  <c r="Q20" i="2"/>
  <c r="P21" i="2"/>
  <c r="H23" i="9" s="1"/>
  <c r="I23" i="9" s="1"/>
  <c r="J23" i="9" s="1"/>
  <c r="P22" i="2"/>
  <c r="H24" i="9" s="1"/>
  <c r="I24" i="9" s="1"/>
  <c r="J24" i="9" s="1"/>
  <c r="B36" i="6"/>
  <c r="P25" i="2"/>
  <c r="H27" i="9" s="1"/>
  <c r="I27" i="9" s="1"/>
  <c r="J27" i="9" s="1"/>
  <c r="P27" i="2"/>
  <c r="H29" i="9" s="1"/>
  <c r="I29" i="9" s="1"/>
  <c r="J29" i="9" s="1"/>
  <c r="P28" i="2"/>
  <c r="H30" i="9" s="1"/>
  <c r="I30" i="9" s="1"/>
  <c r="J30" i="9" s="1"/>
  <c r="P29" i="2"/>
  <c r="Q29" i="2" s="1"/>
  <c r="C34" i="6" s="1"/>
  <c r="P30" i="2"/>
  <c r="H32" i="9" s="1"/>
  <c r="I32" i="9" s="1"/>
  <c r="J32" i="9" s="1"/>
  <c r="P31" i="2"/>
  <c r="H33" i="9" s="1"/>
  <c r="I33" i="9" s="1"/>
  <c r="J33" i="9" s="1"/>
  <c r="P32" i="2"/>
  <c r="H34" i="9" s="1"/>
  <c r="I34" i="9" s="1"/>
  <c r="J34" i="9" s="1"/>
  <c r="P33" i="2"/>
  <c r="H35" i="9" s="1"/>
  <c r="I35" i="9" s="1"/>
  <c r="J35" i="9" s="1"/>
  <c r="P34" i="2"/>
  <c r="H36" i="9" s="1"/>
  <c r="I36" i="9" s="1"/>
  <c r="J36" i="9" s="1"/>
  <c r="P35" i="2"/>
  <c r="H37" i="9" s="1"/>
  <c r="I37" i="9" s="1"/>
  <c r="J37" i="9" s="1"/>
  <c r="P36" i="2"/>
  <c r="H38" i="9" s="1"/>
  <c r="I38" i="9" s="1"/>
  <c r="J38" i="9" s="1"/>
  <c r="P38" i="2"/>
  <c r="B50" i="6" s="1"/>
  <c r="P39" i="2"/>
  <c r="H41" i="9" s="1"/>
  <c r="I41" i="9" s="1"/>
  <c r="J41" i="9" s="1"/>
  <c r="P44" i="2"/>
  <c r="H46" i="9" s="1"/>
  <c r="I46" i="9" s="1"/>
  <c r="J46" i="9" s="1"/>
  <c r="P46" i="2"/>
  <c r="H48" i="9" s="1"/>
  <c r="I48" i="9" s="1"/>
  <c r="J48" i="9" s="1"/>
  <c r="P47" i="2"/>
  <c r="H49" i="9" s="1"/>
  <c r="I49" i="9" s="1"/>
  <c r="J49" i="9" s="1"/>
  <c r="P8" i="1"/>
  <c r="D15" i="7" s="1"/>
  <c r="Q34" i="1"/>
  <c r="E41" i="7" s="1"/>
  <c r="H7" i="8"/>
  <c r="E54" i="7"/>
  <c r="E53" i="7"/>
  <c r="D51" i="7"/>
  <c r="E50" i="7"/>
  <c r="E49" i="7"/>
  <c r="D52" i="7"/>
  <c r="E48" i="7"/>
  <c r="R45" i="8"/>
  <c r="S45" i="8" s="1"/>
  <c r="T45" i="8" s="1"/>
  <c r="Q43" i="1"/>
  <c r="E47" i="7" s="1"/>
  <c r="D45" i="7"/>
  <c r="D44" i="7"/>
  <c r="Q40" i="1"/>
  <c r="E43" i="7" s="1"/>
  <c r="H51" i="8"/>
  <c r="I51" i="8" s="1"/>
  <c r="J51" i="8" s="1"/>
  <c r="Q42" i="4"/>
  <c r="C45" i="7" s="1"/>
  <c r="V17" i="4"/>
  <c r="Q36" i="1"/>
  <c r="E9" i="7" s="1"/>
  <c r="Q32" i="5"/>
  <c r="G45" i="6" s="1"/>
  <c r="Q36" i="5"/>
  <c r="G38" i="6" s="1"/>
  <c r="Q28" i="5"/>
  <c r="G41" i="6" s="1"/>
  <c r="P29" i="1"/>
  <c r="Q29" i="1" s="1"/>
  <c r="E39" i="7" s="1"/>
  <c r="Q35" i="5"/>
  <c r="G33" i="6" s="1"/>
  <c r="Q33" i="5"/>
  <c r="G44" i="6" s="1"/>
  <c r="Q34" i="5"/>
  <c r="G43" i="6" s="1"/>
  <c r="Q30" i="5"/>
  <c r="G34" i="6" s="1"/>
  <c r="T49" i="5"/>
  <c r="G11" i="6"/>
  <c r="T48" i="5"/>
  <c r="Q48" i="5"/>
  <c r="G10" i="6" s="1"/>
  <c r="T47" i="5"/>
  <c r="Q47" i="5"/>
  <c r="G9" i="6" s="1"/>
  <c r="T45" i="5"/>
  <c r="T42" i="5"/>
  <c r="Q42" i="5"/>
  <c r="G46" i="6" s="1"/>
  <c r="T40" i="5"/>
  <c r="T39" i="5"/>
  <c r="Q39" i="5"/>
  <c r="G50" i="6" s="1"/>
  <c r="T37" i="5"/>
  <c r="T36" i="5"/>
  <c r="T35" i="5"/>
  <c r="T34" i="5"/>
  <c r="T33" i="5"/>
  <c r="T32" i="5"/>
  <c r="T31" i="5"/>
  <c r="T30" i="5"/>
  <c r="T29" i="5"/>
  <c r="T28" i="5"/>
  <c r="T27" i="5"/>
  <c r="T26" i="5"/>
  <c r="T24" i="5"/>
  <c r="Q24" i="5"/>
  <c r="G36" i="6" s="1"/>
  <c r="T23" i="5"/>
  <c r="T22" i="5"/>
  <c r="Q22" i="5"/>
  <c r="G31" i="6" s="1"/>
  <c r="T21" i="5"/>
  <c r="T19" i="5"/>
  <c r="Q19" i="5"/>
  <c r="G28" i="6" s="1"/>
  <c r="T17" i="5"/>
  <c r="Q17" i="5"/>
  <c r="G26" i="6" s="1"/>
  <c r="T15" i="5"/>
  <c r="Q15" i="5"/>
  <c r="G24" i="6" s="1"/>
  <c r="T14" i="5"/>
  <c r="T13" i="5"/>
  <c r="Q13" i="5"/>
  <c r="G22" i="6" s="1"/>
  <c r="T12" i="5"/>
  <c r="T11" i="5"/>
  <c r="Q11" i="5"/>
  <c r="G20" i="6" s="1"/>
  <c r="T10" i="5"/>
  <c r="T9" i="5"/>
  <c r="Q9" i="5"/>
  <c r="G18" i="6" s="1"/>
  <c r="T8" i="5"/>
  <c r="T7" i="5"/>
  <c r="Q7" i="5"/>
  <c r="G16" i="6" s="1"/>
  <c r="V51" i="1"/>
  <c r="T51" i="1"/>
  <c r="V50" i="1"/>
  <c r="T50" i="1"/>
  <c r="V49" i="1"/>
  <c r="T49" i="1"/>
  <c r="V48" i="1"/>
  <c r="T48" i="1"/>
  <c r="V47" i="1"/>
  <c r="T47" i="1"/>
  <c r="V46" i="1"/>
  <c r="T46" i="1"/>
  <c r="V45" i="1"/>
  <c r="T45" i="1"/>
  <c r="V44" i="1"/>
  <c r="T44" i="1"/>
  <c r="V43" i="1"/>
  <c r="T43" i="1"/>
  <c r="V42" i="1"/>
  <c r="T42" i="1"/>
  <c r="V41" i="1"/>
  <c r="T41" i="1"/>
  <c r="V40" i="1"/>
  <c r="T40" i="1"/>
  <c r="V38" i="1"/>
  <c r="T38" i="1"/>
  <c r="P38" i="1"/>
  <c r="Q38" i="1" s="1"/>
  <c r="E11" i="7" s="1"/>
  <c r="V37" i="1"/>
  <c r="T37" i="1"/>
  <c r="P37" i="1"/>
  <c r="R38" i="8" s="1"/>
  <c r="S38" i="8" s="1"/>
  <c r="T38" i="8" s="1"/>
  <c r="V36" i="1"/>
  <c r="T36" i="1"/>
  <c r="V34" i="1"/>
  <c r="V32" i="1"/>
  <c r="T32" i="1"/>
  <c r="P32" i="1"/>
  <c r="V31" i="1"/>
  <c r="T31" i="1"/>
  <c r="P31" i="1"/>
  <c r="V29" i="1"/>
  <c r="T29" i="1"/>
  <c r="V28" i="1"/>
  <c r="T28" i="1"/>
  <c r="P28" i="1"/>
  <c r="D35" i="7" s="1"/>
  <c r="V26" i="1"/>
  <c r="T26" i="1"/>
  <c r="Q26" i="1"/>
  <c r="E32" i="7" s="1"/>
  <c r="V24" i="1"/>
  <c r="T24" i="1"/>
  <c r="P24" i="1"/>
  <c r="D27" i="7" s="1"/>
  <c r="V23" i="1"/>
  <c r="T23" i="1"/>
  <c r="P23" i="1"/>
  <c r="V20" i="1"/>
  <c r="T20" i="1"/>
  <c r="D29" i="7"/>
  <c r="V18" i="1"/>
  <c r="T18" i="1"/>
  <c r="Q18" i="1"/>
  <c r="E25" i="7" s="1"/>
  <c r="V17" i="1"/>
  <c r="T17" i="1"/>
  <c r="P17" i="1"/>
  <c r="R18" i="8" s="1"/>
  <c r="S18" i="8" s="1"/>
  <c r="T18" i="8" s="1"/>
  <c r="V15" i="1"/>
  <c r="T15" i="1"/>
  <c r="P15" i="1"/>
  <c r="Q15" i="1" s="1"/>
  <c r="E22" i="7" s="1"/>
  <c r="V13" i="1"/>
  <c r="T13" i="1"/>
  <c r="P13" i="1"/>
  <c r="V12" i="1"/>
  <c r="T12" i="1"/>
  <c r="P12" i="1"/>
  <c r="Q12" i="1" s="1"/>
  <c r="E19" i="7" s="1"/>
  <c r="V10" i="1"/>
  <c r="T10" i="1"/>
  <c r="P10" i="1"/>
  <c r="R11" i="8" s="1"/>
  <c r="S11" i="8" s="1"/>
  <c r="T11" i="8" s="1"/>
  <c r="V9" i="1"/>
  <c r="T9" i="1"/>
  <c r="P9" i="1"/>
  <c r="Q9" i="1" s="1"/>
  <c r="E16" i="7" s="1"/>
  <c r="V8" i="1"/>
  <c r="T8" i="1"/>
  <c r="V6" i="1"/>
  <c r="T6" i="1"/>
  <c r="Q6" i="1"/>
  <c r="E13" i="7" s="1"/>
  <c r="V51" i="4"/>
  <c r="T51" i="4"/>
  <c r="Q51" i="4"/>
  <c r="C54" i="7" s="1"/>
  <c r="V50" i="4"/>
  <c r="T50" i="4"/>
  <c r="V49" i="4"/>
  <c r="T49" i="4"/>
  <c r="Q49" i="4"/>
  <c r="C51" i="7" s="1"/>
  <c r="V48" i="4"/>
  <c r="T48" i="4"/>
  <c r="H49" i="8"/>
  <c r="I49" i="8" s="1"/>
  <c r="J49" i="8" s="1"/>
  <c r="V47" i="4"/>
  <c r="T47" i="4"/>
  <c r="Q47" i="4"/>
  <c r="C49" i="7" s="1"/>
  <c r="V46" i="4"/>
  <c r="T46" i="4"/>
  <c r="Q46" i="4"/>
  <c r="C52" i="7" s="1"/>
  <c r="V45" i="4"/>
  <c r="T45" i="4"/>
  <c r="Q45" i="4"/>
  <c r="C48" i="7" s="1"/>
  <c r="V44" i="4"/>
  <c r="T44" i="4"/>
  <c r="Q44" i="4"/>
  <c r="C46" i="7" s="1"/>
  <c r="V43" i="4"/>
  <c r="T43" i="4"/>
  <c r="Q43" i="4"/>
  <c r="C47" i="7" s="1"/>
  <c r="V42" i="4"/>
  <c r="T42" i="4"/>
  <c r="V41" i="4"/>
  <c r="T41" i="4"/>
  <c r="Q41" i="4"/>
  <c r="C44" i="7" s="1"/>
  <c r="V40" i="4"/>
  <c r="T40" i="4"/>
  <c r="B43" i="7"/>
  <c r="V38" i="4"/>
  <c r="T38" i="4"/>
  <c r="P38" i="4"/>
  <c r="B11" i="7" s="1"/>
  <c r="V37" i="4"/>
  <c r="T37" i="4"/>
  <c r="P37" i="4"/>
  <c r="Q37" i="4" s="1"/>
  <c r="C10" i="7" s="1"/>
  <c r="V36" i="4"/>
  <c r="T36" i="4"/>
  <c r="Q36" i="4"/>
  <c r="C9" i="7" s="1"/>
  <c r="V34" i="4"/>
  <c r="P34" i="4"/>
  <c r="H35" i="8" s="1"/>
  <c r="I35" i="8" s="1"/>
  <c r="J35" i="8" s="1"/>
  <c r="V32" i="4"/>
  <c r="T32" i="4"/>
  <c r="P32" i="4"/>
  <c r="V31" i="4"/>
  <c r="T31" i="4"/>
  <c r="P31" i="4"/>
  <c r="B36" i="7" s="1"/>
  <c r="V29" i="4"/>
  <c r="T29" i="4"/>
  <c r="P29" i="4"/>
  <c r="Q29" i="4" s="1"/>
  <c r="C39" i="7" s="1"/>
  <c r="V28" i="4"/>
  <c r="T28" i="4"/>
  <c r="P28" i="4"/>
  <c r="V26" i="4"/>
  <c r="T26" i="4"/>
  <c r="P26" i="4"/>
  <c r="Q26" i="4" s="1"/>
  <c r="C32" i="7" s="1"/>
  <c r="V24" i="4"/>
  <c r="T24" i="4"/>
  <c r="P24" i="4"/>
  <c r="Q24" i="4" s="1"/>
  <c r="C27" i="7" s="1"/>
  <c r="V23" i="4"/>
  <c r="T23" i="4"/>
  <c r="P23" i="4"/>
  <c r="V20" i="4"/>
  <c r="T20" i="4"/>
  <c r="Q20" i="4"/>
  <c r="C29" i="7" s="1"/>
  <c r="V18" i="4"/>
  <c r="T18" i="4"/>
  <c r="T17" i="4"/>
  <c r="Q17" i="4"/>
  <c r="C24" i="7" s="1"/>
  <c r="V15" i="4"/>
  <c r="T15" i="4"/>
  <c r="P15" i="4"/>
  <c r="B22" i="7" s="1"/>
  <c r="V13" i="4"/>
  <c r="T13" i="4"/>
  <c r="P13" i="4"/>
  <c r="V12" i="4"/>
  <c r="T12" i="4"/>
  <c r="P12" i="4"/>
  <c r="Q12" i="4" s="1"/>
  <c r="C19" i="7" s="1"/>
  <c r="V10" i="4"/>
  <c r="T10" i="4"/>
  <c r="P10" i="4"/>
  <c r="B17" i="7" s="1"/>
  <c r="T9" i="4"/>
  <c r="H10" i="8"/>
  <c r="I10" i="8" s="1"/>
  <c r="J10" i="8" s="1"/>
  <c r="H9" i="8"/>
  <c r="I9" i="8" s="1"/>
  <c r="J9" i="8" s="1"/>
  <c r="T6" i="4"/>
  <c r="X37" i="1"/>
  <c r="X34" i="1"/>
  <c r="X32" i="1"/>
  <c r="X31" i="1"/>
  <c r="X29" i="1"/>
  <c r="X28" i="1"/>
  <c r="X24" i="1"/>
  <c r="X23" i="1"/>
  <c r="X20" i="1"/>
  <c r="X18" i="1"/>
  <c r="X17" i="1"/>
  <c r="X15" i="1"/>
  <c r="X13" i="1"/>
  <c r="X12" i="1"/>
  <c r="X10" i="1"/>
  <c r="X9" i="1"/>
  <c r="X8" i="1"/>
  <c r="Q6" i="5"/>
  <c r="G15" i="6" s="1"/>
  <c r="F54" i="7"/>
  <c r="F53" i="7"/>
  <c r="F52" i="7"/>
  <c r="F51" i="7"/>
  <c r="F50" i="7"/>
  <c r="F49" i="7"/>
  <c r="F48" i="7"/>
  <c r="F47" i="7"/>
  <c r="F45" i="7"/>
  <c r="F44" i="7"/>
  <c r="F41" i="7"/>
  <c r="F39" i="7"/>
  <c r="F32" i="7"/>
  <c r="F29" i="7"/>
  <c r="F27" i="7"/>
  <c r="F25" i="7"/>
  <c r="F24" i="7"/>
  <c r="F22" i="7"/>
  <c r="F20" i="7"/>
  <c r="F19" i="7"/>
  <c r="F17" i="7"/>
  <c r="F16" i="7"/>
  <c r="F15" i="7"/>
  <c r="F13" i="7"/>
  <c r="F11" i="7"/>
  <c r="F10" i="7"/>
  <c r="F9" i="7"/>
  <c r="F24" i="6"/>
  <c r="M52" i="8"/>
  <c r="N52" i="8" s="1"/>
  <c r="O52" i="8" s="1"/>
  <c r="M51" i="8"/>
  <c r="N51" i="8" s="1"/>
  <c r="O51" i="8" s="1"/>
  <c r="M50" i="8"/>
  <c r="N50" i="8" s="1"/>
  <c r="O50" i="8" s="1"/>
  <c r="M49" i="8"/>
  <c r="N49" i="8" s="1"/>
  <c r="O49" i="8" s="1"/>
  <c r="M48" i="8"/>
  <c r="N48" i="8" s="1"/>
  <c r="O48" i="8" s="1"/>
  <c r="M47" i="8"/>
  <c r="N47" i="8" s="1"/>
  <c r="O47" i="8" s="1"/>
  <c r="M46" i="8"/>
  <c r="N46" i="8" s="1"/>
  <c r="O46" i="8" s="1"/>
  <c r="M45" i="8"/>
  <c r="N45" i="8" s="1"/>
  <c r="O45" i="8" s="1"/>
  <c r="M44" i="8"/>
  <c r="N44" i="8" s="1"/>
  <c r="O44" i="8" s="1"/>
  <c r="M43" i="8"/>
  <c r="N43" i="8" s="1"/>
  <c r="O43" i="8" s="1"/>
  <c r="M42" i="8"/>
  <c r="N42" i="8" s="1"/>
  <c r="O42" i="8" s="1"/>
  <c r="M41" i="8"/>
  <c r="N41" i="8" s="1"/>
  <c r="O41" i="8" s="1"/>
  <c r="M39" i="8"/>
  <c r="N39" i="8" s="1"/>
  <c r="O39" i="8" s="1"/>
  <c r="M38" i="8"/>
  <c r="N38" i="8" s="1"/>
  <c r="O38" i="8" s="1"/>
  <c r="M37" i="8"/>
  <c r="N37" i="8" s="1"/>
  <c r="O37" i="8" s="1"/>
  <c r="M35" i="8"/>
  <c r="N35" i="8" s="1"/>
  <c r="O35" i="8" s="1"/>
  <c r="M32" i="8"/>
  <c r="N32" i="8" s="1"/>
  <c r="O32" i="8" s="1"/>
  <c r="M30" i="8"/>
  <c r="N30" i="8" s="1"/>
  <c r="O30" i="8" s="1"/>
  <c r="M29" i="8"/>
  <c r="N29" i="8" s="1"/>
  <c r="O29" i="8" s="1"/>
  <c r="M27" i="8"/>
  <c r="M25" i="8"/>
  <c r="N25" i="8" s="1"/>
  <c r="O25" i="8" s="1"/>
  <c r="M24" i="8"/>
  <c r="N24" i="8" s="1"/>
  <c r="O24" i="8" s="1"/>
  <c r="M21" i="8"/>
  <c r="N21" i="8" s="1"/>
  <c r="O21" i="8" s="1"/>
  <c r="N19" i="8"/>
  <c r="O19" i="8" s="1"/>
  <c r="N18" i="8"/>
  <c r="O18" i="8" s="1"/>
  <c r="N16" i="8"/>
  <c r="O16" i="8" s="1"/>
  <c r="N13" i="8"/>
  <c r="O13" i="8" s="1"/>
  <c r="N11" i="8"/>
  <c r="O11" i="8" s="1"/>
  <c r="N10" i="8"/>
  <c r="O10" i="8" s="1"/>
  <c r="N9" i="8"/>
  <c r="O9" i="8" s="1"/>
  <c r="N7" i="8"/>
  <c r="O7" i="8" s="1"/>
  <c r="C52" i="8"/>
  <c r="D52" i="8" s="1"/>
  <c r="E52" i="8" s="1"/>
  <c r="C51" i="8"/>
  <c r="D51" i="8" s="1"/>
  <c r="E51" i="8" s="1"/>
  <c r="C50" i="8"/>
  <c r="D50" i="8" s="1"/>
  <c r="E50" i="8" s="1"/>
  <c r="C49" i="8"/>
  <c r="D49" i="8" s="1"/>
  <c r="E49" i="8" s="1"/>
  <c r="C48" i="8"/>
  <c r="D48" i="8" s="1"/>
  <c r="E48" i="8" s="1"/>
  <c r="C47" i="8"/>
  <c r="D47" i="8" s="1"/>
  <c r="E47" i="8" s="1"/>
  <c r="C46" i="8"/>
  <c r="D46" i="8" s="1"/>
  <c r="E46" i="8" s="1"/>
  <c r="C45" i="8"/>
  <c r="D45" i="8" s="1"/>
  <c r="E45" i="8" s="1"/>
  <c r="C44" i="8"/>
  <c r="D44" i="8" s="1"/>
  <c r="E44" i="8" s="1"/>
  <c r="C43" i="8"/>
  <c r="D43" i="8" s="1"/>
  <c r="E43" i="8" s="1"/>
  <c r="C42" i="8"/>
  <c r="D42" i="8" s="1"/>
  <c r="E42" i="8" s="1"/>
  <c r="C41" i="8"/>
  <c r="D41" i="8" s="1"/>
  <c r="E41" i="8" s="1"/>
  <c r="C39" i="8"/>
  <c r="D39" i="8" s="1"/>
  <c r="E39" i="8" s="1"/>
  <c r="C38" i="8"/>
  <c r="D38" i="8" s="1"/>
  <c r="E38" i="8" s="1"/>
  <c r="C37" i="8"/>
  <c r="D37" i="8" s="1"/>
  <c r="E37" i="8" s="1"/>
  <c r="C35" i="8"/>
  <c r="D35" i="8" s="1"/>
  <c r="E35" i="8" s="1"/>
  <c r="C33" i="8"/>
  <c r="D33" i="8" s="1"/>
  <c r="E33" i="8" s="1"/>
  <c r="C32" i="8"/>
  <c r="D32" i="8" s="1"/>
  <c r="E32" i="8" s="1"/>
  <c r="C30" i="8"/>
  <c r="D30" i="8" s="1"/>
  <c r="E30" i="8" s="1"/>
  <c r="C29" i="8"/>
  <c r="D29" i="8" s="1"/>
  <c r="E29" i="8" s="1"/>
  <c r="C27" i="8"/>
  <c r="C25" i="8"/>
  <c r="D25" i="8" s="1"/>
  <c r="E25" i="8" s="1"/>
  <c r="C24" i="8"/>
  <c r="D24" i="8" s="1"/>
  <c r="E24" i="8" s="1"/>
  <c r="C21" i="8"/>
  <c r="D21" i="8" s="1"/>
  <c r="E21" i="8" s="1"/>
  <c r="C19" i="8"/>
  <c r="D19" i="8" s="1"/>
  <c r="E19" i="8" s="1"/>
  <c r="C18" i="8"/>
  <c r="D18" i="8" s="1"/>
  <c r="E18" i="8" s="1"/>
  <c r="C16" i="8"/>
  <c r="D16" i="8" s="1"/>
  <c r="E16" i="8" s="1"/>
  <c r="C13" i="8"/>
  <c r="D13" i="8" s="1"/>
  <c r="E13" i="8" s="1"/>
  <c r="C11" i="8"/>
  <c r="D11" i="8" s="1"/>
  <c r="E11" i="8" s="1"/>
  <c r="C10" i="8"/>
  <c r="D10" i="8" s="1"/>
  <c r="E10" i="8" s="1"/>
  <c r="C9" i="8"/>
  <c r="D9" i="8" s="1"/>
  <c r="E9" i="8" s="1"/>
  <c r="C7" i="8"/>
  <c r="D7" i="8" s="1"/>
  <c r="E7" i="8" s="1"/>
  <c r="F46" i="6"/>
  <c r="F46" i="7"/>
  <c r="F43" i="7"/>
  <c r="V6" i="4"/>
  <c r="B49" i="7"/>
  <c r="B47" i="7"/>
  <c r="B45" i="7"/>
  <c r="F51" i="6"/>
  <c r="F26" i="6"/>
  <c r="F18" i="6"/>
  <c r="F49" i="6"/>
  <c r="F47" i="6"/>
  <c r="F50" i="6"/>
  <c r="F38" i="6"/>
  <c r="F33" i="6"/>
  <c r="F43" i="6"/>
  <c r="F44" i="6"/>
  <c r="F45" i="6"/>
  <c r="F39" i="6"/>
  <c r="F34" i="6"/>
  <c r="F41" i="6"/>
  <c r="F40" i="6"/>
  <c r="F36" i="6"/>
  <c r="F31" i="6"/>
  <c r="F32" i="6"/>
  <c r="F28" i="6"/>
  <c r="F19" i="6"/>
  <c r="F15" i="6"/>
  <c r="F23" i="6"/>
  <c r="F10" i="6"/>
  <c r="F9" i="6"/>
  <c r="F22" i="6"/>
  <c r="F16" i="6"/>
  <c r="F20" i="6"/>
  <c r="F21" i="6"/>
  <c r="H44" i="8"/>
  <c r="I44" i="8" s="1"/>
  <c r="J44" i="8" s="1"/>
  <c r="H43" i="8"/>
  <c r="I43" i="8" s="1"/>
  <c r="J43" i="8" s="1"/>
  <c r="R14" i="8" l="1"/>
  <c r="S14" i="8" s="1"/>
  <c r="T14" i="8" s="1"/>
  <c r="B20" i="7"/>
  <c r="H14" i="8"/>
  <c r="I14" i="8" s="1"/>
  <c r="J14" i="8" s="1"/>
  <c r="Q23" i="1"/>
  <c r="E34" i="7" s="1"/>
  <c r="D34" i="7"/>
  <c r="Q31" i="1"/>
  <c r="E36" i="7" s="1"/>
  <c r="D36" i="7"/>
  <c r="R33" i="8"/>
  <c r="S33" i="8" s="1"/>
  <c r="T33" i="8" s="1"/>
  <c r="D37" i="7"/>
  <c r="Q32" i="4"/>
  <c r="C37" i="7" s="1"/>
  <c r="B37" i="7"/>
  <c r="H29" i="8"/>
  <c r="I29" i="8" s="1"/>
  <c r="J29" i="8" s="1"/>
  <c r="B35" i="7"/>
  <c r="Q23" i="4"/>
  <c r="C34" i="7" s="1"/>
  <c r="B34" i="7"/>
  <c r="I7" i="8"/>
  <c r="J7" i="8" s="1"/>
  <c r="D39" i="6"/>
  <c r="R9" i="8"/>
  <c r="S9" i="8" s="1"/>
  <c r="T9" i="8" s="1"/>
  <c r="Q10" i="3"/>
  <c r="E19" i="6" s="1"/>
  <c r="D46" i="6"/>
  <c r="Q42" i="3"/>
  <c r="E46" i="6" s="1"/>
  <c r="H25" i="8"/>
  <c r="I25" i="8" s="1"/>
  <c r="J25" i="8" s="1"/>
  <c r="B49" i="6"/>
  <c r="H19" i="8"/>
  <c r="I19" i="8" s="1"/>
  <c r="J19" i="8" s="1"/>
  <c r="Q10" i="4"/>
  <c r="C17" i="7" s="1"/>
  <c r="R19" i="8"/>
  <c r="S19" i="8" s="1"/>
  <c r="T19" i="8" s="1"/>
  <c r="R32" i="8"/>
  <c r="S32" i="8" s="1"/>
  <c r="T32" i="8" s="1"/>
  <c r="B34" i="6"/>
  <c r="B47" i="6"/>
  <c r="R39" i="8"/>
  <c r="S39" i="8" s="1"/>
  <c r="T39" i="8" s="1"/>
  <c r="H13" i="8"/>
  <c r="I13" i="8" s="1"/>
  <c r="J13" i="8" s="1"/>
  <c r="B19" i="7"/>
  <c r="R49" i="8"/>
  <c r="S49" i="8" s="1"/>
  <c r="T49" i="8" s="1"/>
  <c r="H47" i="8"/>
  <c r="I47" i="8" s="1"/>
  <c r="J47" i="8" s="1"/>
  <c r="D54" i="7"/>
  <c r="D48" i="7"/>
  <c r="R46" i="8"/>
  <c r="S46" i="8" s="1"/>
  <c r="T46" i="8" s="1"/>
  <c r="Q13" i="3"/>
  <c r="E22" i="6" s="1"/>
  <c r="B21" i="6"/>
  <c r="R16" i="8"/>
  <c r="S16" i="8" s="1"/>
  <c r="T16" i="8" s="1"/>
  <c r="Q15" i="4"/>
  <c r="C22" i="7" s="1"/>
  <c r="D18" i="6"/>
  <c r="Q9" i="4"/>
  <c r="C16" i="7" s="1"/>
  <c r="D10" i="6"/>
  <c r="B10" i="6"/>
  <c r="D9" i="6"/>
  <c r="R30" i="8"/>
  <c r="S30" i="8" s="1"/>
  <c r="T30" i="8" s="1"/>
  <c r="D39" i="7"/>
  <c r="B44" i="6"/>
  <c r="Q32" i="1"/>
  <c r="E37" i="7" s="1"/>
  <c r="Q24" i="3"/>
  <c r="E36" i="6" s="1"/>
  <c r="D36" i="6"/>
  <c r="B27" i="7"/>
  <c r="Q25" i="3"/>
  <c r="D35" i="6"/>
  <c r="Q11" i="3"/>
  <c r="E20" i="6" s="1"/>
  <c r="D19" i="6"/>
  <c r="D23" i="6"/>
  <c r="B28" i="6"/>
  <c r="B17" i="6"/>
  <c r="B22" i="6"/>
  <c r="Q12" i="2"/>
  <c r="C21" i="6" s="1"/>
  <c r="D43" i="7"/>
  <c r="R44" i="8"/>
  <c r="S44" i="8" s="1"/>
  <c r="T44" i="8" s="1"/>
  <c r="R48" i="8"/>
  <c r="S48" i="8" s="1"/>
  <c r="T48" i="8" s="1"/>
  <c r="D47" i="7"/>
  <c r="R52" i="8"/>
  <c r="S52" i="8" s="1"/>
  <c r="T52" i="8" s="1"/>
  <c r="D49" i="7"/>
  <c r="R41" i="8"/>
  <c r="S41" i="8" s="1"/>
  <c r="T41" i="8" s="1"/>
  <c r="D11" i="7"/>
  <c r="B53" i="7"/>
  <c r="Q50" i="4"/>
  <c r="C53" i="7" s="1"/>
  <c r="B13" i="7"/>
  <c r="C13" i="7"/>
  <c r="B15" i="6"/>
  <c r="Q6" i="2"/>
  <c r="C15" i="6" s="1"/>
  <c r="Q31" i="2"/>
  <c r="C45" i="6" s="1"/>
  <c r="B16" i="6"/>
  <c r="B20" i="6"/>
  <c r="D50" i="6"/>
  <c r="R28" i="9"/>
  <c r="S28" i="9" s="1"/>
  <c r="T28" i="9" s="1"/>
  <c r="Q49" i="3"/>
  <c r="E11" i="6" s="1"/>
  <c r="R50" i="9"/>
  <c r="S50" i="9" s="1"/>
  <c r="T50" i="9" s="1"/>
  <c r="Q9" i="3"/>
  <c r="E18" i="6" s="1"/>
  <c r="D42" i="6"/>
  <c r="Q27" i="2"/>
  <c r="C41" i="6" s="1"/>
  <c r="Q48" i="2"/>
  <c r="C11" i="6" s="1"/>
  <c r="H50" i="9"/>
  <c r="I50" i="9" s="1"/>
  <c r="J50" i="9" s="1"/>
  <c r="Q17" i="3"/>
  <c r="E26" i="6" s="1"/>
  <c r="D25" i="7"/>
  <c r="B24" i="6"/>
  <c r="D22" i="6"/>
  <c r="H16" i="8"/>
  <c r="I16" i="8" s="1"/>
  <c r="J16" i="8" s="1"/>
  <c r="Q9" i="2"/>
  <c r="C18" i="6" s="1"/>
  <c r="Q8" i="2"/>
  <c r="C17" i="6" s="1"/>
  <c r="B16" i="7"/>
  <c r="Q7" i="3"/>
  <c r="E16" i="6" s="1"/>
  <c r="D16" i="6"/>
  <c r="H8" i="9"/>
  <c r="I8" i="9" s="1"/>
  <c r="J8" i="9" s="1"/>
  <c r="Q8" i="1"/>
  <c r="E15" i="7" s="1"/>
  <c r="R7" i="8"/>
  <c r="S7" i="8" s="1"/>
  <c r="T7" i="8" s="1"/>
  <c r="D13" i="7"/>
  <c r="D22" i="7"/>
  <c r="D16" i="7"/>
  <c r="E29" i="7"/>
  <c r="R13" i="8"/>
  <c r="S13" i="8" s="1"/>
  <c r="T13" i="8" s="1"/>
  <c r="R10" i="8"/>
  <c r="S10" i="8" s="1"/>
  <c r="T10" i="8" s="1"/>
  <c r="D19" i="7"/>
  <c r="Q24" i="1"/>
  <c r="E27" i="7" s="1"/>
  <c r="Q48" i="3"/>
  <c r="E10" i="6" s="1"/>
  <c r="H38" i="8"/>
  <c r="I38" i="8" s="1"/>
  <c r="J38" i="8" s="1"/>
  <c r="Q47" i="3"/>
  <c r="E9" i="6" s="1"/>
  <c r="B9" i="6"/>
  <c r="Q46" i="2"/>
  <c r="C9" i="6" s="1"/>
  <c r="D9" i="7"/>
  <c r="R37" i="8"/>
  <c r="S37" i="8" s="1"/>
  <c r="T37" i="8" s="1"/>
  <c r="B9" i="7"/>
  <c r="H37" i="8"/>
  <c r="R50" i="8"/>
  <c r="S50" i="8" s="1"/>
  <c r="T50" i="8" s="1"/>
  <c r="H50" i="8"/>
  <c r="I50" i="8" s="1"/>
  <c r="J50" i="8" s="1"/>
  <c r="Q48" i="4"/>
  <c r="C50" i="7" s="1"/>
  <c r="R51" i="8"/>
  <c r="S51" i="8" s="1"/>
  <c r="T51" i="8" s="1"/>
  <c r="B44" i="7"/>
  <c r="H42" i="8"/>
  <c r="I42" i="8" s="1"/>
  <c r="J42" i="8" s="1"/>
  <c r="R27" i="8"/>
  <c r="D32" i="7"/>
  <c r="Q41" i="2"/>
  <c r="C46" i="6" s="1"/>
  <c r="Q45" i="3"/>
  <c r="E49" i="6" s="1"/>
  <c r="D49" i="6"/>
  <c r="R40" i="9"/>
  <c r="S40" i="9" s="1"/>
  <c r="T40" i="9" s="1"/>
  <c r="Q38" i="2"/>
  <c r="C50" i="6" s="1"/>
  <c r="Q37" i="3"/>
  <c r="E51" i="6" s="1"/>
  <c r="D51" i="6"/>
  <c r="B51" i="6"/>
  <c r="R35" i="8"/>
  <c r="S35" i="8" s="1"/>
  <c r="T35" i="8" s="1"/>
  <c r="D41" i="7"/>
  <c r="Q36" i="3"/>
  <c r="E38" i="6" s="1"/>
  <c r="D38" i="6"/>
  <c r="Q35" i="3"/>
  <c r="E33" i="6" s="1"/>
  <c r="Q32" i="2"/>
  <c r="C44" i="6" s="1"/>
  <c r="Q28" i="1"/>
  <c r="E35" i="7" s="1"/>
  <c r="D30" i="6"/>
  <c r="Q23" i="3"/>
  <c r="E30" i="6" s="1"/>
  <c r="R24" i="8"/>
  <c r="S24" i="8" s="1"/>
  <c r="T24" i="8" s="1"/>
  <c r="B31" i="6"/>
  <c r="Q21" i="3"/>
  <c r="E32" i="6" s="1"/>
  <c r="B46" i="6"/>
  <c r="Q35" i="2"/>
  <c r="C38" i="6" s="1"/>
  <c r="B40" i="6"/>
  <c r="B38" i="6"/>
  <c r="Q18" i="2"/>
  <c r="C28" i="6" s="1"/>
  <c r="H33" i="8"/>
  <c r="I33" i="8" s="1"/>
  <c r="J33" i="8" s="1"/>
  <c r="H27" i="8"/>
  <c r="B39" i="7"/>
  <c r="H39" i="8"/>
  <c r="I39" i="8" s="1"/>
  <c r="J39" i="8" s="1"/>
  <c r="Q38" i="4"/>
  <c r="C11" i="7" s="1"/>
  <c r="H30" i="8"/>
  <c r="I30" i="8" s="1"/>
  <c r="J30" i="8" s="1"/>
  <c r="H32" i="8"/>
  <c r="I32" i="8" s="1"/>
  <c r="J32" i="8" s="1"/>
  <c r="H24" i="8"/>
  <c r="I24" i="8" s="1"/>
  <c r="J24" i="8" s="1"/>
  <c r="H34" i="8"/>
  <c r="I34" i="8" s="1"/>
  <c r="J34" i="8" s="1"/>
  <c r="B29" i="7"/>
  <c r="D47" i="6"/>
  <c r="Q29" i="3"/>
  <c r="E35" i="6" s="1"/>
  <c r="Q26" i="3"/>
  <c r="E40" i="6" s="1"/>
  <c r="D41" i="6"/>
  <c r="D40" i="6"/>
  <c r="D44" i="6"/>
  <c r="Q40" i="3"/>
  <c r="E47" i="6" s="1"/>
  <c r="Q31" i="3"/>
  <c r="E39" i="6" s="1"/>
  <c r="D32" i="6"/>
  <c r="D33" i="6"/>
  <c r="Q33" i="3"/>
  <c r="E44" i="6" s="1"/>
  <c r="R29" i="9"/>
  <c r="S29" i="9" s="1"/>
  <c r="T29" i="9" s="1"/>
  <c r="D24" i="6"/>
  <c r="Q15" i="3"/>
  <c r="E24" i="6" s="1"/>
  <c r="R13" i="9"/>
  <c r="S13" i="9" s="1"/>
  <c r="T13" i="9" s="1"/>
  <c r="Q6" i="3"/>
  <c r="E15" i="6" s="1"/>
  <c r="D20" i="6"/>
  <c r="D15" i="6"/>
  <c r="D26" i="6"/>
  <c r="R9" i="9"/>
  <c r="S9" i="9" s="1"/>
  <c r="T9" i="9" s="1"/>
  <c r="Q47" i="2"/>
  <c r="C10" i="6" s="1"/>
  <c r="Q22" i="2"/>
  <c r="C30" i="6" s="1"/>
  <c r="Q25" i="2"/>
  <c r="C40" i="6" s="1"/>
  <c r="Q36" i="2"/>
  <c r="C51" i="6" s="1"/>
  <c r="H40" i="9"/>
  <c r="I40" i="9" s="1"/>
  <c r="J40" i="9" s="1"/>
  <c r="Q28" i="2"/>
  <c r="C35" i="6" s="1"/>
  <c r="B33" i="6"/>
  <c r="B30" i="6"/>
  <c r="Q30" i="2"/>
  <c r="C39" i="6" s="1"/>
  <c r="Q39" i="2"/>
  <c r="C47" i="6" s="1"/>
  <c r="B41" i="6"/>
  <c r="B39" i="6"/>
  <c r="Q44" i="2"/>
  <c r="C49" i="6" s="1"/>
  <c r="Q26" i="2"/>
  <c r="C42" i="6" s="1"/>
  <c r="B35" i="6"/>
  <c r="Q34" i="2"/>
  <c r="C33" i="6" s="1"/>
  <c r="H25" i="9"/>
  <c r="I25" i="9" s="1"/>
  <c r="J25" i="9" s="1"/>
  <c r="Q13" i="2"/>
  <c r="C22" i="6" s="1"/>
  <c r="Q14" i="2"/>
  <c r="C24" i="6" s="1"/>
  <c r="H12" i="9"/>
  <c r="I12" i="9" s="1"/>
  <c r="J12" i="9" s="1"/>
  <c r="B19" i="6"/>
  <c r="B26" i="6"/>
  <c r="Q16" i="2"/>
  <c r="C26" i="6" s="1"/>
  <c r="Q10" i="2"/>
  <c r="C19" i="6" s="1"/>
  <c r="D53" i="7"/>
  <c r="Q44" i="1"/>
  <c r="E46" i="7" s="1"/>
  <c r="D50" i="7"/>
  <c r="D46" i="7"/>
  <c r="E45" i="7"/>
  <c r="Q37" i="1"/>
  <c r="E10" i="7" s="1"/>
  <c r="R21" i="8"/>
  <c r="S21" i="8" s="1"/>
  <c r="T21" i="8" s="1"/>
  <c r="R34" i="8"/>
  <c r="S34" i="8" s="1"/>
  <c r="T34" i="8" s="1"/>
  <c r="Q10" i="1"/>
  <c r="E17" i="7" s="1"/>
  <c r="Q13" i="1"/>
  <c r="E20" i="7" s="1"/>
  <c r="Q17" i="1"/>
  <c r="E24" i="7" s="1"/>
  <c r="D17" i="7"/>
  <c r="D20" i="7"/>
  <c r="B54" i="7"/>
  <c r="H52" i="8"/>
  <c r="I52" i="8" s="1"/>
  <c r="J52" i="8" s="1"/>
  <c r="H41" i="8"/>
  <c r="I41" i="8" s="1"/>
  <c r="J41" i="8" s="1"/>
  <c r="B10" i="7"/>
  <c r="Q33" i="4"/>
  <c r="C38" i="7" s="1"/>
  <c r="B32" i="7"/>
  <c r="H21" i="8"/>
  <c r="I21" i="8" s="1"/>
  <c r="J21" i="8" s="1"/>
  <c r="B24" i="7"/>
  <c r="B15" i="7"/>
  <c r="C15" i="7"/>
  <c r="Q13" i="4"/>
  <c r="C20" i="7" s="1"/>
  <c r="B25" i="7"/>
  <c r="H11" i="8"/>
  <c r="I11" i="8" s="1"/>
  <c r="J11" i="8" s="1"/>
  <c r="H18" i="8"/>
  <c r="I18" i="8" s="1"/>
  <c r="J18" i="8" s="1"/>
  <c r="R47" i="8"/>
  <c r="S47" i="8" s="1"/>
  <c r="T47" i="8" s="1"/>
  <c r="D24" i="7"/>
  <c r="Q29" i="5"/>
  <c r="G35" i="6" s="1"/>
  <c r="D43" i="6"/>
  <c r="R29" i="8"/>
  <c r="S29" i="8" s="1"/>
  <c r="T29" i="8" s="1"/>
  <c r="B18" i="6"/>
  <c r="R25" i="8"/>
  <c r="S25" i="8" s="1"/>
  <c r="T25" i="8" s="1"/>
  <c r="D10" i="7"/>
  <c r="Q40" i="4"/>
  <c r="C43" i="7" s="1"/>
  <c r="Q21" i="2"/>
  <c r="C31" i="6" s="1"/>
  <c r="Q22" i="3"/>
  <c r="E31" i="6" s="1"/>
  <c r="Q32" i="3"/>
  <c r="E45" i="6" s="1"/>
  <c r="R33" i="9"/>
  <c r="S33" i="9" s="1"/>
  <c r="T33" i="9" s="1"/>
  <c r="Q19" i="3"/>
  <c r="E28" i="6" s="1"/>
  <c r="AB13" i="9"/>
  <c r="AC13" i="9" s="1"/>
  <c r="AD13" i="9" s="1"/>
  <c r="Q12" i="5"/>
  <c r="G21" i="6" s="1"/>
  <c r="Q23" i="5"/>
  <c r="G30" i="6" s="1"/>
  <c r="H48" i="8"/>
  <c r="I48" i="8" s="1"/>
  <c r="J48" i="8" s="1"/>
  <c r="B43" i="6"/>
  <c r="B41" i="7"/>
  <c r="B45" i="6"/>
  <c r="B50" i="7"/>
  <c r="H45" i="8"/>
  <c r="I45" i="8" s="1"/>
  <c r="J45" i="8" s="1"/>
  <c r="B51" i="7"/>
  <c r="Q28" i="4"/>
  <c r="C35" i="7" s="1"/>
  <c r="Q31" i="4"/>
  <c r="C36" i="7" s="1"/>
  <c r="Q34" i="4"/>
  <c r="C41" i="7" s="1"/>
  <c r="Q33" i="2"/>
  <c r="C43" i="6" s="1"/>
  <c r="Q12" i="3"/>
  <c r="E21" i="6" s="1"/>
  <c r="E51" i="7"/>
  <c r="R23" i="9"/>
  <c r="S23" i="9" s="1"/>
  <c r="T23" i="9" s="1"/>
  <c r="R15" i="9"/>
  <c r="S15" i="9" s="1"/>
  <c r="T15" i="9" s="1"/>
  <c r="B46" i="7"/>
  <c r="H46" i="8"/>
  <c r="I46" i="8" s="1"/>
  <c r="J46" i="8" s="1"/>
  <c r="B48" i="7"/>
  <c r="Q23" i="2"/>
  <c r="C36" i="6" s="1"/>
  <c r="AD50" i="9"/>
  <c r="F42" i="6"/>
  <c r="H28" i="9"/>
  <c r="I28" i="9" s="1"/>
  <c r="J28" i="9" s="1"/>
  <c r="AB28" i="9"/>
  <c r="AC28" i="9" s="1"/>
  <c r="AD28" i="9" s="1"/>
  <c r="Q27" i="5"/>
  <c r="G42" i="6" s="1"/>
  <c r="D34" i="6"/>
  <c r="D17" i="6"/>
  <c r="B52" i="7"/>
  <c r="AB9" i="9"/>
  <c r="AC9" i="9" s="1"/>
  <c r="AD9" i="9" s="1"/>
  <c r="Q8" i="5"/>
  <c r="G17" i="6" s="1"/>
  <c r="D28" i="6"/>
  <c r="F35" i="6"/>
  <c r="R43" i="8"/>
  <c r="S43" i="8" s="1"/>
  <c r="T43" i="8" s="1"/>
  <c r="Q30" i="3"/>
  <c r="E34" i="6" s="1"/>
  <c r="Q41" i="1"/>
  <c r="E44" i="7" s="1"/>
  <c r="R42" i="8"/>
  <c r="S42" i="8" s="1"/>
  <c r="T42" i="8" s="1"/>
  <c r="E52" i="7"/>
  <c r="H31" i="9"/>
  <c r="I31" i="9" s="1"/>
  <c r="J31" i="9" s="1"/>
  <c r="R35" i="9"/>
  <c r="S35" i="9" s="1"/>
  <c r="T35" i="9" s="1"/>
  <c r="AB27" i="9"/>
  <c r="AC27" i="9" s="1"/>
  <c r="AD27" i="9" s="1"/>
  <c r="Q25" i="5"/>
  <c r="I37" i="8" l="1"/>
  <c r="J37" i="8" s="1"/>
</calcChain>
</file>

<file path=xl/sharedStrings.xml><?xml version="1.0" encoding="utf-8"?>
<sst xmlns="http://schemas.openxmlformats.org/spreadsheetml/2006/main" count="980" uniqueCount="445">
  <si>
    <t>Institution</t>
  </si>
  <si>
    <t>Tuition</t>
  </si>
  <si>
    <t>Academic Excellence</t>
  </si>
  <si>
    <t>Operational Fee</t>
  </si>
  <si>
    <t>Academic Enhancement</t>
  </si>
  <si>
    <t>Building Use</t>
  </si>
  <si>
    <t>Technology Fee</t>
  </si>
  <si>
    <t>Energy Surcharge</t>
  </si>
  <si>
    <t>University Self-Assessed</t>
  </si>
  <si>
    <t>Student Self-Assessed</t>
  </si>
  <si>
    <t>Non-Resident</t>
  </si>
  <si>
    <t>Undergraduate - 15 hours (Fall-Spring)</t>
  </si>
  <si>
    <t>Grambling</t>
  </si>
  <si>
    <t>Louisiana Tech</t>
  </si>
  <si>
    <t>McNeese</t>
  </si>
  <si>
    <t>Nicholls</t>
  </si>
  <si>
    <t>Northwestern</t>
  </si>
  <si>
    <t>Southeastern</t>
  </si>
  <si>
    <t>UL Lafayette</t>
  </si>
  <si>
    <t>Total Resident</t>
  </si>
  <si>
    <t>Total Non-Resident</t>
  </si>
  <si>
    <t>LSU System</t>
  </si>
  <si>
    <t>UL System</t>
  </si>
  <si>
    <t>LSU A</t>
  </si>
  <si>
    <t xml:space="preserve">LSU S </t>
  </si>
  <si>
    <t>LSU E</t>
  </si>
  <si>
    <t>UNO</t>
  </si>
  <si>
    <t>HSC NO Allied Health</t>
  </si>
  <si>
    <t>HSC NO Nursing</t>
  </si>
  <si>
    <t>HSC NO Dental Hygiene</t>
  </si>
  <si>
    <t>HSC NO Dental Lab. Tech.</t>
  </si>
  <si>
    <t>HSC S Allied Health</t>
  </si>
  <si>
    <t xml:space="preserve">Southern </t>
  </si>
  <si>
    <t>SU S</t>
  </si>
  <si>
    <t>LCTCS</t>
  </si>
  <si>
    <t>BRCC</t>
  </si>
  <si>
    <t>BPCC</t>
  </si>
  <si>
    <t>Delgado</t>
  </si>
  <si>
    <t>Fletcher</t>
  </si>
  <si>
    <t>LDCC</t>
  </si>
  <si>
    <t>Nunez</t>
  </si>
  <si>
    <t>RPCC</t>
  </si>
  <si>
    <t>SLCC</t>
  </si>
  <si>
    <t>Sowela</t>
  </si>
  <si>
    <t xml:space="preserve"> </t>
  </si>
  <si>
    <t>UL Monroe</t>
  </si>
  <si>
    <t>UL Monroe PharmD</t>
  </si>
  <si>
    <t>LSU Veterinary Medicine</t>
  </si>
  <si>
    <t>HSC NO Dental Education</t>
  </si>
  <si>
    <t>HSC NO Dentistry</t>
  </si>
  <si>
    <t>HSC NO Graduate Studies</t>
  </si>
  <si>
    <t>HSC NO PH.D. &amp; M.S. of Public Health</t>
  </si>
  <si>
    <t>HSC NO Master of Public Health</t>
  </si>
  <si>
    <t>HSC NO Medicine</t>
  </si>
  <si>
    <t>HSC S Physical Therapy</t>
  </si>
  <si>
    <t>HSC S Graduate Studies</t>
  </si>
  <si>
    <t>HSC S Medicine</t>
  </si>
  <si>
    <t>HSC S Physicians Assistant</t>
  </si>
  <si>
    <t>Northshore Technical CC</t>
  </si>
  <si>
    <t>Professional Fee</t>
  </si>
  <si>
    <t>Undergraduate - 12 hours (Fall-Spring)</t>
  </si>
  <si>
    <t>HSC NO Physicians Assistant</t>
  </si>
  <si>
    <t>HSC NO Nursing Practice</t>
  </si>
  <si>
    <t>Graduate - 9 hours (Fall-Spring)</t>
  </si>
  <si>
    <t>Graduate - 10 hours (Fall-Spring)</t>
  </si>
  <si>
    <t>Graduate - 12 hours (Fall-Spring)</t>
  </si>
  <si>
    <t>Enterprise Resource Fee</t>
  </si>
  <si>
    <t>Building Use            Act 426</t>
  </si>
  <si>
    <t>Student Services Fee</t>
  </si>
  <si>
    <t>Central LA TCC</t>
  </si>
  <si>
    <t>TOPS Amount Paid</t>
  </si>
  <si>
    <t>Tuition vs TOPS</t>
  </si>
  <si>
    <t>LOSFA Authorized TOPS</t>
  </si>
  <si>
    <t>UNDERGRADUATE ONLY</t>
  </si>
  <si>
    <t>ANNUAL</t>
  </si>
  <si>
    <t xml:space="preserve">ANNUAL </t>
  </si>
  <si>
    <t>RESIDENT</t>
  </si>
  <si>
    <t>NON-RESIDENT</t>
  </si>
  <si>
    <t>TOPS</t>
  </si>
  <si>
    <t>TUITION &amp; FEES</t>
  </si>
  <si>
    <t>OPPORTUNITY</t>
  </si>
  <si>
    <t>AWARD</t>
  </si>
  <si>
    <t>PER SEMESTER</t>
  </si>
  <si>
    <t>AMOUNT</t>
  </si>
  <si>
    <t>SOUTHERN UNIVERSITY SYSTEM</t>
  </si>
  <si>
    <t>Southern Baton Rouge</t>
  </si>
  <si>
    <t>Southern New Orleans</t>
  </si>
  <si>
    <t>Southern Shreveport</t>
  </si>
  <si>
    <t>UNIVERSITY OF LOUISIANA SYSTEM</t>
  </si>
  <si>
    <t xml:space="preserve">Southeastern </t>
  </si>
  <si>
    <t>Univ. of LA at Lafayette</t>
  </si>
  <si>
    <t>Univ. of LA at Monroe</t>
  </si>
  <si>
    <t xml:space="preserve">UNO </t>
  </si>
  <si>
    <t>LOUISIANA STATE UNIVERSITY SYSTEM</t>
  </si>
  <si>
    <t>LSU Alexandria</t>
  </si>
  <si>
    <t>LSU Eunice</t>
  </si>
  <si>
    <t>LSU Shreveport</t>
  </si>
  <si>
    <t xml:space="preserve">LSU Health Science Center New Orleans -Allied Health Undergraduate </t>
  </si>
  <si>
    <t xml:space="preserve">LSU Health Science Center New Orleans - Dental Laboratory Technology Associate </t>
  </si>
  <si>
    <t xml:space="preserve">LSU Health Science Center New Orleans - Nursing Undergraduate </t>
  </si>
  <si>
    <t xml:space="preserve">LSU Health Science Center Shreveport - Allied Health </t>
  </si>
  <si>
    <t>LOUISIANA COMMUNITY &amp; TECHNICAL COLLEGE SYSTEM</t>
  </si>
  <si>
    <t>Baton Rouge Community College</t>
  </si>
  <si>
    <t>Bossier Parish Community College</t>
  </si>
  <si>
    <t>Delgado Community College</t>
  </si>
  <si>
    <t>Louisiana Delta Community College</t>
  </si>
  <si>
    <t>L.E. Fletcher Tech. Community College</t>
  </si>
  <si>
    <t>Elaine P Nunez Community College</t>
  </si>
  <si>
    <t>River Parishes Community College</t>
  </si>
  <si>
    <t>South Louisiana Community College</t>
  </si>
  <si>
    <t>SOWELA Tech. Community College</t>
  </si>
  <si>
    <t>Northshore Technical Community College</t>
  </si>
  <si>
    <t>Central Louisiana Tech. Comm. Coll.</t>
  </si>
  <si>
    <t>GRADUATE ONLY</t>
  </si>
  <si>
    <t>n/a</t>
  </si>
  <si>
    <t>LSU Health Science Center Shreveport - Graduate Studies</t>
  </si>
  <si>
    <t>LSU Health Science Center Shreveport - Physicians Assistant</t>
  </si>
  <si>
    <t>LSU Health Science Center Shreveport - Physical Therapy</t>
  </si>
  <si>
    <t>LSU Health Science Center Shreveport - Allied Health Graduate</t>
  </si>
  <si>
    <t>Difference</t>
  </si>
  <si>
    <t>%Change</t>
  </si>
  <si>
    <t>Other/   General Fee</t>
  </si>
  <si>
    <t>UL Monroe MBA</t>
  </si>
  <si>
    <t>Univ. of LA at Monroe MBA</t>
  </si>
  <si>
    <t>Academic Enhancement (Graduate Enhancement - UNO)</t>
  </si>
  <si>
    <t>Student Services</t>
  </si>
  <si>
    <t>Mandatory Fees</t>
  </si>
  <si>
    <t>HSC NO Physical Therapy</t>
  </si>
  <si>
    <t>LSU Law  JD</t>
  </si>
  <si>
    <t>LSU Health Science Center New Orleans Dentistry</t>
  </si>
  <si>
    <t>Northwest LA TCC</t>
  </si>
  <si>
    <t>Northwest Louisiana Tech. Comm. Coll.</t>
  </si>
  <si>
    <r>
      <t xml:space="preserve">Louisiana Tech </t>
    </r>
    <r>
      <rPr>
        <b/>
        <vertAlign val="superscript"/>
        <sz val="11"/>
        <color rgb="FFFF0000"/>
        <rFont val="Calibri"/>
        <family val="2"/>
        <scheme val="minor"/>
      </rPr>
      <t>1</t>
    </r>
  </si>
  <si>
    <t>1. CONVERTED TO A SEMESTER BASIS.  UNDERGRADUATE FT = 8 AND GRADUATE = 6.  (USED 12 HRS IN LIEU OF 15 FOR UG AND 10 HOURS IN LIEU OF 12 FOR GRADUATE)</t>
  </si>
  <si>
    <r>
      <t xml:space="preserve">HSC NO Public Health </t>
    </r>
    <r>
      <rPr>
        <b/>
        <vertAlign val="superscript"/>
        <sz val="11"/>
        <color rgb="FFFF0000"/>
        <rFont val="Calibri"/>
        <family val="2"/>
        <scheme val="minor"/>
      </rPr>
      <t>1</t>
    </r>
  </si>
  <si>
    <t>HSC NO Audiology</t>
  </si>
  <si>
    <t>1. FT FOR SOUTHERN LAW SCHOOL IS 12 HOURS.</t>
  </si>
  <si>
    <t>2. CONVERTED TO A SEMESTER BASIS.  UNDERGRADUATE FT = 8 AND GRADUATE = 6.  (USED 12 HRS IN LIEU OF 15 FOR UG AND 10 HOURS IN LIEU OF 12 FOR GRADUATE)</t>
  </si>
  <si>
    <r>
      <t xml:space="preserve">Louisiana Tech </t>
    </r>
    <r>
      <rPr>
        <b/>
        <vertAlign val="superscript"/>
        <sz val="11"/>
        <color rgb="FFFF0000"/>
        <rFont val="Calibri"/>
        <family val="2"/>
        <scheme val="minor"/>
      </rPr>
      <t>2</t>
    </r>
  </si>
  <si>
    <t>Other/ General Fee</t>
  </si>
  <si>
    <t>Building Use 
Act 426</t>
  </si>
  <si>
    <t>HSC S PH.D. &amp; M.S. of Public Health</t>
  </si>
  <si>
    <t>LSU Health Sciences Center New Orleans Physician's Assistant</t>
  </si>
  <si>
    <t>LSU Health Sciences Center New Orleans Ph.D. &amp; M.S. of Public Health</t>
  </si>
  <si>
    <t>LSU Health Sciences Center New Orleans Master of Public Health</t>
  </si>
  <si>
    <t>LSU Health Sciences Center New Orleans Nursing Graduate</t>
  </si>
  <si>
    <t>LSU Health Sciences Center New Orleans Graduate Studies</t>
  </si>
  <si>
    <t>LSU Health Sciences Center New Orleans Doctor of Physical Therapy</t>
  </si>
  <si>
    <t>LSU Health Sciences Center New Orleans Allied Health Graduate</t>
  </si>
  <si>
    <t>LSU Health Sciences Center New Orleans Advanced Dental Education</t>
  </si>
  <si>
    <t>LSU Health Sciences Center Shreveport Ph.D. of Allied Health Rehabilitation Services</t>
  </si>
  <si>
    <t>HSC S Ph.D. of Allied Health Rehabilitation Services</t>
  </si>
  <si>
    <r>
      <t xml:space="preserve">Annual Tuition and Fees Comparison - </t>
    </r>
    <r>
      <rPr>
        <b/>
        <sz val="12"/>
        <color theme="6"/>
        <rFont val="Calibri"/>
        <family val="2"/>
        <scheme val="minor"/>
      </rPr>
      <t>Undergraduate</t>
    </r>
  </si>
  <si>
    <r>
      <t xml:space="preserve">Annual Tuition and Fees Comparison - </t>
    </r>
    <r>
      <rPr>
        <b/>
        <sz val="12"/>
        <color theme="5"/>
        <rFont val="Calibri"/>
        <family val="2"/>
        <scheme val="minor"/>
      </rPr>
      <t>Graduate</t>
    </r>
  </si>
  <si>
    <r>
      <t xml:space="preserve">SU BR </t>
    </r>
    <r>
      <rPr>
        <vertAlign val="superscript"/>
        <sz val="11"/>
        <color rgb="FFFF0000"/>
        <rFont val="Calibri"/>
        <family val="2"/>
        <scheme val="minor"/>
      </rPr>
      <t>2</t>
    </r>
  </si>
  <si>
    <t>1. This program is 100% online and part of LSU Online now and that all tuition and fees are combined into one amount.</t>
  </si>
  <si>
    <t xml:space="preserve">LSU Health Science Center New Orleans -  Undergraduate of Public Health </t>
  </si>
  <si>
    <t>2. The student services fee within the University Self-Assessed category is for e-textbooks and OER and is optional.</t>
  </si>
  <si>
    <t xml:space="preserve">3. The Café Cash fee within University Self-Assessed was initially increased in fall 2015 for incoming freshmen students. Students enrolled prior to fall 2015 were grandfather in at the lower fee amount. </t>
  </si>
  <si>
    <r>
      <t xml:space="preserve">SUNO </t>
    </r>
    <r>
      <rPr>
        <vertAlign val="superscript"/>
        <sz val="11"/>
        <color rgb="FFFF0000"/>
        <rFont val="Calibri"/>
        <family val="2"/>
        <scheme val="minor"/>
      </rPr>
      <t>3</t>
    </r>
  </si>
  <si>
    <t>3. ULM PharmD STARTS AT 10 HOURS.</t>
  </si>
  <si>
    <t xml:space="preserve">4. LSU LAW DEGREES ARE SPECIALIZED DEGREES CONSISTING OF 12 AND 15 HOURS PER SEMESTER NOT THE TYPICAL GRADUATE STRUCTURE. </t>
  </si>
  <si>
    <t>6. MEDICAL STUDENTS REPRESENT FULL-TIME STATUS. ANNUAL TUITION &amp; FEES FOR SCHOOL OF MEDICINE DOES NOT INCLUDE FEES FOR MICROSCOPE RENTAL AND LAPTOP COMPUTER CHARGED TO FIRST</t>
  </si>
  <si>
    <t xml:space="preserve">    YEAR STUDENTS. OPTIONAL FEES SUCH AS HEALTH INSURANCE, NETWORK ACCESS, AND PARKING ARE NOT INCLUDED. TUITIONS AND FEES FOR OTHER PROGRAMS SUCH AS ALLIED HEALTH AND GRADUATE</t>
  </si>
  <si>
    <t xml:space="preserve">    SCHOOL ARE NOT SHOWN.</t>
  </si>
  <si>
    <r>
      <t xml:space="preserve">Univ. of LA at Monroe Pharm D Prog. </t>
    </r>
    <r>
      <rPr>
        <b/>
        <vertAlign val="superscript"/>
        <sz val="11"/>
        <color rgb="FFFF0000"/>
        <rFont val="Calibri"/>
        <family val="2"/>
        <scheme val="minor"/>
      </rPr>
      <t>3</t>
    </r>
  </si>
  <si>
    <r>
      <t xml:space="preserve">LSU Veterinary Medicine </t>
    </r>
    <r>
      <rPr>
        <b/>
        <vertAlign val="superscript"/>
        <sz val="11"/>
        <color rgb="FFFF0000"/>
        <rFont val="Calibri"/>
        <family val="2"/>
        <scheme val="minor"/>
      </rPr>
      <t>5</t>
    </r>
  </si>
  <si>
    <r>
      <t xml:space="preserve">LSU Health Science Center Medicine in New Orleans </t>
    </r>
    <r>
      <rPr>
        <b/>
        <vertAlign val="superscript"/>
        <sz val="11"/>
        <color rgb="FFFF0000"/>
        <rFont val="Calibri"/>
        <family val="2"/>
        <scheme val="minor"/>
      </rPr>
      <t>6</t>
    </r>
  </si>
  <si>
    <r>
      <t xml:space="preserve">LSU Health Science Center Shreveport - School of Medicine  </t>
    </r>
    <r>
      <rPr>
        <b/>
        <vertAlign val="superscript"/>
        <sz val="11"/>
        <color rgb="FFFF0000"/>
        <rFont val="Calibri"/>
        <family val="2"/>
        <scheme val="minor"/>
      </rPr>
      <t>6</t>
    </r>
  </si>
  <si>
    <t>LSU Health Sciences Center New Orleans Nurse Anesthesia</t>
  </si>
  <si>
    <r>
      <t xml:space="preserve">LSU LAW Center Student JD </t>
    </r>
    <r>
      <rPr>
        <b/>
        <vertAlign val="superscript"/>
        <sz val="11"/>
        <color rgb="FFFF0000"/>
        <rFont val="Calibri"/>
        <family val="2"/>
        <scheme val="minor"/>
      </rPr>
      <t>4, 5</t>
    </r>
  </si>
  <si>
    <t>1. This program is 100% online and part of LSU Online. All tuition and fees are combined into one amount.</t>
  </si>
  <si>
    <r>
      <t>Tuition vs LOSFA</t>
    </r>
    <r>
      <rPr>
        <b/>
        <vertAlign val="superscript"/>
        <sz val="11"/>
        <color rgb="FFFF0000"/>
        <rFont val="Calibri"/>
        <family val="2"/>
      </rPr>
      <t xml:space="preserve"> </t>
    </r>
  </si>
  <si>
    <t>1. The student services fee within the University Self-Assessed category is for e-textbooks and OER and is optional.</t>
  </si>
  <si>
    <t xml:space="preserve">2. The Café Cash fee within University Self-Assessed was initially increased in fall 2015 for incoming freshmen students. Students enrolled prior to fall 2015 were grandfather in at the lower fee amount. </t>
  </si>
  <si>
    <t xml:space="preserve">HSC NO Nurse Anesthesia </t>
  </si>
  <si>
    <r>
      <t xml:space="preserve">SU BR </t>
    </r>
    <r>
      <rPr>
        <vertAlign val="superscript"/>
        <sz val="11"/>
        <color rgb="FFFF0000"/>
        <rFont val="Calibri"/>
        <family val="2"/>
        <scheme val="minor"/>
      </rPr>
      <t>1</t>
    </r>
  </si>
  <si>
    <r>
      <t>SUNO</t>
    </r>
    <r>
      <rPr>
        <vertAlign val="superscript"/>
        <sz val="11"/>
        <color rgb="FFFF0000"/>
        <rFont val="Calibri"/>
        <family val="2"/>
        <scheme val="minor"/>
      </rPr>
      <t xml:space="preserve"> 2</t>
    </r>
  </si>
  <si>
    <r>
      <t xml:space="preserve">SUNO </t>
    </r>
    <r>
      <rPr>
        <vertAlign val="superscript"/>
        <sz val="11"/>
        <color rgb="FFFF0000"/>
        <rFont val="Calibri"/>
        <family val="2"/>
        <scheme val="minor"/>
      </rPr>
      <t>2</t>
    </r>
  </si>
  <si>
    <t>HSC NO Nurse Anesthesia</t>
  </si>
  <si>
    <t>1. ULM PharmD starts at 10 hours.</t>
  </si>
  <si>
    <r>
      <t>UL Monroe PharmD</t>
    </r>
    <r>
      <rPr>
        <vertAlign val="superscript"/>
        <sz val="11"/>
        <color rgb="FFFF0000"/>
        <rFont val="Calibri"/>
        <family val="2"/>
        <scheme val="minor"/>
      </rPr>
      <t>1</t>
    </r>
  </si>
  <si>
    <t>Northwest LA TC</t>
  </si>
  <si>
    <t>5. FULL-TIME FOR VET AND LAW IS 12 HOURS.</t>
  </si>
  <si>
    <t xml:space="preserve">NOTE: The annual TOPS Award Amount is the total amount TOPS would have paid for a student if TOPS was fully funded for the 2016-2017 academic year.  Act 18 of the 2016 Regular Legislative Session decoupled TOPS from tuition.  Act 18 provided that any increases in the TOPS Award Amount must be approved by the Legislature.  </t>
  </si>
  <si>
    <t xml:space="preserve">NOTE: The annual TOPS Award Amount is the total amount TOPS would have paid for a student if TOPS was fully funded for the 2016-2017 academic year.  Act 18 of the 2016 Regular Legislative Session decoupled TOPS from tuition.  Act 18 provided that any increases in the TOPS Award Amount must be approved by the Legislature.  Historically, there has been a difference in the 12 hour and 15 hour tuition amounts for LSU Shreveport. Regardless of that difference, TOPS pays only the amount up to 12 hours.   LSUS considers this difference a part of their tuition, but TOPS does not pay that difference.  This is also reflected in the fact that LSUS lists the TOPS amount at 15 hours as the same amount as 12 hours.  </t>
  </si>
  <si>
    <t>HSC S Occupational Therapy</t>
  </si>
  <si>
    <t>HSC S Medical Sciences</t>
  </si>
  <si>
    <t>LSU Health Science Center Shreveport - Medical Sciences</t>
  </si>
  <si>
    <t>LSU Health Science Center Shreveport - Occupational Therapy</t>
  </si>
  <si>
    <t>HSC S Pathology and Translational Pathobiology</t>
  </si>
  <si>
    <t>UL Monroe Doctor Physical Therapy</t>
  </si>
  <si>
    <t>Univ. of LA at Monroe Doctor Physical Therapy</t>
  </si>
  <si>
    <t>SU Law Student Year 1</t>
  </si>
  <si>
    <t>SU Law Student Year 2</t>
  </si>
  <si>
    <t>SU Law Student Year 3</t>
  </si>
  <si>
    <r>
      <t xml:space="preserve">Southern Law Student Year 1 </t>
    </r>
    <r>
      <rPr>
        <b/>
        <vertAlign val="superscript"/>
        <sz val="11"/>
        <color rgb="FFFF0000"/>
        <rFont val="Calibri"/>
        <family val="2"/>
        <scheme val="minor"/>
      </rPr>
      <t>1</t>
    </r>
  </si>
  <si>
    <r>
      <t xml:space="preserve">Southern Law Student Year 2 </t>
    </r>
    <r>
      <rPr>
        <b/>
        <vertAlign val="superscript"/>
        <sz val="11"/>
        <color rgb="FFFF0000"/>
        <rFont val="Calibri"/>
        <family val="2"/>
        <scheme val="minor"/>
      </rPr>
      <t>1</t>
    </r>
  </si>
  <si>
    <r>
      <t xml:space="preserve">Southern Law Student Year 3 </t>
    </r>
    <r>
      <rPr>
        <b/>
        <vertAlign val="superscript"/>
        <sz val="11"/>
        <color rgb="FFFF0000"/>
        <rFont val="Calibri"/>
        <family val="2"/>
        <scheme val="minor"/>
      </rPr>
      <t>1</t>
    </r>
  </si>
  <si>
    <t>2024-25 Tuition</t>
  </si>
  <si>
    <t>2024-25 Total Resident</t>
  </si>
  <si>
    <t>2025-2026 Annual Mandatory Tuition and Fees</t>
  </si>
  <si>
    <t>FY FY2024-25 vs. FY2025-26</t>
  </si>
  <si>
    <t xml:space="preserve">2025-2026 ANNUAL MANDATORY TUITION AND FEES - UNDERGRADUATE </t>
  </si>
  <si>
    <r>
      <t xml:space="preserve">2024-2025 vs. 2025-2026 Undergraduate </t>
    </r>
    <r>
      <rPr>
        <b/>
        <sz val="11"/>
        <color theme="8"/>
        <rFont val="Calibri"/>
        <family val="2"/>
        <scheme val="minor"/>
      </rPr>
      <t>12</t>
    </r>
    <r>
      <rPr>
        <b/>
        <sz val="11"/>
        <color theme="1"/>
        <rFont val="Calibri"/>
        <family val="2"/>
        <scheme val="minor"/>
      </rPr>
      <t xml:space="preserve"> credit hours annualized</t>
    </r>
  </si>
  <si>
    <r>
      <t xml:space="preserve">2024-2025 vs. 2025-2026 Undergraduate </t>
    </r>
    <r>
      <rPr>
        <b/>
        <sz val="11"/>
        <color theme="9"/>
        <rFont val="Calibri"/>
        <family val="2"/>
        <scheme val="minor"/>
      </rPr>
      <t>15</t>
    </r>
    <r>
      <rPr>
        <b/>
        <sz val="11"/>
        <color theme="1"/>
        <rFont val="Calibri"/>
        <family val="2"/>
        <scheme val="minor"/>
      </rPr>
      <t xml:space="preserve"> credit hours annualized</t>
    </r>
  </si>
  <si>
    <r>
      <t>2024-2025 vs. 2025-2026 Graduate</t>
    </r>
    <r>
      <rPr>
        <b/>
        <sz val="11"/>
        <rFont val="Calibri"/>
        <family val="2"/>
        <scheme val="minor"/>
      </rPr>
      <t xml:space="preserve"> </t>
    </r>
    <r>
      <rPr>
        <b/>
        <sz val="11"/>
        <color theme="9"/>
        <rFont val="Calibri"/>
        <family val="2"/>
        <scheme val="minor"/>
      </rPr>
      <t>10</t>
    </r>
    <r>
      <rPr>
        <b/>
        <sz val="11"/>
        <color theme="1"/>
        <rFont val="Calibri"/>
        <family val="2"/>
        <scheme val="minor"/>
      </rPr>
      <t xml:space="preserve"> credit hours annualized</t>
    </r>
  </si>
  <si>
    <t>2025-26 Tuition</t>
  </si>
  <si>
    <t>2025-26 Total Resident</t>
  </si>
  <si>
    <t>LSU A&amp;M UC/UCFY1</t>
  </si>
  <si>
    <t xml:space="preserve">HSC S Pathology and Translational Pathobiology </t>
  </si>
  <si>
    <r>
      <t xml:space="preserve"> 2024-2025 vs. 2025-2026 Graduate </t>
    </r>
    <r>
      <rPr>
        <b/>
        <sz val="11"/>
        <color rgb="FF00B0F0"/>
        <rFont val="Calibri"/>
        <family val="2"/>
        <scheme val="minor"/>
      </rPr>
      <t>12</t>
    </r>
    <r>
      <rPr>
        <b/>
        <sz val="11"/>
        <rFont val="Calibri"/>
        <family val="2"/>
        <scheme val="minor"/>
      </rPr>
      <t xml:space="preserve"> </t>
    </r>
    <r>
      <rPr>
        <b/>
        <sz val="11"/>
        <color theme="1"/>
        <rFont val="Calibri"/>
        <family val="2"/>
        <scheme val="minor"/>
      </rPr>
      <t>credit hours annualized</t>
    </r>
  </si>
  <si>
    <r>
      <t>2024-2025 vs. 2025-2026 Graduate</t>
    </r>
    <r>
      <rPr>
        <b/>
        <sz val="11"/>
        <rFont val="Calibri"/>
        <family val="2"/>
        <scheme val="minor"/>
      </rPr>
      <t xml:space="preserve"> </t>
    </r>
    <r>
      <rPr>
        <b/>
        <sz val="11"/>
        <color rgb="FF00B050"/>
        <rFont val="Calibri"/>
        <family val="2"/>
        <scheme val="minor"/>
      </rPr>
      <t>9</t>
    </r>
    <r>
      <rPr>
        <b/>
        <sz val="11"/>
        <color theme="1"/>
        <rFont val="Calibri"/>
        <family val="2"/>
        <scheme val="minor"/>
      </rPr>
      <t xml:space="preserve"> credit hours annualized</t>
    </r>
  </si>
  <si>
    <r>
      <rPr>
        <b/>
        <sz val="11"/>
        <color rgb="FF00B050"/>
        <rFont val="Calibri"/>
        <family val="2"/>
        <scheme val="minor"/>
      </rPr>
      <t>12</t>
    </r>
    <r>
      <rPr>
        <b/>
        <sz val="11"/>
        <color theme="1"/>
        <rFont val="Calibri"/>
        <family val="2"/>
        <scheme val="minor"/>
      </rPr>
      <t xml:space="preserve"> HOURS</t>
    </r>
  </si>
  <si>
    <r>
      <rPr>
        <b/>
        <sz val="11"/>
        <color rgb="FFDD0FCE"/>
        <rFont val="Calibri"/>
        <family val="2"/>
        <scheme val="minor"/>
      </rPr>
      <t>15</t>
    </r>
    <r>
      <rPr>
        <b/>
        <sz val="11"/>
        <color theme="1"/>
        <rFont val="Calibri"/>
        <family val="2"/>
        <scheme val="minor"/>
      </rPr>
      <t xml:space="preserve"> HOURS</t>
    </r>
  </si>
  <si>
    <r>
      <rPr>
        <b/>
        <sz val="11"/>
        <color rgb="FF00B0F0"/>
        <rFont val="Calibri"/>
        <family val="2"/>
        <scheme val="minor"/>
      </rPr>
      <t>9</t>
    </r>
    <r>
      <rPr>
        <b/>
        <sz val="11"/>
        <color theme="1"/>
        <rFont val="Calibri"/>
        <family val="2"/>
        <scheme val="minor"/>
      </rPr>
      <t xml:space="preserve"> HOURS</t>
    </r>
  </si>
  <si>
    <r>
      <rPr>
        <b/>
        <sz val="11"/>
        <color theme="9"/>
        <rFont val="Calibri"/>
        <family val="2"/>
        <scheme val="minor"/>
      </rPr>
      <t>10</t>
    </r>
    <r>
      <rPr>
        <b/>
        <sz val="11"/>
        <color theme="1"/>
        <rFont val="Calibri"/>
        <family val="2"/>
        <scheme val="minor"/>
      </rPr>
      <t xml:space="preserve"> HOURS</t>
    </r>
  </si>
  <si>
    <t xml:space="preserve">LSU A&amp;M Undergraduate </t>
  </si>
  <si>
    <t>LSU A&amp;M UC/UCFY</t>
  </si>
  <si>
    <t>LSU A&amp;M Graduate</t>
  </si>
  <si>
    <r>
      <t xml:space="preserve">Grambling - High Cost </t>
    </r>
    <r>
      <rPr>
        <vertAlign val="superscript"/>
        <sz val="11"/>
        <color rgb="FFFF0000"/>
        <rFont val="Calibri"/>
        <family val="2"/>
        <scheme val="minor"/>
      </rPr>
      <t>2</t>
    </r>
  </si>
  <si>
    <r>
      <t xml:space="preserve">Nicholls - High Cost </t>
    </r>
    <r>
      <rPr>
        <vertAlign val="superscript"/>
        <sz val="11"/>
        <color rgb="FFFF0000"/>
        <rFont val="Calibri"/>
        <family val="2"/>
        <scheme val="minor"/>
      </rPr>
      <t>2</t>
    </r>
  </si>
  <si>
    <r>
      <t xml:space="preserve">Southeastern - High Cost </t>
    </r>
    <r>
      <rPr>
        <vertAlign val="superscript"/>
        <sz val="11"/>
        <color rgb="FFFF0000"/>
        <rFont val="Calibri"/>
        <family val="2"/>
        <scheme val="minor"/>
      </rPr>
      <t>2</t>
    </r>
  </si>
  <si>
    <r>
      <t xml:space="preserve">Univ. of LA at Lafayette - High Cost </t>
    </r>
    <r>
      <rPr>
        <vertAlign val="superscript"/>
        <sz val="11"/>
        <color rgb="FFFF0000"/>
        <rFont val="Calibri"/>
        <family val="2"/>
        <scheme val="minor"/>
      </rPr>
      <t>2</t>
    </r>
  </si>
  <si>
    <r>
      <t xml:space="preserve">LSU Alexandria - High Cost </t>
    </r>
    <r>
      <rPr>
        <vertAlign val="superscript"/>
        <sz val="11"/>
        <color rgb="FFFF0000"/>
        <rFont val="Calibri"/>
        <family val="2"/>
        <scheme val="minor"/>
      </rPr>
      <t>2</t>
    </r>
  </si>
  <si>
    <r>
      <t xml:space="preserve">LSU A&amp;M Undergraduate - High Cost </t>
    </r>
    <r>
      <rPr>
        <vertAlign val="superscript"/>
        <sz val="11"/>
        <color rgb="FFFF0000"/>
        <rFont val="Calibri"/>
        <family val="2"/>
        <scheme val="minor"/>
      </rPr>
      <t>2</t>
    </r>
  </si>
  <si>
    <t xml:space="preserve">7. ACT 790 OF THE 2024 RLS PERMITS AN INSTITUTION TO DIFFERENTIATE TUTION FOR HIGH COST GRADUATE PROGRAMS </t>
  </si>
  <si>
    <r>
      <t xml:space="preserve">LSU A&amp;M Graduate - High Cost </t>
    </r>
    <r>
      <rPr>
        <b/>
        <vertAlign val="superscript"/>
        <sz val="11"/>
        <color rgb="FFFF0000"/>
        <rFont val="Calibri"/>
        <family val="2"/>
        <scheme val="minor"/>
      </rPr>
      <t>7</t>
    </r>
  </si>
  <si>
    <t>2. ACT 790 OF THE 2024 RLS PERMITS AN INSTITUTION TO DIFFERENTIATE TUITION FOR HIGH COST UNDERGRADUATE PROGRAMS DESIGNATED BY THE BOARD OF REGENTS</t>
  </si>
  <si>
    <r>
      <t xml:space="preserve">LSU Eunice - High Cost </t>
    </r>
    <r>
      <rPr>
        <vertAlign val="superscript"/>
        <sz val="11"/>
        <color rgb="FFFF0000"/>
        <rFont val="Calibri"/>
        <family val="2"/>
        <scheme val="minor"/>
      </rPr>
      <t>2</t>
    </r>
  </si>
  <si>
    <t>4. Beginning in 2025-26, Act 790 of the 2024 RLS permits institutions to increase tuition for high cost UG programs identified by the Board of Regents and increase mandatory fees by no more than 10% over a two-year period.</t>
  </si>
  <si>
    <t>4. Beginning in 2025-26, Act 790 of the 2024 RLS permits institutions to increase tuition for graduate and professional programs and increase mandatory fees by no more than 10% over a two-year period.</t>
  </si>
  <si>
    <t xml:space="preserve">2025-2026 ANNUAL MANDATORY TUITION AND FEES - GRADUATE </t>
  </si>
  <si>
    <t xml:space="preserve">UL Monroe Doctor Physical Therapy </t>
  </si>
  <si>
    <t>High Cost Programs 2025-26</t>
  </si>
  <si>
    <t>LSU A&amp;M</t>
  </si>
  <si>
    <t>Bachelor of Science in Business Administration</t>
  </si>
  <si>
    <t>Bachelor of Science in Biology</t>
  </si>
  <si>
    <t>Bachelor of Science in Chemistry</t>
  </si>
  <si>
    <t>Bachelor of Science in Computer Science</t>
  </si>
  <si>
    <t>Bachelor of Science in Elder Care Administration</t>
  </si>
  <si>
    <t>Bachelor of Science in Health Professions </t>
  </si>
  <si>
    <t>Bachelor of Science in Long Term Care Administration</t>
  </si>
  <si>
    <t>Associate of Science in Medical Laboratory Science</t>
  </si>
  <si>
    <t>Associate of Science in Nursing</t>
  </si>
  <si>
    <t>Associate of Science in Radiologic Technology</t>
  </si>
  <si>
    <t>Bachelor of General Studies – Aviation Management</t>
  </si>
  <si>
    <t>Bachelor of General Studies – Cybersecurity</t>
  </si>
  <si>
    <t>Bachelor of General Studies – Professional Aviation</t>
  </si>
  <si>
    <t>Bachelor of Science in Accounting</t>
  </si>
  <si>
    <t>Post-Baccalaureate Certificate in Accounting</t>
  </si>
  <si>
    <t>Accounting</t>
  </si>
  <si>
    <t>Allied Health</t>
  </si>
  <si>
    <t>Agriculture and Extension Education and Evaluation</t>
  </si>
  <si>
    <t>Agricultural Business/Agribusiness</t>
  </si>
  <si>
    <t>Agricultural Economics</t>
  </si>
  <si>
    <t>Animal Sciences</t>
  </si>
  <si>
    <t>Applied Depositional Geosystems</t>
  </si>
  <si>
    <t>Applied Statistics</t>
  </si>
  <si>
    <t>Architecture</t>
  </si>
  <si>
    <t>Art and Design</t>
  </si>
  <si>
    <t>Athletic Training</t>
  </si>
  <si>
    <t>Biochemistry</t>
  </si>
  <si>
    <t>Biological and Agricultural Engineering</t>
  </si>
  <si>
    <t>Biological Sciences</t>
  </si>
  <si>
    <t>Business Analytics</t>
  </si>
  <si>
    <t>Business Administration</t>
  </si>
  <si>
    <t>Cardiopulmonary Science</t>
  </si>
  <si>
    <t>Chemical Engineering</t>
  </si>
  <si>
    <t>Chemistry</t>
  </si>
  <si>
    <t>Civil Engineering</t>
  </si>
  <si>
    <t>Climatology and Climate Change</t>
  </si>
  <si>
    <t>Cloud Computing and Machine Learning</t>
  </si>
  <si>
    <t>Coastal Environmental Science</t>
  </si>
  <si>
    <t>Comparative Biomedical Sciences</t>
  </si>
  <si>
    <t>Computer Engineering</t>
  </si>
  <si>
    <t>Computer Science</t>
  </si>
  <si>
    <t>Construction Management</t>
  </si>
  <si>
    <t>Cybersecurity Risk Management</t>
  </si>
  <si>
    <t>Dental Hygiene</t>
  </si>
  <si>
    <t>Dental Laboratory Technology</t>
  </si>
  <si>
    <t>Digital Media Arts and Engineering</t>
  </si>
  <si>
    <t>Econometrics</t>
  </si>
  <si>
    <t>Economics</t>
  </si>
  <si>
    <t>Electrical Engineering</t>
  </si>
  <si>
    <t>Emerging Information Technologies for Business</t>
  </si>
  <si>
    <t>Energy Law and Policy</t>
  </si>
  <si>
    <t>Engineering and Engineering Science</t>
  </si>
  <si>
    <t>Entomology</t>
  </si>
  <si>
    <t>Entrepreneurship and Information Systems</t>
  </si>
  <si>
    <t>Environmental and Energy Policy</t>
  </si>
  <si>
    <t>Environmental Engineering</t>
  </si>
  <si>
    <t>Environmental Health Sciences</t>
  </si>
  <si>
    <t>Environmental Management Systems</t>
  </si>
  <si>
    <t>Environmental Modeling and Analysis</t>
  </si>
  <si>
    <t>Environmental Sciences</t>
  </si>
  <si>
    <t>Estate Planning and Taxation</t>
  </si>
  <si>
    <t>Experimental Statistics</t>
  </si>
  <si>
    <t>Film and Television</t>
  </si>
  <si>
    <t>Finance</t>
  </si>
  <si>
    <t>Financial Analytics</t>
  </si>
  <si>
    <t>Financial Economics</t>
  </si>
  <si>
    <t>Fine Arts</t>
  </si>
  <si>
    <t>General Business</t>
  </si>
  <si>
    <t>Geology and Geophysics</t>
  </si>
  <si>
    <t>Industrial Engineering</t>
  </si>
  <si>
    <t>Information Systems &amp; Decision Sciences</t>
  </si>
  <si>
    <t>Interior Design</t>
  </si>
  <si>
    <t>International Trade and Finance</t>
  </si>
  <si>
    <t>Kinesiology</t>
  </si>
  <si>
    <t>Landscape Architecture</t>
  </si>
  <si>
    <t>Law</t>
  </si>
  <si>
    <t>Management</t>
  </si>
  <si>
    <t>Marketing</t>
  </si>
  <si>
    <t>Materials Science and Engineering</t>
  </si>
  <si>
    <t>Mechanical Engineering</t>
  </si>
  <si>
    <t>Medical Physics and Health Physics</t>
  </si>
  <si>
    <t>Microbiology</t>
  </si>
  <si>
    <t>Music</t>
  </si>
  <si>
    <t>Music Education</t>
  </si>
  <si>
    <t>Natural Resource Ecology and Management</t>
  </si>
  <si>
    <t>Natural Sciences</t>
  </si>
  <si>
    <t>Nutrition and Food Sciences</t>
  </si>
  <si>
    <t>Oceanography and Coastal Sciences</t>
  </si>
  <si>
    <t>Pathobiological Sciences</t>
  </si>
  <si>
    <t>Petroleum Engineering</t>
  </si>
  <si>
    <t>Physics and Astronomy</t>
  </si>
  <si>
    <t>Plant Pathology and Crop Physiology</t>
  </si>
  <si>
    <t>Plant, Environmental, and Soil Sciences</t>
  </si>
  <si>
    <t>Pre-Occupational Therapy</t>
  </si>
  <si>
    <t>Pre-Physical Therapy</t>
  </si>
  <si>
    <t>Pre-Physician Assistant</t>
  </si>
  <si>
    <t>Psychology</t>
  </si>
  <si>
    <t>Renewable Natural Resources</t>
  </si>
  <si>
    <t>School Librarianship</t>
  </si>
  <si>
    <t>Screen Arts</t>
  </si>
  <si>
    <t>Sport Administration</t>
  </si>
  <si>
    <t>Statistics</t>
  </si>
  <si>
    <t>Studio Art</t>
  </si>
  <si>
    <t>Textiles, Apparel Design, and Merchandising</t>
  </si>
  <si>
    <t>Theatre</t>
  </si>
  <si>
    <t>Transportation Engineering</t>
  </si>
  <si>
    <t>Veterinary Clinical Sciences</t>
  </si>
  <si>
    <t>Veterinary Medicine</t>
  </si>
  <si>
    <t>Engineering Technology</t>
  </si>
  <si>
    <t>Nursing</t>
  </si>
  <si>
    <t>Cybersecurity</t>
  </si>
  <si>
    <t>Cloud Computing</t>
  </si>
  <si>
    <t>Biology</t>
  </si>
  <si>
    <t>Physics</t>
  </si>
  <si>
    <t>Computer Information Systems</t>
  </si>
  <si>
    <t>Visual and Performing Arts</t>
  </si>
  <si>
    <t>Computer Info Systems</t>
  </si>
  <si>
    <t>Pre-Dental Hygiene</t>
  </si>
  <si>
    <t>Applied Business</t>
  </si>
  <si>
    <t>Culinary Arts</t>
  </si>
  <si>
    <t>Pre-Engineering</t>
  </si>
  <si>
    <t>Art</t>
  </si>
  <si>
    <t>Dietetics</t>
  </si>
  <si>
    <t>Pre-Optometry</t>
  </si>
  <si>
    <t>Engineering</t>
  </si>
  <si>
    <t>Safety Management</t>
  </si>
  <si>
    <t>Petroleum Services</t>
  </si>
  <si>
    <t>Safety Technology</t>
  </si>
  <si>
    <t>Chemistry Sciences</t>
  </si>
  <si>
    <t>Geomatics</t>
  </si>
  <si>
    <t>Physical Sciences</t>
  </si>
  <si>
    <t>Agriculture Associate Degree</t>
  </si>
  <si>
    <t>Computer Info Tech Associate Degree</t>
  </si>
  <si>
    <t>Diagnostic Medical Sonography Associate Degre</t>
  </si>
  <si>
    <t>Health Sciences</t>
  </si>
  <si>
    <t>LA Transfer Degree - Business</t>
  </si>
  <si>
    <t>LA Transfer Degree – Fine Arts</t>
  </si>
  <si>
    <t>LA Transfer Degree – Biological Sciences</t>
  </si>
  <si>
    <t>LA Transfer Degree – Physical Sciences</t>
  </si>
  <si>
    <t>Management Associate Degree</t>
  </si>
  <si>
    <t>Nursing Associate Degree</t>
  </si>
  <si>
    <t>Radiologic Technology Associate Degree</t>
  </si>
  <si>
    <t>Respiratory Care Associate Degree</t>
  </si>
  <si>
    <t>Surgical Technology Associate Degree</t>
  </si>
  <si>
    <t>Chemical Technician Certificate</t>
  </si>
  <si>
    <t>Accounting Technology Certificate</t>
  </si>
  <si>
    <t>Administrative Technology Specialist</t>
  </si>
  <si>
    <t>Fire Service Technology Certificate</t>
  </si>
  <si>
    <t>Unversity of Louisiana System</t>
  </si>
  <si>
    <t>Louisiana State University System</t>
  </si>
  <si>
    <t>BA Art</t>
  </si>
  <si>
    <t>BA Management</t>
  </si>
  <si>
    <t>BA Marketing</t>
  </si>
  <si>
    <t>BA Theatre</t>
  </si>
  <si>
    <t>BBA Business Administration</t>
  </si>
  <si>
    <t>BM Music</t>
  </si>
  <si>
    <t>BS Accounting</t>
  </si>
  <si>
    <t>BS Biological Sciences</t>
  </si>
  <si>
    <t>BS Chemistry</t>
  </si>
  <si>
    <t>BS Communication Sciences &amp; Disorders</t>
  </si>
  <si>
    <t>BS Computer Science</t>
  </si>
  <si>
    <t>BS Engineering Technology</t>
  </si>
  <si>
    <t>BS Finance</t>
  </si>
  <si>
    <t>BS Information Technology</t>
  </si>
  <si>
    <t>BS Physics</t>
  </si>
  <si>
    <t>BS Supply Chain Management</t>
  </si>
  <si>
    <t>BSN Nursing</t>
  </si>
  <si>
    <t>Business/Actuarial Science</t>
  </si>
  <si>
    <t>Construction Technology – AAS</t>
  </si>
  <si>
    <t>Design Drafter Technology – AAS</t>
  </si>
  <si>
    <t>Drafting Design</t>
  </si>
  <si>
    <t>Welding Technology</t>
  </si>
  <si>
    <t>Architectural Studies</t>
  </si>
  <si>
    <t>Engineering &amp; Technology Mgmt</t>
  </si>
  <si>
    <t>Environmental Science</t>
  </si>
  <si>
    <t>Geology</t>
  </si>
  <si>
    <t>Hospitality Management</t>
  </si>
  <si>
    <t>Industrial Design</t>
  </si>
  <si>
    <t>Informatics</t>
  </si>
  <si>
    <t>Insurance &amp; Risk Management</t>
  </si>
  <si>
    <t>Moving Image Arts</t>
  </si>
  <si>
    <t>Nursing, Accelerated</t>
  </si>
  <si>
    <t>Performing Arts</t>
  </si>
  <si>
    <t>Professional Land/Resource Mgt</t>
  </si>
  <si>
    <t>Speech Pathology and Audiology</t>
  </si>
  <si>
    <t>Visual Arts</t>
  </si>
  <si>
    <t>https://www.laregents.edu/wp-content/uploads/2025/05/High-Cost-Programs_Sept-2024.docx</t>
  </si>
  <si>
    <t>Programs must align with the list approved by the BOR.</t>
  </si>
  <si>
    <t>Website</t>
  </si>
  <si>
    <t>Click to view High Cost Programs by Institution</t>
  </si>
  <si>
    <t>LSU Health Sciences Center New Orleans Doctor of Nursing Practice</t>
  </si>
  <si>
    <t xml:space="preserve">LSU Health Science Center New Orleans - Dental Hygiene </t>
  </si>
  <si>
    <t>LSU Health Sciences Center New Orleans Doctor of Audiology</t>
  </si>
  <si>
    <t>HSC NO Nursing (A&amp;M Campus)</t>
  </si>
  <si>
    <t>LSU Health Science Center New Orleans - Nursing Undergraduate (LSU A&amp;M Campus)</t>
  </si>
  <si>
    <t>HSC NO Nursing (LSU A&amp;M Campus)</t>
  </si>
  <si>
    <r>
      <t>Grambling - High Cost</t>
    </r>
    <r>
      <rPr>
        <vertAlign val="superscript"/>
        <sz val="11"/>
        <color rgb="FFFF0000"/>
        <rFont val="Calibri"/>
        <family val="2"/>
        <scheme val="minor"/>
      </rPr>
      <t>4</t>
    </r>
  </si>
  <si>
    <r>
      <t>Nicholls - High Cost</t>
    </r>
    <r>
      <rPr>
        <vertAlign val="superscript"/>
        <sz val="11"/>
        <color rgb="FFFF0000"/>
        <rFont val="Calibri"/>
        <family val="2"/>
        <scheme val="minor"/>
      </rPr>
      <t>4</t>
    </r>
  </si>
  <si>
    <r>
      <t>Southeastern - High Cost</t>
    </r>
    <r>
      <rPr>
        <vertAlign val="superscript"/>
        <sz val="11"/>
        <color rgb="FFFF0000"/>
        <rFont val="Calibri"/>
        <family val="2"/>
        <scheme val="minor"/>
      </rPr>
      <t>4</t>
    </r>
  </si>
  <si>
    <r>
      <t>UL Lafayette - High Cost</t>
    </r>
    <r>
      <rPr>
        <vertAlign val="superscript"/>
        <sz val="11"/>
        <color rgb="FFFF0000"/>
        <rFont val="Calibri"/>
        <family val="2"/>
        <scheme val="minor"/>
      </rPr>
      <t>4</t>
    </r>
  </si>
  <si>
    <r>
      <t>LSU A&amp;M Undergraduate - High Cost</t>
    </r>
    <r>
      <rPr>
        <vertAlign val="superscript"/>
        <sz val="11"/>
        <color rgb="FFFF0000"/>
        <rFont val="Calibri"/>
        <family val="2"/>
        <scheme val="minor"/>
      </rPr>
      <t>4</t>
    </r>
  </si>
  <si>
    <r>
      <t>LSU A - High Cost</t>
    </r>
    <r>
      <rPr>
        <vertAlign val="superscript"/>
        <sz val="11"/>
        <color rgb="FFFF0000"/>
        <rFont val="Calibri"/>
        <family val="2"/>
        <scheme val="minor"/>
      </rPr>
      <t>4</t>
    </r>
  </si>
  <si>
    <r>
      <t>LSU E - High Cost</t>
    </r>
    <r>
      <rPr>
        <vertAlign val="superscript"/>
        <sz val="11"/>
        <color rgb="FFFF0000"/>
        <rFont val="Calibri"/>
        <family val="2"/>
        <scheme val="minor"/>
      </rPr>
      <t>4</t>
    </r>
  </si>
  <si>
    <r>
      <t>LSU A&amp;M Graduate - High Cost</t>
    </r>
    <r>
      <rPr>
        <vertAlign val="superscript"/>
        <sz val="11"/>
        <color rgb="FFFF0000"/>
        <rFont val="Calibri"/>
        <family val="2"/>
        <scheme val="minor"/>
      </rPr>
      <t>4</t>
    </r>
  </si>
  <si>
    <t>4.. ACT 790 OF THE 2024 RLS PERMITS AN INSTITUTION TO DIFFERENTIATE TUITION FOR HIGH COST UNDERGRADUATE PROGRAMS DESIGNATED BY THE BOARD OF REGENTS</t>
  </si>
  <si>
    <t>3. ACT 790 OF THE 2024 RLS PERMITS AN INSTITUTION TO DIFFERENTIATE TUITION FOR HIGH COST UNDERGRADUATE PROGRAMS DESIGNATED BY THE BOARD OF REGENTS</t>
  </si>
  <si>
    <r>
      <t>LSU A&amp;M Graduate - High Cost</t>
    </r>
    <r>
      <rPr>
        <vertAlign val="superscript"/>
        <sz val="11"/>
        <color rgb="FFFF0000"/>
        <rFont val="Calibri"/>
        <family val="2"/>
        <scheme val="minor"/>
      </rPr>
      <t>3</t>
    </r>
  </si>
  <si>
    <r>
      <t>LSU A&amp;M Graduate High Cost</t>
    </r>
    <r>
      <rPr>
        <vertAlign val="superscript"/>
        <sz val="11"/>
        <color rgb="FFFF0000"/>
        <rFont val="Calibri"/>
        <family val="2"/>
        <scheme val="minor"/>
      </rPr>
      <t>3</t>
    </r>
  </si>
  <si>
    <t>Revised as of August 11,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</si>
</sst>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6" formatCode="&quot;$&quot;#,##0_);[Red]\(&quot;$&quot;#,##0\)"/>
    <numFmt numFmtId="44" formatCode="_(&quot;$&quot;* #,##0.00_);_(&quot;$&quot;* \(#,##0.00\);_(&quot;$&quot;* &quot;-&quot;??_);_(@_)"/>
    <numFmt numFmtId="164" formatCode="&quot;$&quot;#,##0"/>
    <numFmt numFmtId="165" formatCode="&quot;$&quot;#,##0.00"/>
    <numFmt numFmtId="166" formatCode="0.00%;[Red]\-0.00%"/>
  </numFmts>
  <fonts count="40">
    <font>
      <sz val="11"/>
      <color theme="1"/>
      <name val="Calibri"/>
      <family val="2"/>
      <scheme val="minor"/>
    </font>
    <font>
      <b/>
      <sz val="11"/>
      <color indexed="8"/>
      <name val="Calibri"/>
      <family val="2"/>
    </font>
    <font>
      <sz val="8"/>
      <name val="Calibri"/>
      <family val="2"/>
    </font>
    <font>
      <sz val="11"/>
      <color theme="1"/>
      <name val="Calibri"/>
      <family val="2"/>
      <scheme val="minor"/>
    </font>
    <font>
      <b/>
      <sz val="11"/>
      <color theme="1"/>
      <name val="Calibri"/>
      <family val="2"/>
      <scheme val="minor"/>
    </font>
    <font>
      <b/>
      <sz val="14"/>
      <color theme="1"/>
      <name val="Calibri"/>
      <family val="2"/>
      <scheme val="minor"/>
    </font>
    <font>
      <b/>
      <sz val="7"/>
      <name val="Arial"/>
      <family val="2"/>
    </font>
    <font>
      <b/>
      <sz val="7"/>
      <name val="HLV"/>
    </font>
    <font>
      <b/>
      <sz val="10"/>
      <name val="Arial"/>
      <family val="2"/>
    </font>
    <font>
      <sz val="8"/>
      <name val="Arial"/>
      <family val="2"/>
    </font>
    <font>
      <sz val="8"/>
      <name val="HLV"/>
    </font>
    <font>
      <b/>
      <sz val="7"/>
      <color theme="1"/>
      <name val="Arial"/>
      <family val="2"/>
    </font>
    <font>
      <sz val="11"/>
      <name val="Calibri"/>
      <family val="2"/>
      <scheme val="minor"/>
    </font>
    <font>
      <b/>
      <sz val="11"/>
      <name val="Calibri"/>
      <family val="2"/>
      <scheme val="minor"/>
    </font>
    <font>
      <b/>
      <sz val="12"/>
      <color theme="1"/>
      <name val="Calibri"/>
      <family val="2"/>
      <scheme val="minor"/>
    </font>
    <font>
      <sz val="10"/>
      <color theme="1"/>
      <name val="Calibri"/>
      <family val="2"/>
      <scheme val="minor"/>
    </font>
    <font>
      <b/>
      <vertAlign val="superscript"/>
      <sz val="11"/>
      <color rgb="FFFF0000"/>
      <name val="Calibri"/>
      <family val="2"/>
      <scheme val="minor"/>
    </font>
    <font>
      <b/>
      <vertAlign val="superscript"/>
      <sz val="11"/>
      <color rgb="FFFF0000"/>
      <name val="Calibri"/>
      <family val="2"/>
    </font>
    <font>
      <vertAlign val="superscript"/>
      <sz val="11"/>
      <color rgb="FFFF0000"/>
      <name val="Calibri"/>
      <family val="2"/>
      <scheme val="minor"/>
    </font>
    <font>
      <b/>
      <i/>
      <sz val="11"/>
      <color rgb="FF00B050"/>
      <name val="Calibri"/>
      <family val="2"/>
      <scheme val="minor"/>
    </font>
    <font>
      <b/>
      <sz val="11"/>
      <color theme="8"/>
      <name val="Calibri"/>
      <family val="2"/>
      <scheme val="minor"/>
    </font>
    <font>
      <b/>
      <sz val="11"/>
      <color theme="9"/>
      <name val="Calibri"/>
      <family val="2"/>
      <scheme val="minor"/>
    </font>
    <font>
      <b/>
      <sz val="11"/>
      <color theme="0" tint="-0.34998626667073579"/>
      <name val="Calibri"/>
      <family val="2"/>
      <scheme val="minor"/>
    </font>
    <font>
      <sz val="11"/>
      <color theme="0" tint="-0.34998626667073579"/>
      <name val="Calibri"/>
      <family val="2"/>
      <scheme val="minor"/>
    </font>
    <font>
      <b/>
      <sz val="12"/>
      <color theme="6"/>
      <name val="Calibri"/>
      <family val="2"/>
      <scheme val="minor"/>
    </font>
    <font>
      <b/>
      <sz val="12"/>
      <color theme="5"/>
      <name val="Calibri"/>
      <family val="2"/>
      <scheme val="minor"/>
    </font>
    <font>
      <b/>
      <sz val="11"/>
      <color theme="4"/>
      <name val="Calibri"/>
      <family val="2"/>
      <scheme val="minor"/>
    </font>
    <font>
      <b/>
      <sz val="11"/>
      <color theme="5"/>
      <name val="Calibri"/>
      <family val="2"/>
      <scheme val="minor"/>
    </font>
    <font>
      <sz val="11"/>
      <color theme="8"/>
      <name val="Calibri"/>
      <family val="2"/>
      <scheme val="minor"/>
    </font>
    <font>
      <b/>
      <sz val="11"/>
      <color theme="1" tint="0.499984740745262"/>
      <name val="Calibri"/>
      <family val="2"/>
    </font>
    <font>
      <sz val="11"/>
      <color theme="1" tint="0.499984740745262"/>
      <name val="Calibri"/>
      <family val="2"/>
      <scheme val="minor"/>
    </font>
    <font>
      <sz val="11"/>
      <color rgb="FFFF0000"/>
      <name val="Calibri"/>
      <family val="2"/>
      <scheme val="minor"/>
    </font>
    <font>
      <b/>
      <sz val="11"/>
      <color rgb="FF00B0F0"/>
      <name val="Calibri"/>
      <family val="2"/>
      <scheme val="minor"/>
    </font>
    <font>
      <b/>
      <sz val="11"/>
      <color rgb="FF00B050"/>
      <name val="Calibri"/>
      <family val="2"/>
      <scheme val="minor"/>
    </font>
    <font>
      <b/>
      <sz val="11"/>
      <color rgb="FFDD0FCE"/>
      <name val="Calibri"/>
      <family val="2"/>
      <scheme val="minor"/>
    </font>
    <font>
      <u/>
      <sz val="11"/>
      <color theme="10"/>
      <name val="Calibri"/>
      <family val="2"/>
      <scheme val="minor"/>
    </font>
    <font>
      <sz val="10"/>
      <color theme="1"/>
      <name val="Arial"/>
      <family val="2"/>
    </font>
    <font>
      <u/>
      <sz val="8"/>
      <color theme="10"/>
      <name val="Arial"/>
      <family val="2"/>
    </font>
    <font>
      <sz val="8"/>
      <color theme="1"/>
      <name val="Arial"/>
      <family val="2"/>
    </font>
    <font>
      <b/>
      <sz val="11"/>
      <name val="Calibri"/>
      <family val="2"/>
    </font>
  </fonts>
  <fills count="7">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bgColor indexed="64"/>
      </patternFill>
    </fill>
    <fill>
      <patternFill patternType="solid">
        <fgColor theme="0" tint="-0.14999847407452621"/>
        <bgColor indexed="64"/>
      </patternFill>
    </fill>
  </fills>
  <borders count="65">
    <border>
      <left/>
      <right/>
      <top/>
      <bottom/>
      <diagonal/>
    </border>
    <border>
      <left/>
      <right/>
      <top/>
      <bottom style="thin">
        <color indexed="64"/>
      </bottom>
      <diagonal/>
    </border>
    <border>
      <left/>
      <right style="medium">
        <color auto="1"/>
      </right>
      <top/>
      <bottom/>
      <diagonal/>
    </border>
    <border>
      <left style="medium">
        <color auto="1"/>
      </left>
      <right style="medium">
        <color auto="1"/>
      </right>
      <top/>
      <bottom/>
      <diagonal/>
    </border>
    <border>
      <left/>
      <right/>
      <top style="medium">
        <color auto="1"/>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top/>
      <bottom style="medium">
        <color auto="1"/>
      </bottom>
      <diagonal/>
    </border>
    <border>
      <left style="medium">
        <color auto="1"/>
      </left>
      <right/>
      <top/>
      <bottom/>
      <diagonal/>
    </border>
    <border>
      <left style="medium">
        <color auto="1"/>
      </left>
      <right/>
      <top style="medium">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thick">
        <color auto="1"/>
      </top>
      <bottom style="thin">
        <color auto="1"/>
      </bottom>
      <diagonal/>
    </border>
    <border>
      <left style="thin">
        <color auto="1"/>
      </left>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top/>
      <bottom/>
      <diagonal/>
    </border>
    <border>
      <left style="thick">
        <color auto="1"/>
      </left>
      <right/>
      <top/>
      <bottom style="thick">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thick">
        <color auto="1"/>
      </bottom>
      <diagonal/>
    </border>
    <border>
      <left style="thin">
        <color auto="1"/>
      </left>
      <right style="thin">
        <color auto="1"/>
      </right>
      <top/>
      <bottom style="thick">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ck">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ck">
        <color auto="1"/>
      </right>
      <top style="medium">
        <color auto="1"/>
      </top>
      <bottom style="thin">
        <color auto="1"/>
      </bottom>
      <diagonal/>
    </border>
    <border>
      <left style="thick">
        <color auto="1"/>
      </left>
      <right/>
      <top style="thick">
        <color auto="1"/>
      </top>
      <bottom/>
      <diagonal/>
    </border>
    <border>
      <left style="medium">
        <color auto="1"/>
      </left>
      <right style="thin">
        <color auto="1"/>
      </right>
      <top style="thick">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auto="1"/>
      </right>
      <top style="medium">
        <color indexed="64"/>
      </top>
      <bottom/>
      <diagonal/>
    </border>
    <border>
      <left/>
      <right style="medium">
        <color auto="1"/>
      </right>
      <top style="medium">
        <color indexed="64"/>
      </top>
      <bottom/>
      <diagonal/>
    </border>
    <border>
      <left style="medium">
        <color indexed="64"/>
      </left>
      <right style="medium">
        <color auto="1"/>
      </right>
      <top style="thin">
        <color auto="1"/>
      </top>
      <bottom/>
      <diagonal/>
    </border>
    <border>
      <left style="medium">
        <color indexed="64"/>
      </left>
      <right/>
      <top/>
      <bottom style="medium">
        <color auto="1"/>
      </bottom>
      <diagonal/>
    </border>
    <border>
      <left style="medium">
        <color auto="1"/>
      </left>
      <right style="medium">
        <color indexed="64"/>
      </right>
      <top/>
      <bottom style="medium">
        <color auto="1"/>
      </bottom>
      <diagonal/>
    </border>
    <border>
      <left/>
      <right/>
      <top style="medium">
        <color indexed="64"/>
      </top>
      <bottom/>
      <diagonal/>
    </border>
    <border>
      <left/>
      <right style="medium">
        <color indexed="64"/>
      </right>
      <top style="medium">
        <color auto="1"/>
      </top>
      <bottom style="medium">
        <color auto="1"/>
      </bottom>
      <diagonal/>
    </border>
    <border>
      <left style="medium">
        <color auto="1"/>
      </left>
      <right style="medium">
        <color indexed="64"/>
      </right>
      <top style="medium">
        <color auto="1"/>
      </top>
      <bottom style="thin">
        <color auto="1"/>
      </bottom>
      <diagonal/>
    </border>
    <border>
      <left/>
      <right style="thin">
        <color indexed="64"/>
      </right>
      <top/>
      <bottom style="medium">
        <color auto="1"/>
      </bottom>
      <diagonal/>
    </border>
    <border>
      <left/>
      <right style="thin">
        <color indexed="64"/>
      </right>
      <top/>
      <bottom/>
      <diagonal/>
    </border>
    <border>
      <left/>
      <right style="thin">
        <color auto="1"/>
      </right>
      <top style="thick">
        <color auto="1"/>
      </top>
      <bottom style="thin">
        <color auto="1"/>
      </bottom>
      <diagonal/>
    </border>
    <border>
      <left/>
      <right style="thin">
        <color auto="1"/>
      </right>
      <top style="thin">
        <color auto="1"/>
      </top>
      <bottom/>
      <diagonal/>
    </border>
    <border>
      <left style="thick">
        <color auto="1"/>
      </left>
      <right style="medium">
        <color auto="1"/>
      </right>
      <top style="thick">
        <color auto="1"/>
      </top>
      <bottom/>
      <diagonal/>
    </border>
    <border>
      <left style="thin">
        <color auto="1"/>
      </left>
      <right style="thin">
        <color indexed="64"/>
      </right>
      <top/>
      <bottom style="medium">
        <color auto="1"/>
      </bottom>
      <diagonal/>
    </border>
    <border>
      <left/>
      <right style="thin">
        <color auto="1"/>
      </right>
      <top/>
      <bottom style="thick">
        <color auto="1"/>
      </bottom>
      <diagonal/>
    </border>
    <border>
      <left style="thin">
        <color auto="1"/>
      </left>
      <right style="thin">
        <color indexed="64"/>
      </right>
      <top style="thin">
        <color auto="1"/>
      </top>
      <bottom style="thin">
        <color auto="1"/>
      </bottom>
      <diagonal/>
    </border>
    <border>
      <left style="thin">
        <color auto="1"/>
      </left>
      <right style="thick">
        <color auto="1"/>
      </right>
      <top/>
      <bottom/>
      <diagonal/>
    </border>
    <border>
      <left style="thin">
        <color auto="1"/>
      </left>
      <right style="thick">
        <color auto="1"/>
      </right>
      <top/>
      <bottom style="medium">
        <color auto="1"/>
      </bottom>
      <diagonal/>
    </border>
    <border>
      <left style="thick">
        <color auto="1"/>
      </left>
      <right style="medium">
        <color auto="1"/>
      </right>
      <top/>
      <bottom style="medium">
        <color auto="1"/>
      </bottom>
      <diagonal/>
    </border>
    <border>
      <left style="thick">
        <color auto="1"/>
      </left>
      <right style="medium">
        <color auto="1"/>
      </right>
      <top/>
      <bottom/>
      <diagonal/>
    </border>
    <border>
      <left style="thick">
        <color auto="1"/>
      </left>
      <right/>
      <top style="medium">
        <color auto="1"/>
      </top>
      <bottom style="thin">
        <color auto="1"/>
      </bottom>
      <diagonal/>
    </border>
    <border>
      <left style="thin">
        <color auto="1"/>
      </left>
      <right style="thick">
        <color auto="1"/>
      </right>
      <top/>
      <bottom style="thick">
        <color auto="1"/>
      </bottom>
      <diagonal/>
    </border>
    <border>
      <left/>
      <right style="thin">
        <color indexed="64"/>
      </right>
      <top style="medium">
        <color auto="1"/>
      </top>
      <bottom style="thin">
        <color auto="1"/>
      </bottom>
      <diagonal/>
    </border>
    <border>
      <left/>
      <right style="thick">
        <color auto="1"/>
      </right>
      <top/>
      <bottom style="thin">
        <color auto="1"/>
      </bottom>
      <diagonal/>
    </border>
    <border>
      <left style="thick">
        <color auto="1"/>
      </left>
      <right/>
      <top/>
      <bottom style="medium">
        <color auto="1"/>
      </bottom>
      <diagonal/>
    </border>
    <border>
      <left style="medium">
        <color auto="1"/>
      </left>
      <right style="thin">
        <color auto="1"/>
      </right>
      <top/>
      <bottom style="medium">
        <color auto="1"/>
      </bottom>
      <diagonal/>
    </border>
    <border>
      <left style="thick">
        <color auto="1"/>
      </left>
      <right style="medium">
        <color auto="1"/>
      </right>
      <top/>
      <bottom style="thick">
        <color auto="1"/>
      </bottom>
      <diagonal/>
    </border>
    <border>
      <left/>
      <right/>
      <top/>
      <bottom style="thick">
        <color auto="1"/>
      </bottom>
      <diagonal/>
    </border>
    <border>
      <left style="thin">
        <color auto="1"/>
      </left>
      <right/>
      <top style="thin">
        <color auto="1"/>
      </top>
      <bottom style="thick">
        <color auto="1"/>
      </bottom>
      <diagonal/>
    </border>
    <border>
      <left style="thin">
        <color auto="1"/>
      </left>
      <right style="thin">
        <color indexed="64"/>
      </right>
      <top/>
      <bottom style="thin">
        <color auto="1"/>
      </bottom>
      <diagonal/>
    </border>
    <border>
      <left/>
      <right style="medium">
        <color auto="1"/>
      </right>
      <top/>
      <bottom style="medium">
        <color auto="1"/>
      </bottom>
      <diagonal/>
    </border>
    <border>
      <left style="medium">
        <color auto="1"/>
      </left>
      <right style="thin">
        <color auto="1"/>
      </right>
      <top style="thin">
        <color auto="1"/>
      </top>
      <bottom/>
      <diagonal/>
    </border>
  </borders>
  <cellStyleXfs count="4">
    <xf numFmtId="0" fontId="0" fillId="0" borderId="0"/>
    <xf numFmtId="44" fontId="3" fillId="0" borderId="0" applyFont="0" applyFill="0" applyBorder="0" applyAlignment="0" applyProtection="0"/>
    <xf numFmtId="9" fontId="3" fillId="0" borderId="0" applyFont="0" applyFill="0" applyBorder="0" applyAlignment="0" applyProtection="0"/>
    <xf numFmtId="0" fontId="35" fillId="0" borderId="0" applyNumberFormat="0" applyFill="0" applyBorder="0" applyAlignment="0" applyProtection="0"/>
  </cellStyleXfs>
  <cellXfs count="266">
    <xf numFmtId="0" fontId="0" fillId="0" borderId="0" xfId="0"/>
    <xf numFmtId="164" fontId="0" fillId="0" borderId="0" xfId="0" applyNumberFormat="1"/>
    <xf numFmtId="0" fontId="1" fillId="0" borderId="1" xfId="0" applyFont="1" applyBorder="1" applyAlignment="1">
      <alignment horizontal="center" wrapText="1"/>
    </xf>
    <xf numFmtId="164" fontId="1" fillId="0" borderId="1" xfId="0" applyNumberFormat="1" applyFont="1" applyBorder="1" applyAlignment="1">
      <alignment horizontal="center" wrapText="1"/>
    </xf>
    <xf numFmtId="0" fontId="1" fillId="0" borderId="0" xfId="0" applyFont="1" applyAlignment="1">
      <alignment horizontal="center" wrapText="1"/>
    </xf>
    <xf numFmtId="0" fontId="1" fillId="0" borderId="0" xfId="0" applyFont="1"/>
    <xf numFmtId="164" fontId="1" fillId="0" borderId="0" xfId="0" applyNumberFormat="1" applyFont="1"/>
    <xf numFmtId="165" fontId="0" fillId="0" borderId="0" xfId="0" applyNumberFormat="1"/>
    <xf numFmtId="44" fontId="0" fillId="0" borderId="0" xfId="0" applyNumberFormat="1"/>
    <xf numFmtId="44" fontId="0" fillId="0" borderId="0" xfId="1" applyFont="1"/>
    <xf numFmtId="164" fontId="1" fillId="2" borderId="1" xfId="0" applyNumberFormat="1" applyFont="1" applyFill="1" applyBorder="1" applyAlignment="1">
      <alignment horizontal="center" wrapText="1"/>
    </xf>
    <xf numFmtId="164" fontId="0" fillId="2" borderId="0" xfId="0" applyNumberFormat="1" applyFill="1"/>
    <xf numFmtId="0" fontId="5" fillId="0" borderId="0" xfId="0" applyFont="1"/>
    <xf numFmtId="165" fontId="5" fillId="0" borderId="0" xfId="0" applyNumberFormat="1" applyFont="1"/>
    <xf numFmtId="0" fontId="4" fillId="0" borderId="0" xfId="0" applyFont="1"/>
    <xf numFmtId="165" fontId="4" fillId="0" borderId="2" xfId="0" applyNumberFormat="1" applyFont="1" applyBorder="1" applyAlignment="1">
      <alignment horizontal="center"/>
    </xf>
    <xf numFmtId="165" fontId="4" fillId="0" borderId="3" xfId="0" applyNumberFormat="1" applyFont="1" applyBorder="1" applyAlignment="1">
      <alignment horizontal="center"/>
    </xf>
    <xf numFmtId="0" fontId="4" fillId="0" borderId="0" xfId="0" applyFont="1" applyAlignment="1">
      <alignment horizontal="center"/>
    </xf>
    <xf numFmtId="165" fontId="4" fillId="3" borderId="4" xfId="0" applyNumberFormat="1" applyFont="1" applyFill="1" applyBorder="1" applyAlignment="1">
      <alignment horizontal="center"/>
    </xf>
    <xf numFmtId="165" fontId="4" fillId="3" borderId="4" xfId="0" applyNumberFormat="1" applyFont="1" applyFill="1" applyBorder="1"/>
    <xf numFmtId="165" fontId="4" fillId="0" borderId="5" xfId="0" applyNumberFormat="1" applyFont="1" applyBorder="1"/>
    <xf numFmtId="165" fontId="4" fillId="0" borderId="6" xfId="0" applyNumberFormat="1" applyFont="1" applyBorder="1"/>
    <xf numFmtId="165" fontId="4" fillId="0" borderId="7" xfId="0" applyNumberFormat="1" applyFont="1" applyBorder="1"/>
    <xf numFmtId="165" fontId="4" fillId="3" borderId="8" xfId="0" applyNumberFormat="1" applyFont="1" applyFill="1" applyBorder="1" applyAlignment="1">
      <alignment wrapText="1"/>
    </xf>
    <xf numFmtId="165" fontId="4" fillId="0" borderId="0" xfId="0" applyNumberFormat="1" applyFont="1"/>
    <xf numFmtId="0" fontId="6" fillId="0" borderId="0" xfId="0" applyFont="1"/>
    <xf numFmtId="165" fontId="6" fillId="0" borderId="0" xfId="0" applyNumberFormat="1" applyFont="1"/>
    <xf numFmtId="3" fontId="6" fillId="0" borderId="0" xfId="0" applyNumberFormat="1" applyFont="1"/>
    <xf numFmtId="0" fontId="7" fillId="0" borderId="0" xfId="0" applyFont="1"/>
    <xf numFmtId="165" fontId="8" fillId="0" borderId="0" xfId="0" applyNumberFormat="1" applyFont="1"/>
    <xf numFmtId="3" fontId="9" fillId="0" borderId="0" xfId="0" applyNumberFormat="1" applyFont="1"/>
    <xf numFmtId="0" fontId="10" fillId="0" borderId="0" xfId="0" applyFont="1"/>
    <xf numFmtId="165" fontId="4" fillId="0" borderId="0" xfId="0" applyNumberFormat="1" applyFont="1" applyAlignment="1">
      <alignment horizontal="center"/>
    </xf>
    <xf numFmtId="165" fontId="4" fillId="0" borderId="9" xfId="0" applyNumberFormat="1" applyFont="1" applyBorder="1" applyAlignment="1">
      <alignment horizontal="center"/>
    </xf>
    <xf numFmtId="165" fontId="4" fillId="3" borderId="10" xfId="0" applyNumberFormat="1" applyFont="1" applyFill="1" applyBorder="1"/>
    <xf numFmtId="165" fontId="4" fillId="0" borderId="1" xfId="0" applyNumberFormat="1" applyFont="1" applyBorder="1"/>
    <xf numFmtId="165" fontId="4" fillId="0" borderId="11" xfId="0" applyNumberFormat="1" applyFont="1" applyBorder="1"/>
    <xf numFmtId="165" fontId="4" fillId="0" borderId="5" xfId="0" applyNumberFormat="1" applyFont="1" applyBorder="1" applyAlignment="1">
      <alignment horizontal="right"/>
    </xf>
    <xf numFmtId="0" fontId="4" fillId="0" borderId="0" xfId="0" applyFont="1" applyAlignment="1">
      <alignment wrapText="1"/>
    </xf>
    <xf numFmtId="0" fontId="11" fillId="0" borderId="0" xfId="0" applyFont="1"/>
    <xf numFmtId="165" fontId="11" fillId="0" borderId="0" xfId="0" applyNumberFormat="1" applyFont="1"/>
    <xf numFmtId="0" fontId="4" fillId="0" borderId="15" xfId="0" applyFont="1" applyBorder="1" applyAlignment="1">
      <alignment horizontal="centerContinuous"/>
    </xf>
    <xf numFmtId="0" fontId="0" fillId="2" borderId="16" xfId="0" applyFill="1" applyBorder="1"/>
    <xf numFmtId="0" fontId="4" fillId="0" borderId="17" xfId="0" applyFont="1" applyBorder="1" applyAlignment="1">
      <alignment horizontal="centerContinuous"/>
    </xf>
    <xf numFmtId="0" fontId="0" fillId="0" borderId="18" xfId="0" applyBorder="1"/>
    <xf numFmtId="0" fontId="0" fillId="2" borderId="21" xfId="0" applyFill="1" applyBorder="1"/>
    <xf numFmtId="0" fontId="0" fillId="2" borderId="23" xfId="0" applyFill="1" applyBorder="1"/>
    <xf numFmtId="0" fontId="0" fillId="4" borderId="21" xfId="0" applyFill="1" applyBorder="1"/>
    <xf numFmtId="0" fontId="0" fillId="4" borderId="23" xfId="0" applyFill="1" applyBorder="1"/>
    <xf numFmtId="0" fontId="4" fillId="0" borderId="24" xfId="0" applyFont="1" applyBorder="1" applyAlignment="1">
      <alignment horizontal="center" wrapText="1"/>
    </xf>
    <xf numFmtId="0" fontId="4" fillId="4" borderId="24" xfId="0" applyFont="1" applyFill="1" applyBorder="1" applyAlignment="1">
      <alignment horizontal="center" wrapText="1"/>
    </xf>
    <xf numFmtId="0" fontId="0" fillId="2" borderId="25" xfId="0" applyFill="1" applyBorder="1"/>
    <xf numFmtId="0" fontId="4" fillId="0" borderId="26" xfId="0" applyFont="1" applyBorder="1" applyAlignment="1">
      <alignment horizontal="center" wrapText="1"/>
    </xf>
    <xf numFmtId="0" fontId="0" fillId="4" borderId="28" xfId="0" applyFill="1" applyBorder="1"/>
    <xf numFmtId="0" fontId="0" fillId="4" borderId="29" xfId="0" applyFill="1" applyBorder="1"/>
    <xf numFmtId="0" fontId="0" fillId="2" borderId="28" xfId="0" applyFill="1" applyBorder="1"/>
    <xf numFmtId="164" fontId="0" fillId="0" borderId="21" xfId="0" applyNumberFormat="1" applyBorder="1"/>
    <xf numFmtId="164" fontId="0" fillId="0" borderId="23" xfId="0" applyNumberFormat="1" applyBorder="1"/>
    <xf numFmtId="0" fontId="0" fillId="0" borderId="30" xfId="0" applyBorder="1"/>
    <xf numFmtId="0" fontId="4" fillId="0" borderId="31" xfId="0" applyFont="1" applyBorder="1" applyAlignment="1">
      <alignment horizontal="centerContinuous"/>
    </xf>
    <xf numFmtId="165" fontId="4" fillId="0" borderId="12" xfId="0" applyNumberFormat="1" applyFont="1" applyBorder="1" applyAlignment="1">
      <alignment horizontal="right"/>
    </xf>
    <xf numFmtId="0" fontId="4" fillId="0" borderId="33" xfId="0" applyFont="1" applyBorder="1"/>
    <xf numFmtId="165" fontId="4" fillId="0" borderId="34" xfId="0" applyNumberFormat="1" applyFont="1" applyBorder="1" applyAlignment="1">
      <alignment horizontal="center"/>
    </xf>
    <xf numFmtId="0" fontId="4" fillId="0" borderId="3" xfId="0" applyFont="1" applyBorder="1"/>
    <xf numFmtId="0" fontId="4" fillId="0" borderId="3" xfId="0" applyFont="1" applyBorder="1" applyAlignment="1">
      <alignment horizontal="center"/>
    </xf>
    <xf numFmtId="0" fontId="4" fillId="3" borderId="10" xfId="0" applyFont="1" applyFill="1" applyBorder="1"/>
    <xf numFmtId="165" fontId="4" fillId="3" borderId="32" xfId="0" applyNumberFormat="1" applyFont="1" applyFill="1" applyBorder="1"/>
    <xf numFmtId="0" fontId="4" fillId="0" borderId="11" xfId="0" applyFont="1" applyBorder="1"/>
    <xf numFmtId="0" fontId="4" fillId="0" borderId="12" xfId="0" applyFont="1" applyBorder="1"/>
    <xf numFmtId="0" fontId="4" fillId="0" borderId="35" xfId="0" applyFont="1" applyBorder="1"/>
    <xf numFmtId="0" fontId="4" fillId="0" borderId="12" xfId="0" applyFont="1" applyBorder="1" applyAlignment="1">
      <alignment wrapText="1"/>
    </xf>
    <xf numFmtId="0" fontId="4" fillId="3" borderId="36" xfId="0" applyFont="1" applyFill="1" applyBorder="1" applyAlignment="1">
      <alignment wrapText="1"/>
    </xf>
    <xf numFmtId="165" fontId="4" fillId="3" borderId="37" xfId="0" applyNumberFormat="1" applyFont="1" applyFill="1" applyBorder="1" applyAlignment="1">
      <alignment wrapText="1"/>
    </xf>
    <xf numFmtId="165" fontId="4" fillId="0" borderId="38" xfId="0" applyNumberFormat="1" applyFont="1" applyBorder="1" applyAlignment="1">
      <alignment horizontal="center"/>
    </xf>
    <xf numFmtId="165" fontId="4" fillId="0" borderId="33" xfId="0" applyNumberFormat="1" applyFont="1" applyBorder="1" applyAlignment="1">
      <alignment horizontal="center"/>
    </xf>
    <xf numFmtId="0" fontId="1" fillId="0" borderId="11" xfId="0" applyFont="1" applyBorder="1" applyAlignment="1">
      <alignment wrapText="1"/>
    </xf>
    <xf numFmtId="165" fontId="4" fillId="3" borderId="39" xfId="0" applyNumberFormat="1" applyFont="1" applyFill="1" applyBorder="1"/>
    <xf numFmtId="165" fontId="4" fillId="0" borderId="40" xfId="0" applyNumberFormat="1" applyFont="1" applyBorder="1"/>
    <xf numFmtId="165" fontId="4" fillId="0" borderId="12" xfId="0" applyNumberFormat="1" applyFont="1" applyBorder="1"/>
    <xf numFmtId="165" fontId="4" fillId="0" borderId="11" xfId="0" applyNumberFormat="1" applyFont="1" applyBorder="1" applyAlignment="1">
      <alignment horizontal="right"/>
    </xf>
    <xf numFmtId="15" fontId="5" fillId="0" borderId="0" xfId="0" applyNumberFormat="1" applyFont="1"/>
    <xf numFmtId="165" fontId="1" fillId="0" borderId="0" xfId="0" applyNumberFormat="1" applyFont="1"/>
    <xf numFmtId="165" fontId="1" fillId="0" borderId="0" xfId="0" applyNumberFormat="1" applyFont="1" applyAlignment="1">
      <alignment horizontal="center" wrapText="1"/>
    </xf>
    <xf numFmtId="6" fontId="0" fillId="0" borderId="21" xfId="0" applyNumberFormat="1" applyBorder="1"/>
    <xf numFmtId="6" fontId="0" fillId="0" borderId="23" xfId="0" applyNumberFormat="1" applyBorder="1"/>
    <xf numFmtId="166" fontId="0" fillId="0" borderId="21" xfId="2" applyNumberFormat="1" applyFont="1" applyBorder="1"/>
    <xf numFmtId="166" fontId="0" fillId="0" borderId="21" xfId="2" applyNumberFormat="1" applyFont="1" applyFill="1" applyBorder="1"/>
    <xf numFmtId="166" fontId="0" fillId="0" borderId="23" xfId="2" applyNumberFormat="1" applyFont="1" applyBorder="1"/>
    <xf numFmtId="6" fontId="0" fillId="0" borderId="0" xfId="0" applyNumberFormat="1"/>
    <xf numFmtId="6" fontId="0" fillId="0" borderId="42" xfId="0" applyNumberFormat="1" applyBorder="1"/>
    <xf numFmtId="6" fontId="0" fillId="0" borderId="41" xfId="0" applyNumberFormat="1" applyBorder="1"/>
    <xf numFmtId="0" fontId="4" fillId="0" borderId="43" xfId="0" applyFont="1" applyBorder="1" applyAlignment="1">
      <alignment horizontal="centerContinuous"/>
    </xf>
    <xf numFmtId="0" fontId="0" fillId="0" borderId="45" xfId="0" applyBorder="1"/>
    <xf numFmtId="6" fontId="0" fillId="0" borderId="44" xfId="0" applyNumberFormat="1" applyBorder="1"/>
    <xf numFmtId="6" fontId="0" fillId="0" borderId="24" xfId="0" applyNumberFormat="1" applyBorder="1"/>
    <xf numFmtId="6" fontId="0" fillId="0" borderId="46" xfId="0" applyNumberFormat="1" applyBorder="1"/>
    <xf numFmtId="166" fontId="0" fillId="0" borderId="46" xfId="2" applyNumberFormat="1" applyFont="1" applyBorder="1"/>
    <xf numFmtId="0" fontId="0" fillId="4" borderId="24" xfId="0" applyFill="1" applyBorder="1"/>
    <xf numFmtId="0" fontId="0" fillId="4" borderId="46" xfId="0" applyFill="1" applyBorder="1"/>
    <xf numFmtId="0" fontId="0" fillId="4" borderId="0" xfId="0" applyFill="1"/>
    <xf numFmtId="0" fontId="0" fillId="2" borderId="48" xfId="0" applyFill="1" applyBorder="1"/>
    <xf numFmtId="166" fontId="0" fillId="0" borderId="49" xfId="2" applyNumberFormat="1" applyFont="1" applyBorder="1"/>
    <xf numFmtId="166" fontId="0" fillId="0" borderId="50" xfId="2" applyNumberFormat="1" applyFont="1" applyBorder="1"/>
    <xf numFmtId="0" fontId="1" fillId="0" borderId="51" xfId="0" applyFont="1" applyBorder="1" applyAlignment="1">
      <alignment horizontal="center" wrapText="1"/>
    </xf>
    <xf numFmtId="0" fontId="0" fillId="0" borderId="52" xfId="0" applyBorder="1"/>
    <xf numFmtId="0" fontId="0" fillId="0" borderId="51" xfId="0" applyBorder="1"/>
    <xf numFmtId="0" fontId="0" fillId="0" borderId="52" xfId="0" applyBorder="1" applyAlignment="1">
      <alignment wrapText="1"/>
    </xf>
    <xf numFmtId="0" fontId="0" fillId="0" borderId="51" xfId="0" applyBorder="1" applyAlignment="1">
      <alignment wrapText="1"/>
    </xf>
    <xf numFmtId="164" fontId="0" fillId="4" borderId="53" xfId="0" applyNumberFormat="1" applyFill="1" applyBorder="1" applyAlignment="1">
      <alignment horizontal="center"/>
    </xf>
    <xf numFmtId="166" fontId="0" fillId="0" borderId="26" xfId="2" applyNumberFormat="1" applyFont="1" applyBorder="1"/>
    <xf numFmtId="166" fontId="0" fillId="0" borderId="54" xfId="2" applyNumberFormat="1" applyFont="1" applyBorder="1"/>
    <xf numFmtId="0" fontId="0" fillId="2" borderId="55" xfId="0" applyFill="1" applyBorder="1"/>
    <xf numFmtId="166" fontId="0" fillId="4" borderId="56" xfId="0" applyNumberFormat="1" applyFill="1" applyBorder="1"/>
    <xf numFmtId="0" fontId="0" fillId="0" borderId="57" xfId="0" applyBorder="1"/>
    <xf numFmtId="164" fontId="0" fillId="0" borderId="46" xfId="0" applyNumberFormat="1" applyBorder="1"/>
    <xf numFmtId="166" fontId="0" fillId="0" borderId="46" xfId="2" applyNumberFormat="1" applyFont="1" applyFill="1" applyBorder="1"/>
    <xf numFmtId="0" fontId="0" fillId="2" borderId="46" xfId="0" applyFill="1" applyBorder="1"/>
    <xf numFmtId="166" fontId="0" fillId="0" borderId="50" xfId="2" applyNumberFormat="1" applyFont="1" applyFill="1" applyBorder="1"/>
    <xf numFmtId="0" fontId="0" fillId="4" borderId="53" xfId="0" applyFill="1" applyBorder="1" applyAlignment="1">
      <alignment horizontal="center"/>
    </xf>
    <xf numFmtId="164" fontId="0" fillId="4" borderId="28" xfId="0" applyNumberFormat="1" applyFill="1" applyBorder="1"/>
    <xf numFmtId="6" fontId="0" fillId="4" borderId="28" xfId="0" applyNumberFormat="1" applyFill="1" applyBorder="1"/>
    <xf numFmtId="166" fontId="0" fillId="4" borderId="28" xfId="0" applyNumberFormat="1" applyFill="1" applyBorder="1"/>
    <xf numFmtId="166" fontId="0" fillId="4" borderId="29" xfId="0" applyNumberFormat="1" applyFill="1" applyBorder="1"/>
    <xf numFmtId="0" fontId="0" fillId="4" borderId="53" xfId="0" applyFill="1" applyBorder="1" applyAlignment="1">
      <alignment horizontal="center" wrapText="1"/>
    </xf>
    <xf numFmtId="0" fontId="0" fillId="0" borderId="0" xfId="0" applyAlignment="1">
      <alignment wrapText="1"/>
    </xf>
    <xf numFmtId="0" fontId="0" fillId="0" borderId="0" xfId="0" applyAlignment="1">
      <alignment horizontal="center" wrapText="1"/>
    </xf>
    <xf numFmtId="164" fontId="0" fillId="0" borderId="0" xfId="0" applyNumberFormat="1" applyAlignment="1">
      <alignment horizontal="center" wrapText="1"/>
    </xf>
    <xf numFmtId="0" fontId="0" fillId="3" borderId="0" xfId="0" applyFill="1" applyAlignment="1">
      <alignment horizontal="center" wrapText="1"/>
    </xf>
    <xf numFmtId="164" fontId="0" fillId="3" borderId="0" xfId="0" applyNumberFormat="1" applyFill="1" applyAlignment="1">
      <alignment horizontal="center" wrapText="1"/>
    </xf>
    <xf numFmtId="165" fontId="0" fillId="3" borderId="0" xfId="0" applyNumberFormat="1" applyFill="1" applyAlignment="1">
      <alignment horizontal="center" wrapText="1"/>
    </xf>
    <xf numFmtId="0" fontId="0" fillId="3" borderId="0" xfId="0" applyFill="1" applyAlignment="1">
      <alignment horizontal="center"/>
    </xf>
    <xf numFmtId="164" fontId="0" fillId="3" borderId="0" xfId="0" applyNumberFormat="1" applyFill="1"/>
    <xf numFmtId="44" fontId="0" fillId="3" borderId="0" xfId="1" applyFont="1" applyFill="1"/>
    <xf numFmtId="44" fontId="0" fillId="3" borderId="0" xfId="0" applyNumberFormat="1" applyFill="1"/>
    <xf numFmtId="0" fontId="0" fillId="3" borderId="0" xfId="0" applyFill="1"/>
    <xf numFmtId="164" fontId="0" fillId="2" borderId="42" xfId="0" applyNumberFormat="1" applyFill="1" applyBorder="1"/>
    <xf numFmtId="0" fontId="14" fillId="0" borderId="0" xfId="0" applyFont="1"/>
    <xf numFmtId="0" fontId="12" fillId="0" borderId="0" xfId="0" applyFont="1"/>
    <xf numFmtId="164" fontId="12" fillId="0" borderId="0" xfId="0" applyNumberFormat="1" applyFont="1"/>
    <xf numFmtId="164" fontId="12" fillId="2" borderId="0" xfId="0" applyNumberFormat="1" applyFont="1" applyFill="1"/>
    <xf numFmtId="44" fontId="12" fillId="0" borderId="0" xfId="1" applyFont="1"/>
    <xf numFmtId="44" fontId="12" fillId="0" borderId="0" xfId="0" applyNumberFormat="1" applyFont="1"/>
    <xf numFmtId="6" fontId="12" fillId="0" borderId="21" xfId="0" applyNumberFormat="1" applyFont="1" applyBorder="1"/>
    <xf numFmtId="0" fontId="12" fillId="4" borderId="21" xfId="0" applyFont="1" applyFill="1" applyBorder="1"/>
    <xf numFmtId="0" fontId="15" fillId="0" borderId="0" xfId="0" applyFont="1"/>
    <xf numFmtId="0" fontId="12" fillId="0" borderId="52" xfId="0" applyFont="1" applyBorder="1"/>
    <xf numFmtId="6" fontId="12" fillId="0" borderId="42" xfId="0" applyNumberFormat="1" applyFont="1" applyBorder="1"/>
    <xf numFmtId="0" fontId="12" fillId="2" borderId="25" xfId="0" applyFont="1" applyFill="1" applyBorder="1"/>
    <xf numFmtId="0" fontId="13" fillId="0" borderId="0" xfId="0" applyFont="1"/>
    <xf numFmtId="0" fontId="4" fillId="5" borderId="12" xfId="0" applyFont="1" applyFill="1" applyBorder="1"/>
    <xf numFmtId="165" fontId="4" fillId="5" borderId="11" xfId="0" applyNumberFormat="1" applyFont="1" applyFill="1" applyBorder="1"/>
    <xf numFmtId="165" fontId="4" fillId="5" borderId="5" xfId="0" applyNumberFormat="1" applyFont="1" applyFill="1" applyBorder="1"/>
    <xf numFmtId="165" fontId="4" fillId="5" borderId="1" xfId="0" applyNumberFormat="1" applyFont="1" applyFill="1" applyBorder="1"/>
    <xf numFmtId="0" fontId="4" fillId="5" borderId="35" xfId="0" applyFont="1" applyFill="1" applyBorder="1"/>
    <xf numFmtId="165" fontId="4" fillId="5" borderId="12" xfId="0" applyNumberFormat="1" applyFont="1" applyFill="1" applyBorder="1" applyAlignment="1">
      <alignment horizontal="right"/>
    </xf>
    <xf numFmtId="165" fontId="4" fillId="5" borderId="6" xfId="0" applyNumberFormat="1" applyFont="1" applyFill="1" applyBorder="1"/>
    <xf numFmtId="165" fontId="4" fillId="5" borderId="12" xfId="0" applyNumberFormat="1" applyFont="1" applyFill="1" applyBorder="1"/>
    <xf numFmtId="0" fontId="4" fillId="5" borderId="11" xfId="0" applyFont="1" applyFill="1" applyBorder="1"/>
    <xf numFmtId="165" fontId="4" fillId="5" borderId="5" xfId="0" applyNumberFormat="1" applyFont="1" applyFill="1" applyBorder="1" applyAlignment="1">
      <alignment horizontal="center"/>
    </xf>
    <xf numFmtId="165" fontId="4" fillId="5" borderId="5" xfId="0" applyNumberFormat="1" applyFont="1" applyFill="1" applyBorder="1" applyAlignment="1">
      <alignment horizontal="right"/>
    </xf>
    <xf numFmtId="165" fontId="4" fillId="5" borderId="11" xfId="0" applyNumberFormat="1" applyFont="1" applyFill="1" applyBorder="1" applyAlignment="1">
      <alignment horizontal="right"/>
    </xf>
    <xf numFmtId="0" fontId="4" fillId="5" borderId="12" xfId="0" applyFont="1" applyFill="1" applyBorder="1" applyAlignment="1">
      <alignment wrapText="1"/>
    </xf>
    <xf numFmtId="0" fontId="1" fillId="5" borderId="12" xfId="0" applyFont="1" applyFill="1" applyBorder="1" applyAlignment="1">
      <alignment wrapText="1"/>
    </xf>
    <xf numFmtId="165" fontId="4" fillId="5" borderId="7" xfId="0" applyNumberFormat="1" applyFont="1" applyFill="1" applyBorder="1"/>
    <xf numFmtId="165" fontId="4" fillId="5" borderId="14" xfId="0" applyNumberFormat="1" applyFont="1" applyFill="1" applyBorder="1"/>
    <xf numFmtId="0" fontId="4" fillId="5" borderId="13" xfId="0" applyFont="1" applyFill="1" applyBorder="1"/>
    <xf numFmtId="0" fontId="19" fillId="0" borderId="0" xfId="0" applyFont="1"/>
    <xf numFmtId="166" fontId="0" fillId="0" borderId="49" xfId="2" applyNumberFormat="1" applyFont="1" applyFill="1" applyBorder="1"/>
    <xf numFmtId="164" fontId="12" fillId="0" borderId="21" xfId="0" applyNumberFormat="1" applyFont="1" applyBorder="1"/>
    <xf numFmtId="0" fontId="12" fillId="0" borderId="18" xfId="0" applyFont="1" applyBorder="1"/>
    <xf numFmtId="0" fontId="0" fillId="0" borderId="19" xfId="0" applyBorder="1"/>
    <xf numFmtId="165" fontId="4" fillId="0" borderId="12" xfId="0" applyNumberFormat="1" applyFont="1" applyBorder="1" applyAlignment="1">
      <alignment horizontal="center"/>
    </xf>
    <xf numFmtId="165" fontId="4" fillId="0" borderId="5" xfId="0" applyNumberFormat="1" applyFont="1" applyBorder="1" applyAlignment="1">
      <alignment horizontal="center"/>
    </xf>
    <xf numFmtId="0" fontId="22" fillId="0" borderId="44" xfId="0" applyFont="1" applyBorder="1" applyAlignment="1">
      <alignment horizontal="center" wrapText="1"/>
    </xf>
    <xf numFmtId="0" fontId="23" fillId="4" borderId="28" xfId="0" applyFont="1" applyFill="1" applyBorder="1"/>
    <xf numFmtId="164" fontId="23" fillId="0" borderId="20" xfId="0" applyNumberFormat="1" applyFont="1" applyBorder="1"/>
    <xf numFmtId="164" fontId="23" fillId="0" borderId="58" xfId="0" applyNumberFormat="1" applyFont="1" applyBorder="1"/>
    <xf numFmtId="164" fontId="23" fillId="4" borderId="28" xfId="0" applyNumberFormat="1" applyFont="1" applyFill="1" applyBorder="1"/>
    <xf numFmtId="164" fontId="23" fillId="0" borderId="22" xfId="0" applyNumberFormat="1" applyFont="1" applyBorder="1"/>
    <xf numFmtId="0" fontId="22" fillId="0" borderId="24" xfId="0" applyFont="1" applyBorder="1" applyAlignment="1">
      <alignment horizontal="center" wrapText="1"/>
    </xf>
    <xf numFmtId="164" fontId="23" fillId="0" borderId="42" xfId="0" applyNumberFormat="1" applyFont="1" applyBorder="1"/>
    <xf numFmtId="164" fontId="23" fillId="0" borderId="41" xfId="0" applyNumberFormat="1" applyFont="1" applyBorder="1"/>
    <xf numFmtId="164" fontId="23" fillId="0" borderId="47" xfId="0" applyNumberFormat="1" applyFont="1" applyBorder="1"/>
    <xf numFmtId="164" fontId="23" fillId="4" borderId="27" xfId="0" applyNumberFormat="1" applyFont="1" applyFill="1" applyBorder="1"/>
    <xf numFmtId="6" fontId="23" fillId="0" borderId="44" xfId="0" applyNumberFormat="1" applyFont="1" applyBorder="1"/>
    <xf numFmtId="6" fontId="23" fillId="0" borderId="42" xfId="0" applyNumberFormat="1" applyFont="1" applyBorder="1"/>
    <xf numFmtId="6" fontId="23" fillId="0" borderId="24" xfId="0" applyNumberFormat="1" applyFont="1" applyBorder="1"/>
    <xf numFmtId="6" fontId="23" fillId="0" borderId="21" xfId="0" applyNumberFormat="1" applyFont="1" applyBorder="1"/>
    <xf numFmtId="165" fontId="26" fillId="0" borderId="2" xfId="0" applyNumberFormat="1" applyFont="1" applyBorder="1" applyAlignment="1">
      <alignment horizontal="center"/>
    </xf>
    <xf numFmtId="165" fontId="27" fillId="0" borderId="2" xfId="0" applyNumberFormat="1" applyFont="1" applyBorder="1" applyAlignment="1">
      <alignment horizontal="center"/>
    </xf>
    <xf numFmtId="165" fontId="26" fillId="0" borderId="3" xfId="0" applyNumberFormat="1" applyFont="1" applyBorder="1" applyAlignment="1">
      <alignment horizontal="center"/>
    </xf>
    <xf numFmtId="165" fontId="27" fillId="0" borderId="0" xfId="0" applyNumberFormat="1" applyFont="1" applyAlignment="1">
      <alignment horizontal="center"/>
    </xf>
    <xf numFmtId="0" fontId="28" fillId="0" borderId="0" xfId="0" applyFont="1"/>
    <xf numFmtId="164" fontId="28" fillId="0" borderId="0" xfId="0" applyNumberFormat="1" applyFont="1"/>
    <xf numFmtId="0" fontId="0" fillId="0" borderId="59" xfId="0" applyBorder="1"/>
    <xf numFmtId="6" fontId="23" fillId="0" borderId="23" xfId="0" applyNumberFormat="1" applyFont="1" applyBorder="1"/>
    <xf numFmtId="6" fontId="0" fillId="0" borderId="60" xfId="0" applyNumberFormat="1" applyBorder="1"/>
    <xf numFmtId="0" fontId="0" fillId="2" borderId="61" xfId="0" applyFill="1" applyBorder="1"/>
    <xf numFmtId="0" fontId="13" fillId="0" borderId="12" xfId="0" applyFont="1" applyBorder="1"/>
    <xf numFmtId="165" fontId="13" fillId="0" borderId="5" xfId="0" applyNumberFormat="1" applyFont="1" applyBorder="1"/>
    <xf numFmtId="165" fontId="13" fillId="0" borderId="1" xfId="0" applyNumberFormat="1" applyFont="1" applyBorder="1"/>
    <xf numFmtId="165" fontId="13" fillId="0" borderId="11" xfId="0" applyNumberFormat="1" applyFont="1" applyBorder="1"/>
    <xf numFmtId="0" fontId="12" fillId="0" borderId="52" xfId="0" applyFont="1" applyBorder="1" applyAlignment="1">
      <alignment wrapText="1"/>
    </xf>
    <xf numFmtId="164" fontId="29" fillId="0" borderId="1" xfId="0" applyNumberFormat="1" applyFont="1" applyBorder="1" applyAlignment="1">
      <alignment horizontal="center" wrapText="1"/>
    </xf>
    <xf numFmtId="164" fontId="30" fillId="3" borderId="0" xfId="0" applyNumberFormat="1" applyFont="1" applyFill="1" applyAlignment="1">
      <alignment horizontal="center" wrapText="1"/>
    </xf>
    <xf numFmtId="164" fontId="30" fillId="0" borderId="0" xfId="0" applyNumberFormat="1" applyFont="1"/>
    <xf numFmtId="164" fontId="30" fillId="3" borderId="0" xfId="0" applyNumberFormat="1" applyFont="1" applyFill="1"/>
    <xf numFmtId="0" fontId="31" fillId="0" borderId="0" xfId="0" applyFont="1"/>
    <xf numFmtId="164" fontId="31" fillId="0" borderId="0" xfId="0" applyNumberFormat="1" applyFont="1"/>
    <xf numFmtId="0" fontId="4" fillId="6" borderId="0" xfId="0" applyFont="1" applyFill="1" applyAlignment="1">
      <alignment horizontal="center" wrapText="1"/>
    </xf>
    <xf numFmtId="164" fontId="0" fillId="6" borderId="0" xfId="0" applyNumberFormat="1" applyFill="1" applyAlignment="1">
      <alignment horizontal="center" wrapText="1"/>
    </xf>
    <xf numFmtId="164" fontId="30" fillId="6" borderId="0" xfId="0" applyNumberFormat="1" applyFont="1" applyFill="1" applyAlignment="1">
      <alignment horizontal="center" wrapText="1"/>
    </xf>
    <xf numFmtId="0" fontId="4" fillId="6" borderId="0" xfId="0" applyFont="1" applyFill="1" applyAlignment="1">
      <alignment horizontal="center"/>
    </xf>
    <xf numFmtId="164" fontId="0" fillId="6" borderId="0" xfId="0" applyNumberFormat="1" applyFill="1"/>
    <xf numFmtId="164" fontId="30" fillId="6" borderId="0" xfId="0" applyNumberFormat="1" applyFont="1" applyFill="1"/>
    <xf numFmtId="165" fontId="4" fillId="5" borderId="40" xfId="0" applyNumberFormat="1" applyFont="1" applyFill="1" applyBorder="1"/>
    <xf numFmtId="0" fontId="30" fillId="0" borderId="0" xfId="0" applyFont="1"/>
    <xf numFmtId="0" fontId="12" fillId="0" borderId="0" xfId="0" applyFont="1" applyAlignment="1">
      <alignment wrapText="1"/>
    </xf>
    <xf numFmtId="0" fontId="30" fillId="0" borderId="0" xfId="0" applyFont="1" applyAlignment="1">
      <alignment wrapText="1"/>
    </xf>
    <xf numFmtId="164" fontId="23" fillId="0" borderId="20" xfId="0" applyNumberFormat="1" applyFont="1" applyBorder="1" applyAlignment="1">
      <alignment horizontal="right"/>
    </xf>
    <xf numFmtId="6" fontId="0" fillId="0" borderId="21" xfId="0" applyNumberFormat="1" applyBorder="1" applyAlignment="1">
      <alignment horizontal="right"/>
    </xf>
    <xf numFmtId="166" fontId="0" fillId="0" borderId="21" xfId="2" applyNumberFormat="1" applyFont="1" applyBorder="1" applyAlignment="1">
      <alignment horizontal="right"/>
    </xf>
    <xf numFmtId="164" fontId="23" fillId="0" borderId="42" xfId="0" applyNumberFormat="1" applyFont="1" applyBorder="1" applyAlignment="1">
      <alignment horizontal="right"/>
    </xf>
    <xf numFmtId="166" fontId="0" fillId="0" borderId="49" xfId="2" applyNumberFormat="1" applyFont="1" applyBorder="1" applyAlignment="1">
      <alignment horizontal="right"/>
    </xf>
    <xf numFmtId="6" fontId="23" fillId="0" borderId="42" xfId="0" applyNumberFormat="1" applyFont="1" applyBorder="1" applyAlignment="1">
      <alignment horizontal="right"/>
    </xf>
    <xf numFmtId="6" fontId="0" fillId="0" borderId="0" xfId="0" applyNumberFormat="1" applyAlignment="1">
      <alignment horizontal="right"/>
    </xf>
    <xf numFmtId="6" fontId="23" fillId="0" borderId="21" xfId="0" applyNumberFormat="1" applyFont="1" applyBorder="1" applyAlignment="1">
      <alignment horizontal="right"/>
    </xf>
    <xf numFmtId="6" fontId="12" fillId="0" borderId="42" xfId="0" applyNumberFormat="1" applyFont="1" applyBorder="1" applyAlignment="1">
      <alignment horizontal="right"/>
    </xf>
    <xf numFmtId="6" fontId="12" fillId="0" borderId="0" xfId="0" applyNumberFormat="1" applyFont="1" applyAlignment="1">
      <alignment horizontal="right"/>
    </xf>
    <xf numFmtId="166" fontId="12" fillId="0" borderId="21" xfId="2" applyNumberFormat="1" applyFont="1" applyBorder="1" applyAlignment="1">
      <alignment horizontal="right"/>
    </xf>
    <xf numFmtId="6" fontId="12" fillId="0" borderId="21" xfId="0" applyNumberFormat="1" applyFont="1" applyBorder="1" applyAlignment="1">
      <alignment horizontal="right"/>
    </xf>
    <xf numFmtId="166" fontId="12" fillId="0" borderId="49" xfId="2" applyNumberFormat="1" applyFont="1" applyBorder="1" applyAlignment="1">
      <alignment horizontal="right"/>
    </xf>
    <xf numFmtId="6" fontId="30" fillId="0" borderId="21" xfId="0" applyNumberFormat="1" applyFont="1" applyBorder="1"/>
    <xf numFmtId="6" fontId="30" fillId="0" borderId="42" xfId="0" applyNumberFormat="1" applyFont="1" applyBorder="1"/>
    <xf numFmtId="0" fontId="35" fillId="0" borderId="0" xfId="3"/>
    <xf numFmtId="0" fontId="4" fillId="0" borderId="48" xfId="0" applyFont="1" applyBorder="1" applyAlignment="1">
      <alignment horizontal="center"/>
    </xf>
    <xf numFmtId="0" fontId="4" fillId="0" borderId="62" xfId="0" applyFont="1" applyBorder="1" applyAlignment="1">
      <alignment horizontal="center"/>
    </xf>
    <xf numFmtId="0" fontId="35" fillId="0" borderId="48" xfId="3" applyBorder="1" applyAlignment="1">
      <alignment horizontal="center"/>
    </xf>
    <xf numFmtId="0" fontId="36" fillId="0" borderId="0" xfId="0" applyFont="1"/>
    <xf numFmtId="0" fontId="37" fillId="0" borderId="0" xfId="3" applyFont="1"/>
    <xf numFmtId="0" fontId="38" fillId="0" borderId="0" xfId="0" applyFont="1"/>
    <xf numFmtId="0" fontId="39" fillId="0" borderId="12" xfId="0" applyFont="1" applyBorder="1" applyAlignment="1">
      <alignment wrapText="1"/>
    </xf>
    <xf numFmtId="0" fontId="4" fillId="5" borderId="11" xfId="0" applyFont="1" applyFill="1" applyBorder="1" applyAlignment="1">
      <alignment wrapText="1"/>
    </xf>
    <xf numFmtId="0" fontId="4" fillId="0" borderId="11" xfId="0" applyFont="1" applyBorder="1" applyAlignment="1">
      <alignment wrapText="1"/>
    </xf>
    <xf numFmtId="0" fontId="4" fillId="0" borderId="37" xfId="0" applyFont="1" applyBorder="1" applyAlignment="1">
      <alignment wrapText="1"/>
    </xf>
    <xf numFmtId="165" fontId="4" fillId="0" borderId="63" xfId="0" applyNumberFormat="1" applyFont="1" applyBorder="1"/>
    <xf numFmtId="165" fontId="4" fillId="0" borderId="37" xfId="0" applyNumberFormat="1" applyFont="1" applyBorder="1"/>
    <xf numFmtId="0" fontId="0" fillId="0" borderId="0" xfId="0" applyAlignment="1">
      <alignment horizontal="right"/>
    </xf>
    <xf numFmtId="44" fontId="0" fillId="0" borderId="0" xfId="1" applyFont="1" applyFill="1"/>
    <xf numFmtId="165" fontId="1" fillId="0" borderId="1" xfId="0" applyNumberFormat="1" applyFont="1" applyBorder="1" applyAlignment="1">
      <alignment horizontal="center" wrapText="1"/>
    </xf>
    <xf numFmtId="165" fontId="0" fillId="3" borderId="0" xfId="0" applyNumberFormat="1" applyFill="1"/>
    <xf numFmtId="165" fontId="12" fillId="0" borderId="0" xfId="0" applyNumberFormat="1" applyFont="1"/>
    <xf numFmtId="165" fontId="0" fillId="6" borderId="0" xfId="0" applyNumberFormat="1" applyFill="1" applyAlignment="1">
      <alignment horizontal="center" wrapText="1"/>
    </xf>
    <xf numFmtId="165" fontId="0" fillId="6" borderId="0" xfId="0" applyNumberFormat="1" applyFill="1"/>
    <xf numFmtId="165" fontId="30" fillId="0" borderId="0" xfId="0" applyNumberFormat="1" applyFont="1"/>
    <xf numFmtId="164" fontId="12" fillId="0" borderId="20" xfId="0" applyNumberFormat="1" applyFont="1" applyBorder="1" applyAlignment="1">
      <alignment horizontal="right"/>
    </xf>
    <xf numFmtId="164" fontId="12" fillId="0" borderId="42" xfId="0" applyNumberFormat="1" applyFont="1" applyBorder="1" applyAlignment="1">
      <alignment horizontal="right"/>
    </xf>
    <xf numFmtId="0" fontId="12" fillId="2" borderId="21" xfId="0" applyFont="1" applyFill="1" applyBorder="1"/>
    <xf numFmtId="6" fontId="0" fillId="0" borderId="42" xfId="0" applyNumberFormat="1" applyBorder="1" applyAlignment="1">
      <alignment horizontal="right"/>
    </xf>
    <xf numFmtId="0" fontId="0" fillId="4" borderId="21" xfId="0" applyFill="1" applyBorder="1" applyAlignment="1">
      <alignment horizontal="right"/>
    </xf>
    <xf numFmtId="166" fontId="0" fillId="0" borderId="21" xfId="2" applyNumberFormat="1" applyFont="1" applyFill="1" applyBorder="1" applyAlignment="1">
      <alignment horizontal="right"/>
    </xf>
    <xf numFmtId="6" fontId="23" fillId="0" borderId="64" xfId="0" applyNumberFormat="1" applyFont="1" applyBorder="1"/>
    <xf numFmtId="0" fontId="0" fillId="0" borderId="0" xfId="0" applyAlignment="1">
      <alignment horizontal="left" wrapText="1"/>
    </xf>
    <xf numFmtId="0" fontId="4" fillId="0" borderId="10" xfId="0" applyFont="1" applyBorder="1" applyAlignment="1">
      <alignment horizontal="center"/>
    </xf>
    <xf numFmtId="0" fontId="4" fillId="0" borderId="4" xfId="0" applyFont="1" applyBorder="1" applyAlignment="1">
      <alignment horizontal="center"/>
    </xf>
    <xf numFmtId="0" fontId="4" fillId="0" borderId="39" xfId="0" applyFont="1" applyBorder="1" applyAlignment="1">
      <alignment horizontal="center"/>
    </xf>
  </cellXfs>
  <cellStyles count="4">
    <cellStyle name="Currency" xfId="1" builtinId="4"/>
    <cellStyle name="Hyperlink" xfId="3" builtinId="8"/>
    <cellStyle name="Normal" xfId="0" builtinId="0"/>
    <cellStyle name="Percent" xfId="2" builtinId="5"/>
  </cellStyles>
  <dxfs count="0"/>
  <tableStyles count="1" defaultTableStyle="TableStyleMedium9" defaultPivotStyle="PivotStyleLight16">
    <tableStyle name="Invisible" pivot="0" table="0" count="0" xr9:uid="{C9941FEB-C9A7-40EB-BAE8-436B61E4D9DD}"/>
  </tableStyles>
  <colors>
    <mruColors>
      <color rgb="FFDD0FCE"/>
      <color rgb="FFFFCCFF"/>
      <color rgb="FF006C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nicholls.edu/catalog-2025-2026/fees_and_expenses/" TargetMode="External"/><Relationship Id="rId7" Type="http://schemas.openxmlformats.org/officeDocument/2006/relationships/hyperlink" Target="https://www.lsua.edu/fas/accounting/tuition-fees/high-cost-programs" TargetMode="External"/><Relationship Id="rId2" Type="http://schemas.openxmlformats.org/officeDocument/2006/relationships/hyperlink" Target="https://www.gram.edu/finaid/tuition/" TargetMode="External"/><Relationship Id="rId1" Type="http://schemas.openxmlformats.org/officeDocument/2006/relationships/hyperlink" Target="https://www.laregents.edu/wp-content/uploads/2025/05/High-Cost-Programs_Sept-2024.docx" TargetMode="External"/><Relationship Id="rId6" Type="http://schemas.openxmlformats.org/officeDocument/2006/relationships/hyperlink" Target="https://www.lsu.edu/bgtplan/Tuition-Fees/differential-tuition-faq.pdf" TargetMode="External"/><Relationship Id="rId5" Type="http://schemas.openxmlformats.org/officeDocument/2006/relationships/hyperlink" Target="https://louisiana.edu/studentcashier/tuition-fees/current-tuition-fees/differential-tuition" TargetMode="External"/><Relationship Id="rId4" Type="http://schemas.openxmlformats.org/officeDocument/2006/relationships/hyperlink" Target="https://www.southeastern.edu/admin/controller/tuition/high-cost-program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61"/>
  <sheetViews>
    <sheetView tabSelected="1" zoomScale="93" zoomScaleNormal="110" workbookViewId="0">
      <pane xSplit="1" ySplit="7" topLeftCell="B8" activePane="bottomRight" state="frozen"/>
      <selection pane="topRight" activeCell="B1" sqref="B1"/>
      <selection pane="bottomLeft" activeCell="A8" sqref="A8"/>
      <selection pane="bottomRight" activeCell="B8" sqref="B8"/>
    </sheetView>
  </sheetViews>
  <sheetFormatPr defaultRowHeight="14.5"/>
  <cols>
    <col min="1" max="1" width="38.1796875" customWidth="1"/>
    <col min="2" max="6" width="18.81640625" style="7" customWidth="1"/>
  </cols>
  <sheetData>
    <row r="1" spans="1:6" ht="18.5">
      <c r="A1" s="12" t="s">
        <v>203</v>
      </c>
      <c r="B1" s="13"/>
      <c r="C1" s="13"/>
      <c r="D1" s="13"/>
      <c r="E1" s="13"/>
      <c r="F1" s="13"/>
    </row>
    <row r="2" spans="1:6" s="14" customFormat="1" ht="19" thickBot="1">
      <c r="A2" s="80" t="s">
        <v>444</v>
      </c>
      <c r="B2" s="13"/>
      <c r="C2" s="13"/>
      <c r="D2" s="13"/>
      <c r="E2" s="13"/>
      <c r="F2" s="13"/>
    </row>
    <row r="3" spans="1:6">
      <c r="A3" s="61" t="s">
        <v>73</v>
      </c>
      <c r="B3" s="62" t="s">
        <v>74</v>
      </c>
      <c r="C3" s="62" t="s">
        <v>74</v>
      </c>
      <c r="D3" s="62" t="s">
        <v>74</v>
      </c>
      <c r="E3" s="62" t="s">
        <v>74</v>
      </c>
      <c r="F3" s="62" t="s">
        <v>75</v>
      </c>
    </row>
    <row r="4" spans="1:6">
      <c r="A4" s="63"/>
      <c r="B4" s="188" t="s">
        <v>76</v>
      </c>
      <c r="C4" s="189" t="s">
        <v>77</v>
      </c>
      <c r="D4" s="188" t="s">
        <v>76</v>
      </c>
      <c r="E4" s="189" t="s">
        <v>77</v>
      </c>
      <c r="F4" s="15" t="s">
        <v>78</v>
      </c>
    </row>
    <row r="5" spans="1:6" s="17" customFormat="1">
      <c r="A5" s="64"/>
      <c r="B5" s="16" t="s">
        <v>79</v>
      </c>
      <c r="C5" s="16" t="s">
        <v>79</v>
      </c>
      <c r="D5" s="16" t="s">
        <v>79</v>
      </c>
      <c r="E5" s="16" t="s">
        <v>79</v>
      </c>
      <c r="F5" s="16" t="s">
        <v>80</v>
      </c>
    </row>
    <row r="6" spans="1:6" s="17" customFormat="1">
      <c r="A6" s="64"/>
      <c r="B6" s="15" t="s">
        <v>213</v>
      </c>
      <c r="C6" s="15" t="s">
        <v>213</v>
      </c>
      <c r="D6" s="15" t="s">
        <v>214</v>
      </c>
      <c r="E6" s="15" t="s">
        <v>214</v>
      </c>
      <c r="F6" s="15" t="s">
        <v>81</v>
      </c>
    </row>
    <row r="7" spans="1:6" s="17" customFormat="1" ht="15" thickBot="1">
      <c r="A7" s="64"/>
      <c r="B7" s="15" t="s">
        <v>82</v>
      </c>
      <c r="C7" s="15" t="s">
        <v>82</v>
      </c>
      <c r="D7" s="15" t="s">
        <v>82</v>
      </c>
      <c r="E7" s="15" t="s">
        <v>82</v>
      </c>
      <c r="F7" s="15" t="s">
        <v>83</v>
      </c>
    </row>
    <row r="8" spans="1:6" ht="15" thickBot="1">
      <c r="A8" s="65" t="s">
        <v>84</v>
      </c>
      <c r="B8" s="18"/>
      <c r="C8" s="19"/>
      <c r="D8" s="19"/>
      <c r="E8" s="19"/>
      <c r="F8" s="66"/>
    </row>
    <row r="9" spans="1:6">
      <c r="A9" s="67" t="s">
        <v>85</v>
      </c>
      <c r="B9" s="20">
        <f>'Undergrad-12Hours'!P36</f>
        <v>9959</v>
      </c>
      <c r="C9" s="20">
        <f>'Undergrad-12Hours'!Q36</f>
        <v>17309</v>
      </c>
      <c r="D9" s="20">
        <f>'Undergrad-15Hours'!P36</f>
        <v>9959</v>
      </c>
      <c r="E9" s="20">
        <f>'Undergrad-15Hours'!Q36</f>
        <v>17309</v>
      </c>
      <c r="F9" s="20">
        <f>'Undergrad-12Hours'!U36</f>
        <v>4973</v>
      </c>
    </row>
    <row r="10" spans="1:6">
      <c r="A10" s="149" t="s">
        <v>86</v>
      </c>
      <c r="B10" s="151">
        <f>'Undergrad-12Hours'!P37</f>
        <v>9097</v>
      </c>
      <c r="C10" s="151">
        <f>'Undergrad-12Hours'!Q37</f>
        <v>17997</v>
      </c>
      <c r="D10" s="151">
        <f>'Undergrad-15Hours'!P37</f>
        <v>9129</v>
      </c>
      <c r="E10" s="151">
        <f>'Undergrad-15Hours'!Q37</f>
        <v>18029</v>
      </c>
      <c r="F10" s="151">
        <f>'Undergrad-12Hours'!U37</f>
        <v>4236.21</v>
      </c>
    </row>
    <row r="11" spans="1:6" ht="15" thickBot="1">
      <c r="A11" s="69" t="s">
        <v>87</v>
      </c>
      <c r="B11" s="20">
        <f>'Undergrad-12Hours'!P38</f>
        <v>4349.5</v>
      </c>
      <c r="C11" s="20">
        <f>'Undergrad-12Hours'!Q38</f>
        <v>7649.5</v>
      </c>
      <c r="D11" s="20">
        <f>'Undergrad-15Hours'!P38</f>
        <v>4379.5</v>
      </c>
      <c r="E11" s="20">
        <f>'Undergrad-15Hours'!Q38</f>
        <v>7679.5</v>
      </c>
      <c r="F11" s="20">
        <f>'Undergrad-12Hours'!U38</f>
        <v>2618</v>
      </c>
    </row>
    <row r="12" spans="1:6" ht="15" thickBot="1">
      <c r="A12" s="65" t="s">
        <v>88</v>
      </c>
      <c r="B12" s="19"/>
      <c r="C12" s="19"/>
      <c r="D12" s="19"/>
      <c r="E12" s="19"/>
      <c r="F12" s="66"/>
    </row>
    <row r="13" spans="1:6">
      <c r="A13" s="67" t="s">
        <v>12</v>
      </c>
      <c r="B13" s="20">
        <f>'Undergrad-12Hours'!P6</f>
        <v>7771.7399999999989</v>
      </c>
      <c r="C13" s="20">
        <f>'Undergrad-12Hours'!Q6</f>
        <v>16794.739999999998</v>
      </c>
      <c r="D13" s="20">
        <f>'Undergrad-15Hours'!P6</f>
        <v>7771.7399999999989</v>
      </c>
      <c r="E13" s="20">
        <f>'Undergrad-15Hours'!Q6</f>
        <v>16794.739999999998</v>
      </c>
      <c r="F13" s="20">
        <f>'Undergrad-12Hours'!U6</f>
        <v>5139.75</v>
      </c>
    </row>
    <row r="14" spans="1:6" ht="16.5">
      <c r="A14" s="157" t="s">
        <v>220</v>
      </c>
      <c r="B14" s="151">
        <f>'Undergrad-12Hours'!P7</f>
        <v>7951.7399999999989</v>
      </c>
      <c r="C14" s="151">
        <f>'Undergrad-12Hours'!Q7</f>
        <v>16974.739999999998</v>
      </c>
      <c r="D14" s="151">
        <f>'Undergrad-15Hours'!P7</f>
        <v>7951.7399999999989</v>
      </c>
      <c r="E14" s="151">
        <f>'Undergrad-15Hours'!Q7</f>
        <v>16974.739999999998</v>
      </c>
      <c r="F14" s="151">
        <f>'Undergrad-12Hours'!U7</f>
        <v>5139.75</v>
      </c>
    </row>
    <row r="15" spans="1:6" ht="16.5">
      <c r="A15" s="68" t="s">
        <v>132</v>
      </c>
      <c r="B15" s="20">
        <f>'Undergrad-12Hours'!P8</f>
        <v>10733.5</v>
      </c>
      <c r="C15" s="20">
        <f>'Undergrad-12Hours'!Q8</f>
        <v>17474.5</v>
      </c>
      <c r="D15" s="20">
        <f>'Undergrad-15Hours'!P8</f>
        <v>11399.5</v>
      </c>
      <c r="E15" s="20">
        <f>'Undergrad-15Hours'!Q8</f>
        <v>20312.5</v>
      </c>
      <c r="F15" s="20">
        <f>'Undergrad-12Hours'!U8</f>
        <v>5553</v>
      </c>
    </row>
    <row r="16" spans="1:6">
      <c r="A16" s="149" t="s">
        <v>14</v>
      </c>
      <c r="B16" s="151">
        <f>'Undergrad-12Hours'!P9</f>
        <v>9040.17</v>
      </c>
      <c r="C16" s="151">
        <f>'Undergrad-12Hours'!Q9</f>
        <v>11040.17</v>
      </c>
      <c r="D16" s="151">
        <f>'Undergrad-15Hours'!P9</f>
        <v>9450.5800000000017</v>
      </c>
      <c r="E16" s="151">
        <f>'Undergrad-15Hours'!Q9</f>
        <v>11450.580000000002</v>
      </c>
      <c r="F16" s="151">
        <f>'Undergrad-12Hours'!U9</f>
        <v>5147.34</v>
      </c>
    </row>
    <row r="17" spans="1:6">
      <c r="A17" s="68" t="s">
        <v>15</v>
      </c>
      <c r="B17" s="20">
        <f>'Undergrad-12Hours'!P10</f>
        <v>8741.14</v>
      </c>
      <c r="C17" s="20">
        <f>'Undergrad-12Hours'!Q10</f>
        <v>9834.34</v>
      </c>
      <c r="D17" s="20">
        <f>'Undergrad-15Hours'!P10</f>
        <v>8810.14</v>
      </c>
      <c r="E17" s="20">
        <f>'Undergrad-15Hours'!Q10</f>
        <v>9903.34</v>
      </c>
      <c r="F17" s="20">
        <f>'Undergrad-12Hours'!U10</f>
        <v>4922.28</v>
      </c>
    </row>
    <row r="18" spans="1:6" ht="16.5">
      <c r="A18" s="149" t="s">
        <v>221</v>
      </c>
      <c r="B18" s="151">
        <f>'Undergrad-12Hours'!P11</f>
        <v>8903.3799999999992</v>
      </c>
      <c r="C18" s="151">
        <f>'Undergrad-12Hours'!Q11</f>
        <v>9996.58</v>
      </c>
      <c r="D18" s="151">
        <f>'Undergrad-15Hours'!P11</f>
        <v>8972.3799999999992</v>
      </c>
      <c r="E18" s="151">
        <f>'Undergrad-15Hours'!Q11</f>
        <v>10065.58</v>
      </c>
      <c r="F18" s="151">
        <f>'Undergrad-12Hours'!U11</f>
        <v>4922.28</v>
      </c>
    </row>
    <row r="19" spans="1:6">
      <c r="A19" s="68" t="s">
        <v>16</v>
      </c>
      <c r="B19" s="20">
        <f>'Undergrad-12Hours'!P12</f>
        <v>9370</v>
      </c>
      <c r="C19" s="20">
        <f>'Undergrad-12Hours'!Q12</f>
        <v>20158</v>
      </c>
      <c r="D19" s="20">
        <f>'Undergrad-15Hours'!P12</f>
        <v>9634</v>
      </c>
      <c r="E19" s="20">
        <f>'Undergrad-15Hours'!Q12</f>
        <v>20422</v>
      </c>
      <c r="F19" s="20">
        <f>'Undergrad-12Hours'!U12</f>
        <v>5180</v>
      </c>
    </row>
    <row r="20" spans="1:6">
      <c r="A20" s="149" t="s">
        <v>89</v>
      </c>
      <c r="B20" s="151">
        <f>'Undergrad-12Hours'!P13</f>
        <v>9043</v>
      </c>
      <c r="C20" s="151">
        <f>'Undergrad-12Hours'!Q13</f>
        <v>21521</v>
      </c>
      <c r="D20" s="151">
        <f>'Undergrad-15Hours'!P13</f>
        <v>9229</v>
      </c>
      <c r="E20" s="151">
        <f>'Undergrad-15Hours'!Q13</f>
        <v>21707</v>
      </c>
      <c r="F20" s="151">
        <f>'Undergrad-12Hours'!U13</f>
        <v>5652</v>
      </c>
    </row>
    <row r="21" spans="1:6" ht="16.5">
      <c r="A21" s="149" t="s">
        <v>222</v>
      </c>
      <c r="B21" s="151">
        <f>'Undergrad-12Hours'!P14</f>
        <v>9203</v>
      </c>
      <c r="C21" s="151">
        <f>'Undergrad-12Hours'!Q14</f>
        <v>21681</v>
      </c>
      <c r="D21" s="151">
        <f>'Undergrad-15Hours'!P14</f>
        <v>9389</v>
      </c>
      <c r="E21" s="151">
        <f>'Undergrad-15Hours'!Q14</f>
        <v>21867</v>
      </c>
      <c r="F21" s="151">
        <f>'Undergrad-12Hours'!U14</f>
        <v>5652</v>
      </c>
    </row>
    <row r="22" spans="1:6">
      <c r="A22" s="68" t="s">
        <v>90</v>
      </c>
      <c r="B22" s="20">
        <f>'Undergrad-12Hours'!P15</f>
        <v>11147.039999999999</v>
      </c>
      <c r="C22" s="20">
        <f>'Undergrad-12Hours'!Q15</f>
        <v>24875.040000000001</v>
      </c>
      <c r="D22" s="20">
        <f>'Undergrad-15Hours'!P15</f>
        <v>12085.04</v>
      </c>
      <c r="E22" s="20">
        <f>'Undergrad-15Hours'!Q15</f>
        <v>25813.040000000001</v>
      </c>
      <c r="F22" s="20">
        <f>'Undergrad-12Hours'!U15</f>
        <v>5406.96</v>
      </c>
    </row>
    <row r="23" spans="1:6" ht="16.5">
      <c r="A23" s="149" t="s">
        <v>223</v>
      </c>
      <c r="B23" s="151">
        <f>'Undergrad-12Hours'!P16</f>
        <v>11460.039999999999</v>
      </c>
      <c r="C23" s="151">
        <f>'Undergrad-12Hours'!Q16</f>
        <v>25188.04</v>
      </c>
      <c r="D23" s="151">
        <f>'Undergrad-15Hours'!P16</f>
        <v>12398</v>
      </c>
      <c r="E23" s="151">
        <f>'Undergrad-15Hours'!Q16</f>
        <v>26126</v>
      </c>
      <c r="F23" s="151">
        <f>'Undergrad-12Hours'!U16</f>
        <v>5406.96</v>
      </c>
    </row>
    <row r="24" spans="1:6">
      <c r="A24" s="68" t="s">
        <v>91</v>
      </c>
      <c r="B24" s="20">
        <f>'Undergrad-12Hours'!P17</f>
        <v>10065</v>
      </c>
      <c r="C24" s="20">
        <f>'Undergrad-12Hours'!Q17</f>
        <v>22165</v>
      </c>
      <c r="D24" s="20">
        <f>'Undergrad-15Hours'!P17</f>
        <v>10485</v>
      </c>
      <c r="E24" s="20">
        <f>'Undergrad-15Hours'!Q17</f>
        <v>22585</v>
      </c>
      <c r="F24" s="20">
        <f>'Undergrad-12Hours'!U17</f>
        <v>5788</v>
      </c>
    </row>
    <row r="25" spans="1:6" s="14" customFormat="1" ht="15" thickBot="1">
      <c r="A25" s="149" t="s">
        <v>92</v>
      </c>
      <c r="B25" s="151">
        <f>'Undergrad-12Hours'!P18</f>
        <v>9472</v>
      </c>
      <c r="C25" s="151">
        <f>'Undergrad-12Hours'!Q18</f>
        <v>14308</v>
      </c>
      <c r="D25" s="151">
        <f>'Undergrad-15Hours'!P18</f>
        <v>9829</v>
      </c>
      <c r="E25" s="151">
        <f>'Undergrad-15Hours'!Q18</f>
        <v>14665</v>
      </c>
      <c r="F25" s="151">
        <f>'Undergrad-12Hours'!U18</f>
        <v>6090.38</v>
      </c>
    </row>
    <row r="26" spans="1:6" ht="15" thickBot="1">
      <c r="A26" s="65" t="s">
        <v>93</v>
      </c>
      <c r="B26" s="19"/>
      <c r="C26" s="19"/>
      <c r="D26" s="19"/>
      <c r="E26" s="19"/>
      <c r="F26" s="66"/>
    </row>
    <row r="27" spans="1:6" s="14" customFormat="1">
      <c r="A27" s="157" t="s">
        <v>94</v>
      </c>
      <c r="B27" s="151">
        <f>'Undergrad-12Hours'!P24</f>
        <v>6928.8399999999992</v>
      </c>
      <c r="C27" s="151">
        <f>'Undergrad-12Hours'!Q24</f>
        <v>14194.84</v>
      </c>
      <c r="D27" s="151">
        <f>'Undergrad-15Hours'!P24</f>
        <v>6974.2</v>
      </c>
      <c r="E27" s="151">
        <f>'Undergrad-15Hours'!Q24</f>
        <v>14239.96</v>
      </c>
      <c r="F27" s="151">
        <f>'Undergrad-12Hours'!U24</f>
        <v>4894.25</v>
      </c>
    </row>
    <row r="28" spans="1:6" s="14" customFormat="1" ht="16.5">
      <c r="A28" s="67" t="s">
        <v>224</v>
      </c>
      <c r="B28" s="20">
        <f>'Undergrad-12Hours'!P25</f>
        <v>7222.6</v>
      </c>
      <c r="C28" s="20">
        <f>'Undergrad-12Hours'!Q25</f>
        <v>14851.720000000001</v>
      </c>
      <c r="D28" s="20">
        <f>'Undergrad-15Hours'!P25</f>
        <v>7267.9600000000009</v>
      </c>
      <c r="E28" s="20">
        <f>'Undergrad-15Hours'!Q25</f>
        <v>14897.080000000002</v>
      </c>
      <c r="F28" s="20">
        <f>'Undergrad-12Hours'!U25</f>
        <v>4894.25</v>
      </c>
    </row>
    <row r="29" spans="1:6" s="14" customFormat="1">
      <c r="A29" s="149" t="s">
        <v>217</v>
      </c>
      <c r="B29" s="155">
        <f>'Undergrad-12Hours'!P20</f>
        <v>12183.599999999999</v>
      </c>
      <c r="C29" s="155">
        <f>'Undergrad-12Hours'!Q20</f>
        <v>28859.599999999999</v>
      </c>
      <c r="D29" s="155">
        <f>'Undergrad-15Hours'!P20</f>
        <v>12310.999999999998</v>
      </c>
      <c r="E29" s="155">
        <f>'Undergrad-15Hours'!Q20</f>
        <v>28988</v>
      </c>
      <c r="F29" s="155">
        <f>'Undergrad-12Hours'!U20</f>
        <v>7462.98</v>
      </c>
    </row>
    <row r="30" spans="1:6" s="14" customFormat="1">
      <c r="A30" s="68" t="s">
        <v>218</v>
      </c>
      <c r="B30" s="21">
        <f>'Undergrad-12Hours'!P21</f>
        <v>12375.599999999999</v>
      </c>
      <c r="C30" s="21">
        <f>'Undergrad-12Hours'!Q21</f>
        <v>29051.599999999999</v>
      </c>
      <c r="D30" s="21">
        <f>'Undergrad-15Hours'!P21</f>
        <v>12550.999999999998</v>
      </c>
      <c r="E30" s="21">
        <f>'Undergrad-15Hours'!Q21</f>
        <v>29228</v>
      </c>
      <c r="F30" s="21">
        <f>'Undergrad-12Hours'!S21</f>
        <v>7462.98</v>
      </c>
    </row>
    <row r="31" spans="1:6" s="14" customFormat="1" ht="16.5">
      <c r="A31" s="149" t="s">
        <v>225</v>
      </c>
      <c r="B31" s="155">
        <f>'Undergrad-12Hours'!P22</f>
        <v>12375.6</v>
      </c>
      <c r="C31" s="155">
        <f>'Undergrad-12Hours'!Q22</f>
        <v>29051.599999999999</v>
      </c>
      <c r="D31" s="155">
        <f>'Undergrad-15Hours'!P22</f>
        <v>12551</v>
      </c>
      <c r="E31" s="155">
        <f>'Undergrad-15Hours'!Q22</f>
        <v>29228</v>
      </c>
      <c r="F31" s="155">
        <f>'Undergrad-12Hours'!S22</f>
        <v>7462.98</v>
      </c>
    </row>
    <row r="32" spans="1:6" s="14" customFormat="1">
      <c r="A32" s="68" t="s">
        <v>95</v>
      </c>
      <c r="B32" s="21">
        <f>'Undergrad-12Hours'!P26</f>
        <v>4802.4799999999996</v>
      </c>
      <c r="C32" s="21">
        <f>'Undergrad-12Hours'!Q26</f>
        <v>10166.48</v>
      </c>
      <c r="D32" s="21">
        <f>'Undergrad-15Hours'!P26</f>
        <v>4867.6399999999994</v>
      </c>
      <c r="E32" s="21">
        <f>'Undergrad-15Hours'!Q26</f>
        <v>10231.64</v>
      </c>
      <c r="F32" s="21">
        <f>'Undergrad-12Hours'!U26</f>
        <v>2710.64</v>
      </c>
    </row>
    <row r="33" spans="1:7" s="14" customFormat="1" ht="16.5">
      <c r="A33" s="157" t="s">
        <v>229</v>
      </c>
      <c r="B33" s="151">
        <f>'Undergrad-12Hours'!P27</f>
        <v>4945.4799999999996</v>
      </c>
      <c r="C33" s="151">
        <f>'Undergrad-12Hours'!Q27</f>
        <v>10309.48</v>
      </c>
      <c r="D33" s="151">
        <f>'Undergrad-15Hours'!P27</f>
        <v>5011.04</v>
      </c>
      <c r="E33" s="151">
        <f>'Undergrad-15Hours'!Q27</f>
        <v>10375.040000000001</v>
      </c>
      <c r="F33" s="151">
        <f>'Undergrad-12Hours'!U27</f>
        <v>2710.64</v>
      </c>
    </row>
    <row r="34" spans="1:7" s="14" customFormat="1">
      <c r="A34" s="67" t="s">
        <v>96</v>
      </c>
      <c r="B34" s="20">
        <f>'Undergrad-12Hours'!P23</f>
        <v>7423.0399999999991</v>
      </c>
      <c r="C34" s="20">
        <f>'Undergrad-12Hours'!Q23</f>
        <v>20577.199999999997</v>
      </c>
      <c r="D34" s="20">
        <f>'Undergrad-15Hours'!P23</f>
        <v>7645.0399999999991</v>
      </c>
      <c r="E34" s="20">
        <f>'Undergrad-15Hours'!Q23</f>
        <v>20799.199999999997</v>
      </c>
      <c r="F34" s="20">
        <f>'Undergrad-12Hours'!U23</f>
        <v>5372.4</v>
      </c>
    </row>
    <row r="35" spans="1:7" s="14" customFormat="1" ht="29">
      <c r="A35" s="161" t="s">
        <v>97</v>
      </c>
      <c r="B35" s="155">
        <f>'Undergrad-12Hours'!P28</f>
        <v>9032.5499999999993</v>
      </c>
      <c r="C35" s="155">
        <f>'Undergrad-12Hours'!Q28</f>
        <v>18628.55</v>
      </c>
      <c r="D35" s="155">
        <f>'Undergrad-15Hours'!P28</f>
        <v>9032.5499999999993</v>
      </c>
      <c r="E35" s="155">
        <f>'Undergrad-15Hours'!Q28</f>
        <v>18628.55</v>
      </c>
      <c r="F35" s="155">
        <f>'Undergrad-12Hours'!U28</f>
        <v>7673.2</v>
      </c>
    </row>
    <row r="36" spans="1:7" s="14" customFormat="1" ht="29">
      <c r="A36" s="70" t="s">
        <v>427</v>
      </c>
      <c r="B36" s="21">
        <f>'Undergrad-12Hours'!P31</f>
        <v>10345</v>
      </c>
      <c r="C36" s="21">
        <f>'Undergrad-12Hours'!Q31</f>
        <v>16323</v>
      </c>
      <c r="D36" s="21">
        <f>'Undergrad-15Hours'!P31</f>
        <v>10345</v>
      </c>
      <c r="E36" s="21">
        <f>'Undergrad-15Hours'!Q31</f>
        <v>16323</v>
      </c>
      <c r="F36" s="21">
        <f>'Undergrad-12Hours'!U31</f>
        <v>5517</v>
      </c>
    </row>
    <row r="37" spans="1:7" s="14" customFormat="1" ht="29">
      <c r="A37" s="161" t="s">
        <v>98</v>
      </c>
      <c r="B37" s="155">
        <f>'Undergrad-12Hours'!P32</f>
        <v>6309.49</v>
      </c>
      <c r="C37" s="155">
        <f>'Undergrad-12Hours'!Q32</f>
        <v>11834.89</v>
      </c>
      <c r="D37" s="155">
        <f>'Undergrad-15Hours'!P32</f>
        <v>6309.49</v>
      </c>
      <c r="E37" s="155">
        <f>'Undergrad-15Hours'!Q32</f>
        <v>11834.89</v>
      </c>
      <c r="F37" s="155">
        <f>'Undergrad-12Hours'!U32</f>
        <v>4987.2000000000007</v>
      </c>
    </row>
    <row r="38" spans="1:7" s="14" customFormat="1" ht="29">
      <c r="A38" s="70" t="s">
        <v>156</v>
      </c>
      <c r="B38" s="21">
        <f>'Undergrad-12Hours'!P33</f>
        <v>9120</v>
      </c>
      <c r="C38" s="21">
        <f>'Undergrad-12Hours'!Q33</f>
        <v>9120</v>
      </c>
      <c r="D38" s="21">
        <f>'Undergrad-15Hours'!P33</f>
        <v>11400</v>
      </c>
      <c r="E38" s="21">
        <f>'Undergrad-15Hours'!Q33</f>
        <v>11400</v>
      </c>
      <c r="F38" s="21">
        <f>'Undergrad-12Hours'!U33</f>
        <v>8858</v>
      </c>
    </row>
    <row r="39" spans="1:7" s="14" customFormat="1" ht="29">
      <c r="A39" s="161" t="s">
        <v>99</v>
      </c>
      <c r="B39" s="155">
        <f>'Undergrad-12Hours'!P29</f>
        <v>8999.2999999999993</v>
      </c>
      <c r="C39" s="155">
        <f>'Undergrad-12Hours'!Q29</f>
        <v>15781.56</v>
      </c>
      <c r="D39" s="155">
        <f>'Undergrad-15Hours'!P29</f>
        <v>9029.2999999999993</v>
      </c>
      <c r="E39" s="155">
        <f>'Undergrad-15Hours'!Q29</f>
        <v>15811.56</v>
      </c>
      <c r="F39" s="155">
        <f>'Undergrad-12Hours'!U29</f>
        <v>5611.5</v>
      </c>
    </row>
    <row r="40" spans="1:7" s="14" customFormat="1" ht="29">
      <c r="A40" s="70" t="s">
        <v>430</v>
      </c>
      <c r="B40" s="21">
        <f>'Undergrad-12Hours'!P30</f>
        <v>10095.449999999999</v>
      </c>
      <c r="C40" s="21">
        <f>'Undergrad-12Hours'!Q30</f>
        <v>16877.71</v>
      </c>
      <c r="D40" s="21">
        <f>'Undergrad-15Hours'!P30</f>
        <v>10125.449999999999</v>
      </c>
      <c r="E40" s="21">
        <f>'Undergrad-15Hours'!Q30</f>
        <v>16907.71</v>
      </c>
      <c r="F40" s="21">
        <f>'Undergrad-12Hours'!U30</f>
        <v>5902.3</v>
      </c>
    </row>
    <row r="41" spans="1:7" s="14" customFormat="1" ht="29">
      <c r="A41" s="161" t="s">
        <v>100</v>
      </c>
      <c r="B41" s="155">
        <f>'Undergrad-12Hours'!P34</f>
        <v>8563.27</v>
      </c>
      <c r="C41" s="155">
        <f>'Undergrad-12Hours'!Q34</f>
        <v>17695.13</v>
      </c>
      <c r="D41" s="155">
        <f>'Undergrad-15Hours'!P34</f>
        <v>8563.27</v>
      </c>
      <c r="E41" s="155">
        <f>'Undergrad-15Hours'!Q34</f>
        <v>17695.13</v>
      </c>
      <c r="F41" s="155">
        <f>'Undergrad-12Hours'!U34</f>
        <v>7182.5</v>
      </c>
    </row>
    <row r="42" spans="1:7" ht="29.5" thickBot="1">
      <c r="A42" s="71" t="s">
        <v>101</v>
      </c>
      <c r="B42" s="23"/>
      <c r="C42" s="23"/>
      <c r="D42" s="23"/>
      <c r="E42" s="23"/>
      <c r="F42" s="72"/>
    </row>
    <row r="43" spans="1:7" s="14" customFormat="1">
      <c r="A43" s="67" t="s">
        <v>102</v>
      </c>
      <c r="B43" s="20">
        <f>'Undergrad-12Hours'!P40</f>
        <v>4419.04</v>
      </c>
      <c r="C43" s="20">
        <f>'Undergrad-12Hours'!Q40</f>
        <v>4419.04</v>
      </c>
      <c r="D43" s="20">
        <f>'Undergrad-15Hours'!P40</f>
        <v>5438.8</v>
      </c>
      <c r="E43" s="20">
        <f>'Undergrad-15Hours'!Q40</f>
        <v>5438.8</v>
      </c>
      <c r="F43" s="20">
        <f>'Undergrad-12Hours'!S40</f>
        <v>3086.08</v>
      </c>
    </row>
    <row r="44" spans="1:7" s="14" customFormat="1">
      <c r="A44" s="149" t="s">
        <v>103</v>
      </c>
      <c r="B44" s="155">
        <f>'Undergrad-12Hours'!P41</f>
        <v>4483.1100000000006</v>
      </c>
      <c r="C44" s="155">
        <f>'Undergrad-12Hours'!Q41</f>
        <v>4483.1100000000006</v>
      </c>
      <c r="D44" s="155">
        <f>'Undergrad-15Hours'!P41</f>
        <v>5388.8</v>
      </c>
      <c r="E44" s="155">
        <f>'Undergrad-15Hours'!Q41</f>
        <v>5388.8</v>
      </c>
      <c r="F44" s="155">
        <f>'Undergrad-12Hours'!U41</f>
        <v>3214.15</v>
      </c>
    </row>
    <row r="45" spans="1:7" s="14" customFormat="1">
      <c r="A45" s="68" t="s">
        <v>104</v>
      </c>
      <c r="B45" s="21">
        <f>'Undergrad-12Hours'!P42</f>
        <v>4423.04</v>
      </c>
      <c r="C45" s="21">
        <f>'Undergrad-12Hours'!Q42</f>
        <v>4423.04</v>
      </c>
      <c r="D45" s="21">
        <f>'Undergrad-15Hours'!P42</f>
        <v>5328.8</v>
      </c>
      <c r="E45" s="21">
        <f>'Undergrad-15Hours'!Q42</f>
        <v>5328.8</v>
      </c>
      <c r="F45" s="21">
        <f>'Undergrad-12Hours'!U42</f>
        <v>3214.15</v>
      </c>
      <c r="G45" s="24" t="s">
        <v>44</v>
      </c>
    </row>
    <row r="46" spans="1:7" s="14" customFormat="1">
      <c r="A46" s="149" t="s">
        <v>105</v>
      </c>
      <c r="B46" s="155">
        <f>'Undergrad-12Hours'!P44</f>
        <v>4199.1100000000006</v>
      </c>
      <c r="C46" s="155">
        <f>'Undergrad-12Hours'!Q44</f>
        <v>4199.1100000000006</v>
      </c>
      <c r="D46" s="155">
        <f>'Undergrad-15Hours'!P44</f>
        <v>5105</v>
      </c>
      <c r="E46" s="155">
        <f>'Undergrad-15Hours'!Q44</f>
        <v>5105</v>
      </c>
      <c r="F46" s="155">
        <f>'Undergrad-12Hours'!S44</f>
        <v>3214.15</v>
      </c>
    </row>
    <row r="47" spans="1:7">
      <c r="A47" s="68" t="s">
        <v>106</v>
      </c>
      <c r="B47" s="21">
        <f>'Undergrad-12Hours'!P43</f>
        <v>4219.04</v>
      </c>
      <c r="C47" s="21">
        <f>'Undergrad-12Hours'!Q43</f>
        <v>4219.04</v>
      </c>
      <c r="D47" s="21">
        <f>'Undergrad-15Hours'!P43</f>
        <v>5124.8</v>
      </c>
      <c r="E47" s="21">
        <f>'Undergrad-15Hours'!Q43</f>
        <v>5124.8</v>
      </c>
      <c r="F47" s="21">
        <f>'Undergrad-12Hours'!U43</f>
        <v>3214.15</v>
      </c>
    </row>
    <row r="48" spans="1:7">
      <c r="A48" s="149" t="s">
        <v>107</v>
      </c>
      <c r="B48" s="155">
        <f>'Undergrad-12Hours'!P45</f>
        <v>4255.04</v>
      </c>
      <c r="C48" s="155">
        <f>'Undergrad-12Hours'!Q45</f>
        <v>4255.04</v>
      </c>
      <c r="D48" s="155">
        <f>'Undergrad-15Hours'!P45</f>
        <v>5178.8</v>
      </c>
      <c r="E48" s="155">
        <f>'Undergrad-15Hours'!Q45</f>
        <v>5178.8</v>
      </c>
      <c r="F48" s="155">
        <f>'Undergrad-12Hours'!U45</f>
        <v>3214.15</v>
      </c>
    </row>
    <row r="49" spans="1:7" s="14" customFormat="1">
      <c r="A49" s="68" t="s">
        <v>108</v>
      </c>
      <c r="B49" s="21">
        <f>'Undergrad-12Hours'!P47</f>
        <v>4209.1100000000006</v>
      </c>
      <c r="C49" s="21">
        <f>'Undergrad-12Hours'!Q47</f>
        <v>4209.1100000000006</v>
      </c>
      <c r="D49" s="21">
        <f>'Undergrad-15Hours'!P47</f>
        <v>5114.8</v>
      </c>
      <c r="E49" s="21">
        <f>'Undergrad-15Hours'!Q47</f>
        <v>5114.8</v>
      </c>
      <c r="F49" s="21">
        <f>'Undergrad-12Hours'!U47</f>
        <v>3214.15</v>
      </c>
    </row>
    <row r="50" spans="1:7" s="14" customFormat="1">
      <c r="A50" s="149" t="s">
        <v>109</v>
      </c>
      <c r="B50" s="155">
        <f>'Undergrad-12Hours'!P48</f>
        <v>4373.87</v>
      </c>
      <c r="C50" s="155">
        <f>'Undergrad-12Hours'!Q48</f>
        <v>4373.87</v>
      </c>
      <c r="D50" s="155">
        <f>'Undergrad-15Hours'!P48</f>
        <v>5279.8</v>
      </c>
      <c r="E50" s="155">
        <f>'Undergrad-15Hours'!Q48</f>
        <v>5279.8</v>
      </c>
      <c r="F50" s="155">
        <f>'Undergrad-12Hours'!U48</f>
        <v>3214.15</v>
      </c>
    </row>
    <row r="51" spans="1:7" s="14" customFormat="1">
      <c r="A51" s="68" t="s">
        <v>110</v>
      </c>
      <c r="B51" s="21">
        <f>'Undergrad-12Hours'!P49</f>
        <v>4334.87</v>
      </c>
      <c r="C51" s="21">
        <f>'Undergrad-12Hours'!Q49</f>
        <v>4334.87</v>
      </c>
      <c r="D51" s="21">
        <f>'Undergrad-15Hours'!P49</f>
        <v>5240.8</v>
      </c>
      <c r="E51" s="21">
        <f>'Undergrad-15Hours'!Q49</f>
        <v>5240.8</v>
      </c>
      <c r="F51" s="21">
        <f>'Undergrad-12Hours'!U49</f>
        <v>3214.15</v>
      </c>
    </row>
    <row r="52" spans="1:7" s="14" customFormat="1">
      <c r="A52" s="153" t="s">
        <v>111</v>
      </c>
      <c r="B52" s="163">
        <f>'Undergrad-12Hours'!P46</f>
        <v>4299.04</v>
      </c>
      <c r="C52" s="163">
        <f>'Undergrad-12Hours'!Q46</f>
        <v>4299.04</v>
      </c>
      <c r="D52" s="163">
        <f>'Undergrad-15Hours'!P46</f>
        <v>5204.7999999999993</v>
      </c>
      <c r="E52" s="163">
        <f>'Undergrad-15Hours'!Q46</f>
        <v>5204.7999999999993</v>
      </c>
      <c r="F52" s="155">
        <f>'Undergrad-12Hours'!U46</f>
        <v>3214.15</v>
      </c>
    </row>
    <row r="53" spans="1:7" s="14" customFormat="1">
      <c r="A53" s="69" t="s">
        <v>112</v>
      </c>
      <c r="B53" s="22">
        <f>'Undergrad-12Hours'!P50</f>
        <v>4209.04</v>
      </c>
      <c r="C53" s="22">
        <f>'Undergrad-12Hours'!Q50</f>
        <v>4209.04</v>
      </c>
      <c r="D53" s="22">
        <f>'Undergrad-15Hours'!P50</f>
        <v>5114.8</v>
      </c>
      <c r="E53" s="22">
        <f>'Undergrad-15Hours'!Q50</f>
        <v>5114.8</v>
      </c>
      <c r="F53" s="21">
        <f>'Undergrad-12Hours'!U50</f>
        <v>3214.15</v>
      </c>
    </row>
    <row r="54" spans="1:7" s="14" customFormat="1" ht="15" thickBot="1">
      <c r="A54" s="165" t="s">
        <v>131</v>
      </c>
      <c r="B54" s="164">
        <f>'Undergrad-12Hours'!P51</f>
        <v>4199.04</v>
      </c>
      <c r="C54" s="164">
        <f>'Undergrad-12Hours'!Q51</f>
        <v>4199.04</v>
      </c>
      <c r="D54" s="164">
        <f>'Undergrad-15Hours'!P51</f>
        <v>5104.8</v>
      </c>
      <c r="E54" s="164">
        <f>'Undergrad-15Hours'!Q51</f>
        <v>5104.8</v>
      </c>
      <c r="F54" s="164">
        <f>'Undergrad-12Hours'!U51</f>
        <v>3214.15</v>
      </c>
    </row>
    <row r="55" spans="1:7">
      <c r="A55" s="14"/>
      <c r="B55" s="24"/>
      <c r="C55" s="24"/>
      <c r="D55" s="24"/>
      <c r="E55" s="24"/>
      <c r="F55" s="24"/>
    </row>
    <row r="56" spans="1:7" s="28" customFormat="1" ht="9">
      <c r="A56" s="25" t="s">
        <v>133</v>
      </c>
      <c r="B56" s="26"/>
      <c r="C56" s="26"/>
      <c r="D56" s="26"/>
      <c r="E56" s="26"/>
      <c r="F56" s="27"/>
    </row>
    <row r="57" spans="1:7" s="31" customFormat="1" ht="13">
      <c r="A57" s="25" t="s">
        <v>228</v>
      </c>
      <c r="B57" s="29"/>
      <c r="C57" s="29"/>
      <c r="D57" s="29"/>
      <c r="E57" s="29"/>
      <c r="F57" s="29"/>
      <c r="G57" s="30"/>
    </row>
    <row r="58" spans="1:7">
      <c r="A58" s="239" t="s">
        <v>425</v>
      </c>
    </row>
    <row r="59" spans="1:7">
      <c r="A59" s="240"/>
    </row>
    <row r="60" spans="1:7">
      <c r="A60" s="238"/>
    </row>
    <row r="61" spans="1:7">
      <c r="A61" s="238"/>
    </row>
  </sheetData>
  <hyperlinks>
    <hyperlink ref="A58" location="'High Cost Programs'!A1" display="Click to view High Cost Programs by Institution" xr:uid="{0308AC01-8F99-41FB-A717-EDFC8F2D408B}"/>
  </hyperlinks>
  <printOptions horizontalCentered="1"/>
  <pageMargins left="0.45" right="0.45" top="0.75" bottom="0.75" header="0.3" footer="0.3"/>
  <pageSetup scale="9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D08CC-E2F2-4856-BD44-20435514A9A7}">
  <sheetPr codeName="Sheet10"/>
  <dimension ref="A1:G100"/>
  <sheetViews>
    <sheetView workbookViewId="0">
      <selection activeCell="A3" sqref="A3"/>
    </sheetView>
  </sheetViews>
  <sheetFormatPr defaultRowHeight="14.5"/>
  <cols>
    <col min="1" max="1" width="29.1796875" bestFit="1" customWidth="1"/>
    <col min="2" max="2" width="22.81640625" bestFit="1" customWidth="1"/>
    <col min="3" max="3" width="37.1796875" bestFit="1" customWidth="1"/>
    <col min="4" max="4" width="30.54296875" bestFit="1" customWidth="1"/>
    <col min="5" max="5" width="47.54296875" bestFit="1" customWidth="1"/>
    <col min="6" max="6" width="49.26953125" bestFit="1" customWidth="1"/>
    <col min="7" max="7" width="44.1796875" bestFit="1" customWidth="1"/>
  </cols>
  <sheetData>
    <row r="1" spans="1:7" ht="15.5">
      <c r="A1" s="136" t="s">
        <v>234</v>
      </c>
    </row>
    <row r="2" spans="1:7">
      <c r="A2" t="s">
        <v>423</v>
      </c>
    </row>
    <row r="3" spans="1:7">
      <c r="A3" s="234" t="s">
        <v>422</v>
      </c>
    </row>
    <row r="4" spans="1:7" ht="15" thickBot="1"/>
    <row r="5" spans="1:7" ht="15" thickBot="1">
      <c r="A5" s="263" t="s">
        <v>384</v>
      </c>
      <c r="B5" s="264"/>
      <c r="C5" s="264"/>
      <c r="D5" s="265"/>
      <c r="E5" s="263" t="s">
        <v>385</v>
      </c>
      <c r="F5" s="264"/>
      <c r="G5" s="265"/>
    </row>
    <row r="6" spans="1:7">
      <c r="A6" s="236" t="s">
        <v>12</v>
      </c>
      <c r="B6" s="236" t="s">
        <v>15</v>
      </c>
      <c r="C6" s="236" t="s">
        <v>17</v>
      </c>
      <c r="D6" s="236" t="s">
        <v>18</v>
      </c>
      <c r="E6" s="236" t="s">
        <v>235</v>
      </c>
      <c r="F6" s="236" t="s">
        <v>94</v>
      </c>
      <c r="G6" s="236" t="s">
        <v>95</v>
      </c>
    </row>
    <row r="7" spans="1:7">
      <c r="A7" s="237" t="s">
        <v>424</v>
      </c>
      <c r="B7" s="237" t="s">
        <v>424</v>
      </c>
      <c r="C7" s="237" t="s">
        <v>424</v>
      </c>
      <c r="D7" s="237" t="s">
        <v>424</v>
      </c>
      <c r="E7" s="237" t="s">
        <v>424</v>
      </c>
      <c r="F7" s="237" t="s">
        <v>424</v>
      </c>
      <c r="G7" s="235" t="s">
        <v>424</v>
      </c>
    </row>
    <row r="8" spans="1:7">
      <c r="A8" t="s">
        <v>344</v>
      </c>
      <c r="B8" t="s">
        <v>251</v>
      </c>
      <c r="C8" t="s">
        <v>386</v>
      </c>
      <c r="D8" t="s">
        <v>251</v>
      </c>
      <c r="E8" t="s">
        <v>251</v>
      </c>
      <c r="F8" t="s">
        <v>243</v>
      </c>
      <c r="G8" t="s">
        <v>367</v>
      </c>
    </row>
    <row r="9" spans="1:7">
      <c r="A9" t="s">
        <v>345</v>
      </c>
      <c r="B9" t="s">
        <v>352</v>
      </c>
      <c r="C9" t="s">
        <v>387</v>
      </c>
      <c r="D9" t="s">
        <v>408</v>
      </c>
      <c r="E9" t="s">
        <v>252</v>
      </c>
      <c r="F9" t="s">
        <v>244</v>
      </c>
      <c r="G9" t="s">
        <v>264</v>
      </c>
    </row>
    <row r="10" spans="1:7">
      <c r="A10" t="s">
        <v>346</v>
      </c>
      <c r="B10" t="s">
        <v>312</v>
      </c>
      <c r="C10" t="s">
        <v>388</v>
      </c>
      <c r="D10" t="s">
        <v>348</v>
      </c>
      <c r="E10" t="s">
        <v>253</v>
      </c>
      <c r="F10" t="s">
        <v>245</v>
      </c>
      <c r="G10" t="s">
        <v>368</v>
      </c>
    </row>
    <row r="11" spans="1:7">
      <c r="A11" t="s">
        <v>276</v>
      </c>
      <c r="B11" t="s">
        <v>353</v>
      </c>
      <c r="C11" t="s">
        <v>389</v>
      </c>
      <c r="D11" t="s">
        <v>268</v>
      </c>
      <c r="E11" t="s">
        <v>254</v>
      </c>
      <c r="F11" t="s">
        <v>246</v>
      </c>
      <c r="G11" t="s">
        <v>369</v>
      </c>
    </row>
    <row r="12" spans="1:7">
      <c r="A12" t="s">
        <v>347</v>
      </c>
      <c r="B12" t="s">
        <v>354</v>
      </c>
      <c r="C12" t="s">
        <v>390</v>
      </c>
      <c r="D12" t="s">
        <v>269</v>
      </c>
      <c r="E12" t="s">
        <v>255</v>
      </c>
      <c r="F12" t="s">
        <v>247</v>
      </c>
      <c r="G12" t="s">
        <v>370</v>
      </c>
    </row>
    <row r="13" spans="1:7">
      <c r="A13" t="s">
        <v>348</v>
      </c>
      <c r="B13" t="s">
        <v>355</v>
      </c>
      <c r="C13" t="s">
        <v>391</v>
      </c>
      <c r="D13" t="s">
        <v>270</v>
      </c>
      <c r="E13" t="s">
        <v>256</v>
      </c>
      <c r="F13" t="s">
        <v>248</v>
      </c>
      <c r="G13" t="s">
        <v>371</v>
      </c>
    </row>
    <row r="14" spans="1:7">
      <c r="A14" t="s">
        <v>269</v>
      </c>
      <c r="B14" t="s">
        <v>313</v>
      </c>
      <c r="C14" t="s">
        <v>392</v>
      </c>
      <c r="D14" t="s">
        <v>276</v>
      </c>
      <c r="E14" t="s">
        <v>257</v>
      </c>
      <c r="F14" t="s">
        <v>249</v>
      </c>
      <c r="G14" t="s">
        <v>372</v>
      </c>
    </row>
    <row r="15" spans="1:7">
      <c r="A15" t="s">
        <v>349</v>
      </c>
      <c r="B15" t="s">
        <v>356</v>
      </c>
      <c r="C15" t="s">
        <v>393</v>
      </c>
      <c r="D15" t="s">
        <v>283</v>
      </c>
      <c r="E15" t="s">
        <v>258</v>
      </c>
      <c r="F15" t="s">
        <v>250</v>
      </c>
      <c r="G15" t="s">
        <v>373</v>
      </c>
    </row>
    <row r="16" spans="1:7">
      <c r="A16" t="s">
        <v>251</v>
      </c>
      <c r="B16" t="s">
        <v>357</v>
      </c>
      <c r="C16" t="s">
        <v>394</v>
      </c>
      <c r="D16" t="s">
        <v>284</v>
      </c>
      <c r="E16" t="s">
        <v>259</v>
      </c>
      <c r="F16" t="s">
        <v>236</v>
      </c>
      <c r="G16" t="s">
        <v>374</v>
      </c>
    </row>
    <row r="17" spans="1:7">
      <c r="A17" t="s">
        <v>312</v>
      </c>
      <c r="B17" t="s">
        <v>358</v>
      </c>
      <c r="C17" t="s">
        <v>395</v>
      </c>
      <c r="D17" t="s">
        <v>409</v>
      </c>
      <c r="E17" t="s">
        <v>260</v>
      </c>
      <c r="F17" t="s">
        <v>237</v>
      </c>
      <c r="G17" t="s">
        <v>375</v>
      </c>
    </row>
    <row r="18" spans="1:7">
      <c r="A18" t="s">
        <v>313</v>
      </c>
      <c r="B18" t="s">
        <v>318</v>
      </c>
      <c r="C18" t="s">
        <v>396</v>
      </c>
      <c r="D18" t="s">
        <v>410</v>
      </c>
      <c r="E18" t="s">
        <v>261</v>
      </c>
      <c r="F18" t="s">
        <v>238</v>
      </c>
      <c r="G18" t="s">
        <v>376</v>
      </c>
    </row>
    <row r="19" spans="1:7">
      <c r="A19" t="s">
        <v>350</v>
      </c>
      <c r="B19" t="s">
        <v>359</v>
      </c>
      <c r="C19" t="s">
        <v>397</v>
      </c>
      <c r="D19" t="s">
        <v>299</v>
      </c>
      <c r="E19" t="s">
        <v>262</v>
      </c>
      <c r="F19" t="s">
        <v>239</v>
      </c>
      <c r="G19" t="s">
        <v>377</v>
      </c>
    </row>
    <row r="20" spans="1:7">
      <c r="A20" t="s">
        <v>351</v>
      </c>
      <c r="B20" t="s">
        <v>264</v>
      </c>
      <c r="C20" t="s">
        <v>398</v>
      </c>
      <c r="D20" t="s">
        <v>411</v>
      </c>
      <c r="E20" t="s">
        <v>263</v>
      </c>
      <c r="F20" t="s">
        <v>240</v>
      </c>
      <c r="G20" t="s">
        <v>378</v>
      </c>
    </row>
    <row r="21" spans="1:7">
      <c r="A21" t="s">
        <v>318</v>
      </c>
      <c r="B21" t="s">
        <v>360</v>
      </c>
      <c r="C21" t="s">
        <v>399</v>
      </c>
      <c r="D21" t="s">
        <v>412</v>
      </c>
      <c r="E21" t="s">
        <v>264</v>
      </c>
      <c r="F21" t="s">
        <v>241</v>
      </c>
      <c r="G21" t="s">
        <v>379</v>
      </c>
    </row>
    <row r="22" spans="1:7">
      <c r="B22" t="s">
        <v>345</v>
      </c>
      <c r="C22" t="s">
        <v>400</v>
      </c>
      <c r="D22" t="s">
        <v>413</v>
      </c>
      <c r="E22" t="s">
        <v>265</v>
      </c>
      <c r="F22" t="s">
        <v>242</v>
      </c>
      <c r="G22" t="s">
        <v>380</v>
      </c>
    </row>
    <row r="23" spans="1:7">
      <c r="B23" t="s">
        <v>361</v>
      </c>
      <c r="C23" t="s">
        <v>401</v>
      </c>
      <c r="D23" t="s">
        <v>414</v>
      </c>
      <c r="E23" t="s">
        <v>266</v>
      </c>
      <c r="G23" t="s">
        <v>381</v>
      </c>
    </row>
    <row r="24" spans="1:7">
      <c r="B24" t="s">
        <v>266</v>
      </c>
      <c r="C24" t="s">
        <v>402</v>
      </c>
      <c r="D24" t="s">
        <v>415</v>
      </c>
      <c r="E24" t="s">
        <v>267</v>
      </c>
      <c r="G24" t="s">
        <v>382</v>
      </c>
    </row>
    <row r="25" spans="1:7">
      <c r="B25" t="s">
        <v>299</v>
      </c>
      <c r="C25" t="s">
        <v>403</v>
      </c>
      <c r="D25" t="s">
        <v>307</v>
      </c>
      <c r="E25" t="s">
        <v>268</v>
      </c>
      <c r="G25" t="s">
        <v>383</v>
      </c>
    </row>
    <row r="26" spans="1:7">
      <c r="B26" t="s">
        <v>362</v>
      </c>
      <c r="C26" t="s">
        <v>404</v>
      </c>
      <c r="D26" t="s">
        <v>309</v>
      </c>
      <c r="E26" t="s">
        <v>269</v>
      </c>
    </row>
    <row r="27" spans="1:7">
      <c r="B27" t="s">
        <v>363</v>
      </c>
      <c r="C27" t="s">
        <v>405</v>
      </c>
      <c r="D27" t="s">
        <v>312</v>
      </c>
      <c r="E27" t="s">
        <v>270</v>
      </c>
    </row>
    <row r="28" spans="1:7">
      <c r="B28" t="s">
        <v>364</v>
      </c>
      <c r="C28" t="s">
        <v>406</v>
      </c>
      <c r="D28" t="s">
        <v>313</v>
      </c>
      <c r="E28" t="s">
        <v>271</v>
      </c>
    </row>
    <row r="29" spans="1:7">
      <c r="B29" t="s">
        <v>365</v>
      </c>
      <c r="C29" t="s">
        <v>407</v>
      </c>
      <c r="D29" t="s">
        <v>315</v>
      </c>
      <c r="E29" t="s">
        <v>272</v>
      </c>
    </row>
    <row r="30" spans="1:7">
      <c r="B30" t="s">
        <v>366</v>
      </c>
      <c r="D30" t="s">
        <v>416</v>
      </c>
      <c r="E30" t="s">
        <v>273</v>
      </c>
    </row>
    <row r="31" spans="1:7">
      <c r="D31" t="s">
        <v>318</v>
      </c>
      <c r="E31" t="s">
        <v>274</v>
      </c>
    </row>
    <row r="32" spans="1:7">
      <c r="D32" t="s">
        <v>345</v>
      </c>
      <c r="E32" t="s">
        <v>275</v>
      </c>
    </row>
    <row r="33" spans="4:5">
      <c r="D33" t="s">
        <v>417</v>
      </c>
      <c r="E33" t="s">
        <v>276</v>
      </c>
    </row>
    <row r="34" spans="4:5">
      <c r="D34" t="s">
        <v>418</v>
      </c>
      <c r="E34" t="s">
        <v>277</v>
      </c>
    </row>
    <row r="35" spans="4:5">
      <c r="D35" t="s">
        <v>325</v>
      </c>
      <c r="E35" t="s">
        <v>278</v>
      </c>
    </row>
    <row r="36" spans="4:5">
      <c r="D36" t="s">
        <v>349</v>
      </c>
      <c r="E36" t="s">
        <v>279</v>
      </c>
    </row>
    <row r="37" spans="4:5">
      <c r="D37" t="s">
        <v>419</v>
      </c>
      <c r="E37" t="s">
        <v>280</v>
      </c>
    </row>
    <row r="38" spans="4:5">
      <c r="D38" t="s">
        <v>332</v>
      </c>
      <c r="E38" t="s">
        <v>281</v>
      </c>
    </row>
    <row r="39" spans="4:5">
      <c r="D39" t="s">
        <v>420</v>
      </c>
      <c r="E39" t="s">
        <v>282</v>
      </c>
    </row>
    <row r="40" spans="4:5">
      <c r="D40" t="s">
        <v>421</v>
      </c>
      <c r="E40" t="s">
        <v>283</v>
      </c>
    </row>
    <row r="41" spans="4:5">
      <c r="D41" t="str">
        <f t="shared" ref="D41:D64" si="0">TRIM(C49)</f>
        <v/>
      </c>
      <c r="E41" t="s">
        <v>284</v>
      </c>
    </row>
    <row r="42" spans="4:5">
      <c r="D42" t="str">
        <f t="shared" si="0"/>
        <v/>
      </c>
      <c r="E42" t="s">
        <v>285</v>
      </c>
    </row>
    <row r="43" spans="4:5">
      <c r="D43" t="str">
        <f t="shared" si="0"/>
        <v/>
      </c>
      <c r="E43" t="s">
        <v>286</v>
      </c>
    </row>
    <row r="44" spans="4:5">
      <c r="D44" t="str">
        <f t="shared" si="0"/>
        <v/>
      </c>
      <c r="E44" t="s">
        <v>287</v>
      </c>
    </row>
    <row r="45" spans="4:5">
      <c r="D45" t="str">
        <f t="shared" si="0"/>
        <v/>
      </c>
      <c r="E45" t="s">
        <v>288</v>
      </c>
    </row>
    <row r="46" spans="4:5">
      <c r="D46" t="str">
        <f t="shared" si="0"/>
        <v/>
      </c>
      <c r="E46" t="s">
        <v>289</v>
      </c>
    </row>
    <row r="47" spans="4:5">
      <c r="D47" t="str">
        <f t="shared" si="0"/>
        <v/>
      </c>
      <c r="E47" t="s">
        <v>290</v>
      </c>
    </row>
    <row r="48" spans="4:5">
      <c r="D48" t="str">
        <f t="shared" si="0"/>
        <v/>
      </c>
      <c r="E48" t="s">
        <v>291</v>
      </c>
    </row>
    <row r="49" spans="4:5">
      <c r="D49" t="str">
        <f t="shared" si="0"/>
        <v/>
      </c>
      <c r="E49" t="s">
        <v>292</v>
      </c>
    </row>
    <row r="50" spans="4:5">
      <c r="D50" t="str">
        <f t="shared" si="0"/>
        <v/>
      </c>
      <c r="E50" t="s">
        <v>293</v>
      </c>
    </row>
    <row r="51" spans="4:5">
      <c r="D51" t="str">
        <f t="shared" si="0"/>
        <v/>
      </c>
      <c r="E51" t="s">
        <v>294</v>
      </c>
    </row>
    <row r="52" spans="4:5">
      <c r="D52" t="str">
        <f t="shared" si="0"/>
        <v/>
      </c>
      <c r="E52" t="s">
        <v>295</v>
      </c>
    </row>
    <row r="53" spans="4:5">
      <c r="D53" t="str">
        <f t="shared" si="0"/>
        <v/>
      </c>
      <c r="E53" t="s">
        <v>296</v>
      </c>
    </row>
    <row r="54" spans="4:5">
      <c r="D54" t="str">
        <f t="shared" si="0"/>
        <v/>
      </c>
      <c r="E54" t="s">
        <v>297</v>
      </c>
    </row>
    <row r="55" spans="4:5">
      <c r="D55" t="str">
        <f t="shared" si="0"/>
        <v/>
      </c>
      <c r="E55" t="s">
        <v>298</v>
      </c>
    </row>
    <row r="56" spans="4:5">
      <c r="D56" t="str">
        <f t="shared" si="0"/>
        <v/>
      </c>
      <c r="E56" t="s">
        <v>299</v>
      </c>
    </row>
    <row r="57" spans="4:5">
      <c r="D57" t="str">
        <f t="shared" si="0"/>
        <v/>
      </c>
      <c r="E57" t="s">
        <v>300</v>
      </c>
    </row>
    <row r="58" spans="4:5">
      <c r="D58" t="str">
        <f t="shared" si="0"/>
        <v/>
      </c>
      <c r="E58" t="s">
        <v>301</v>
      </c>
    </row>
    <row r="59" spans="4:5">
      <c r="D59" t="str">
        <f t="shared" si="0"/>
        <v/>
      </c>
      <c r="E59" t="s">
        <v>302</v>
      </c>
    </row>
    <row r="60" spans="4:5">
      <c r="D60" t="str">
        <f t="shared" si="0"/>
        <v/>
      </c>
      <c r="E60" t="s">
        <v>303</v>
      </c>
    </row>
    <row r="61" spans="4:5">
      <c r="D61" t="str">
        <f t="shared" si="0"/>
        <v/>
      </c>
      <c r="E61" t="s">
        <v>304</v>
      </c>
    </row>
    <row r="62" spans="4:5">
      <c r="D62" t="str">
        <f t="shared" si="0"/>
        <v/>
      </c>
      <c r="E62" t="s">
        <v>305</v>
      </c>
    </row>
    <row r="63" spans="4:5">
      <c r="D63" t="str">
        <f t="shared" si="0"/>
        <v/>
      </c>
      <c r="E63" t="s">
        <v>306</v>
      </c>
    </row>
    <row r="64" spans="4:5">
      <c r="D64" t="str">
        <f t="shared" si="0"/>
        <v/>
      </c>
      <c r="E64" t="s">
        <v>307</v>
      </c>
    </row>
    <row r="65" spans="4:5">
      <c r="D65" t="str">
        <f t="shared" ref="D65:D92" si="1">TRIM(C73)</f>
        <v/>
      </c>
      <c r="E65" t="s">
        <v>308</v>
      </c>
    </row>
    <row r="66" spans="4:5">
      <c r="D66" t="str">
        <f t="shared" si="1"/>
        <v/>
      </c>
      <c r="E66" t="s">
        <v>309</v>
      </c>
    </row>
    <row r="67" spans="4:5">
      <c r="D67" t="str">
        <f t="shared" si="1"/>
        <v/>
      </c>
      <c r="E67" t="s">
        <v>310</v>
      </c>
    </row>
    <row r="68" spans="4:5">
      <c r="D68" t="str">
        <f t="shared" si="1"/>
        <v/>
      </c>
      <c r="E68" t="s">
        <v>311</v>
      </c>
    </row>
    <row r="69" spans="4:5">
      <c r="D69" t="str">
        <f t="shared" si="1"/>
        <v/>
      </c>
      <c r="E69" t="s">
        <v>312</v>
      </c>
    </row>
    <row r="70" spans="4:5">
      <c r="D70" t="str">
        <f t="shared" si="1"/>
        <v/>
      </c>
      <c r="E70" t="s">
        <v>313</v>
      </c>
    </row>
    <row r="71" spans="4:5">
      <c r="D71" t="str">
        <f t="shared" si="1"/>
        <v/>
      </c>
      <c r="E71" t="s">
        <v>314</v>
      </c>
    </row>
    <row r="72" spans="4:5">
      <c r="D72" t="str">
        <f t="shared" si="1"/>
        <v/>
      </c>
      <c r="E72" t="s">
        <v>315</v>
      </c>
    </row>
    <row r="73" spans="4:5">
      <c r="D73" t="str">
        <f t="shared" si="1"/>
        <v/>
      </c>
      <c r="E73" t="s">
        <v>316</v>
      </c>
    </row>
    <row r="74" spans="4:5">
      <c r="D74" t="str">
        <f t="shared" si="1"/>
        <v/>
      </c>
      <c r="E74" t="s">
        <v>317</v>
      </c>
    </row>
    <row r="75" spans="4:5">
      <c r="D75" t="str">
        <f t="shared" si="1"/>
        <v/>
      </c>
      <c r="E75" t="s">
        <v>318</v>
      </c>
    </row>
    <row r="76" spans="4:5">
      <c r="D76" t="str">
        <f t="shared" si="1"/>
        <v/>
      </c>
      <c r="E76" t="s">
        <v>319</v>
      </c>
    </row>
    <row r="77" spans="4:5">
      <c r="D77" t="str">
        <f t="shared" si="1"/>
        <v/>
      </c>
      <c r="E77" t="s">
        <v>320</v>
      </c>
    </row>
    <row r="78" spans="4:5">
      <c r="D78" t="str">
        <f t="shared" si="1"/>
        <v/>
      </c>
      <c r="E78" t="s">
        <v>321</v>
      </c>
    </row>
    <row r="79" spans="4:5">
      <c r="D79" t="str">
        <f t="shared" si="1"/>
        <v/>
      </c>
      <c r="E79" t="s">
        <v>322</v>
      </c>
    </row>
    <row r="80" spans="4:5">
      <c r="D80" t="str">
        <f t="shared" si="1"/>
        <v/>
      </c>
      <c r="E80" t="s">
        <v>323</v>
      </c>
    </row>
    <row r="81" spans="4:5">
      <c r="D81" t="str">
        <f t="shared" si="1"/>
        <v/>
      </c>
      <c r="E81" t="s">
        <v>324</v>
      </c>
    </row>
    <row r="82" spans="4:5">
      <c r="D82" t="str">
        <f t="shared" si="1"/>
        <v/>
      </c>
      <c r="E82" t="s">
        <v>325</v>
      </c>
    </row>
    <row r="83" spans="4:5">
      <c r="D83" t="str">
        <f t="shared" si="1"/>
        <v/>
      </c>
      <c r="E83" t="s">
        <v>326</v>
      </c>
    </row>
    <row r="84" spans="4:5">
      <c r="D84" t="str">
        <f t="shared" si="1"/>
        <v/>
      </c>
      <c r="E84" t="s">
        <v>327</v>
      </c>
    </row>
    <row r="85" spans="4:5">
      <c r="D85" t="str">
        <f t="shared" si="1"/>
        <v/>
      </c>
      <c r="E85" t="s">
        <v>328</v>
      </c>
    </row>
    <row r="86" spans="4:5">
      <c r="D86" t="str">
        <f t="shared" si="1"/>
        <v/>
      </c>
      <c r="E86" t="s">
        <v>329</v>
      </c>
    </row>
    <row r="87" spans="4:5">
      <c r="D87" t="str">
        <f t="shared" si="1"/>
        <v/>
      </c>
      <c r="E87" t="s">
        <v>330</v>
      </c>
    </row>
    <row r="88" spans="4:5">
      <c r="D88" t="str">
        <f t="shared" si="1"/>
        <v/>
      </c>
      <c r="E88" t="s">
        <v>331</v>
      </c>
    </row>
    <row r="89" spans="4:5">
      <c r="D89" t="str">
        <f t="shared" si="1"/>
        <v/>
      </c>
      <c r="E89" t="s">
        <v>332</v>
      </c>
    </row>
    <row r="90" spans="4:5">
      <c r="D90" t="str">
        <f t="shared" si="1"/>
        <v/>
      </c>
      <c r="E90" t="s">
        <v>333</v>
      </c>
    </row>
    <row r="91" spans="4:5">
      <c r="D91" t="str">
        <f t="shared" si="1"/>
        <v/>
      </c>
      <c r="E91" t="s">
        <v>334</v>
      </c>
    </row>
    <row r="92" spans="4:5">
      <c r="D92" t="str">
        <f t="shared" si="1"/>
        <v/>
      </c>
      <c r="E92" t="s">
        <v>335</v>
      </c>
    </row>
    <row r="93" spans="4:5">
      <c r="E93" t="s">
        <v>336</v>
      </c>
    </row>
    <row r="94" spans="4:5">
      <c r="E94" t="s">
        <v>337</v>
      </c>
    </row>
    <row r="95" spans="4:5">
      <c r="E95" t="s">
        <v>338</v>
      </c>
    </row>
    <row r="96" spans="4:5">
      <c r="E96" t="s">
        <v>339</v>
      </c>
    </row>
    <row r="97" spans="5:5">
      <c r="E97" t="s">
        <v>340</v>
      </c>
    </row>
    <row r="98" spans="5:5">
      <c r="E98" t="s">
        <v>341</v>
      </c>
    </row>
    <row r="99" spans="5:5">
      <c r="E99" t="s">
        <v>342</v>
      </c>
    </row>
    <row r="100" spans="5:5">
      <c r="E100" t="s">
        <v>343</v>
      </c>
    </row>
  </sheetData>
  <mergeCells count="2">
    <mergeCell ref="A5:D5"/>
    <mergeCell ref="E5:G5"/>
  </mergeCells>
  <hyperlinks>
    <hyperlink ref="A3" r:id="rId1" xr:uid="{87E98E18-FEA4-4AEE-97AE-05605F0B1417}"/>
    <hyperlink ref="A7" r:id="rId2" xr:uid="{42D008BC-43AC-431B-87FD-46B04D082A86}"/>
    <hyperlink ref="B7" r:id="rId3" xr:uid="{D0D25482-9FA8-44D9-AD81-3FAEA1E176E4}"/>
    <hyperlink ref="C7" r:id="rId4" xr:uid="{B6FBF098-833C-4BCC-91CC-DE4FE2D85BFD}"/>
    <hyperlink ref="D7" r:id="rId5" xr:uid="{DA3DAA28-9534-40F1-B74A-A347B771D13E}"/>
    <hyperlink ref="E7" r:id="rId6" xr:uid="{22C4EC98-33F7-403C-80AC-1FAAA5F82FCE}"/>
    <hyperlink ref="F7" r:id="rId7" xr:uid="{CAE8C19F-606A-4AC7-9384-E34D3D2C805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M65"/>
  <sheetViews>
    <sheetView view="pageBreakPreview" zoomScaleNormal="100" zoomScaleSheetLayoutView="100" workbookViewId="0">
      <pane xSplit="1" ySplit="7" topLeftCell="B8" activePane="bottomRight" state="frozen"/>
      <selection activeCell="I8" sqref="I8"/>
      <selection pane="topRight" activeCell="I8" sqref="I8"/>
      <selection pane="bottomLeft" activeCell="I8" sqref="I8"/>
      <selection pane="bottomRight" activeCell="A2" sqref="A2"/>
    </sheetView>
  </sheetViews>
  <sheetFormatPr defaultColWidth="9.1796875" defaultRowHeight="14.5"/>
  <cols>
    <col min="1" max="1" width="45.81640625" style="14" customWidth="1"/>
    <col min="2" max="5" width="19.81640625" style="24" customWidth="1"/>
    <col min="6" max="7" width="19.81640625" style="14" customWidth="1"/>
    <col min="8" max="16384" width="9.1796875" style="14"/>
  </cols>
  <sheetData>
    <row r="1" spans="1:7" ht="18.5">
      <c r="A1" s="12" t="s">
        <v>232</v>
      </c>
      <c r="B1" s="13"/>
      <c r="C1" s="13"/>
      <c r="D1" s="13"/>
      <c r="E1" s="13"/>
    </row>
    <row r="2" spans="1:7" ht="19" thickBot="1">
      <c r="A2" s="12" t="s">
        <v>444</v>
      </c>
      <c r="B2" s="13"/>
      <c r="C2" s="13"/>
      <c r="D2" s="13"/>
      <c r="E2" s="13"/>
    </row>
    <row r="3" spans="1:7">
      <c r="A3" s="61" t="s">
        <v>113</v>
      </c>
      <c r="B3" s="62" t="s">
        <v>74</v>
      </c>
      <c r="C3" s="62" t="s">
        <v>74</v>
      </c>
      <c r="D3" s="62" t="s">
        <v>74</v>
      </c>
      <c r="E3" s="73" t="s">
        <v>74</v>
      </c>
      <c r="F3" s="74" t="s">
        <v>74</v>
      </c>
      <c r="G3" s="62" t="s">
        <v>74</v>
      </c>
    </row>
    <row r="4" spans="1:7">
      <c r="A4" s="63"/>
      <c r="B4" s="188" t="s">
        <v>76</v>
      </c>
      <c r="C4" s="189" t="s">
        <v>77</v>
      </c>
      <c r="D4" s="188" t="s">
        <v>76</v>
      </c>
      <c r="E4" s="191" t="s">
        <v>77</v>
      </c>
      <c r="F4" s="190" t="s">
        <v>76</v>
      </c>
      <c r="G4" s="189" t="s">
        <v>77</v>
      </c>
    </row>
    <row r="5" spans="1:7" s="17" customFormat="1">
      <c r="A5" s="64"/>
      <c r="B5" s="16" t="s">
        <v>79</v>
      </c>
      <c r="C5" s="16" t="s">
        <v>79</v>
      </c>
      <c r="D5" s="16" t="s">
        <v>79</v>
      </c>
      <c r="E5" s="33" t="s">
        <v>79</v>
      </c>
      <c r="F5" s="16" t="s">
        <v>79</v>
      </c>
      <c r="G5" s="16" t="s">
        <v>79</v>
      </c>
    </row>
    <row r="6" spans="1:7" s="17" customFormat="1">
      <c r="A6" s="64"/>
      <c r="B6" s="15" t="s">
        <v>215</v>
      </c>
      <c r="C6" s="15" t="s">
        <v>215</v>
      </c>
      <c r="D6" s="15" t="s">
        <v>216</v>
      </c>
      <c r="E6" s="32" t="s">
        <v>216</v>
      </c>
      <c r="F6" s="16" t="s">
        <v>213</v>
      </c>
      <c r="G6" s="15" t="s">
        <v>213</v>
      </c>
    </row>
    <row r="7" spans="1:7" s="17" customFormat="1" ht="15" thickBot="1">
      <c r="A7" s="64"/>
      <c r="B7" s="15" t="s">
        <v>82</v>
      </c>
      <c r="C7" s="15" t="s">
        <v>82</v>
      </c>
      <c r="D7" s="15" t="s">
        <v>82</v>
      </c>
      <c r="E7" s="32" t="s">
        <v>82</v>
      </c>
      <c r="F7" s="16" t="s">
        <v>82</v>
      </c>
      <c r="G7" s="15" t="s">
        <v>82</v>
      </c>
    </row>
    <row r="8" spans="1:7" ht="15" thickBot="1">
      <c r="A8" s="65" t="s">
        <v>84</v>
      </c>
      <c r="B8" s="18"/>
      <c r="C8" s="19"/>
      <c r="D8" s="34"/>
      <c r="E8" s="19"/>
      <c r="F8" s="34"/>
      <c r="G8" s="76"/>
    </row>
    <row r="9" spans="1:7">
      <c r="A9" s="67" t="s">
        <v>85</v>
      </c>
      <c r="B9" s="20">
        <f>'Grad-18Hours'!P46</f>
        <v>10766</v>
      </c>
      <c r="C9" s="20">
        <f>'Grad-18Hours'!Q46</f>
        <v>17212</v>
      </c>
      <c r="D9" s="20">
        <f>'Grad-20Hours'!P47</f>
        <v>10957</v>
      </c>
      <c r="E9" s="20">
        <f>'Grad-20Hours'!Q47</f>
        <v>17403</v>
      </c>
      <c r="F9" s="36">
        <f>'Grad-24Hours'!P47</f>
        <v>11339</v>
      </c>
      <c r="G9" s="77">
        <f>'Grad-24Hours'!Q47</f>
        <v>17785</v>
      </c>
    </row>
    <row r="10" spans="1:7">
      <c r="A10" s="149" t="s">
        <v>86</v>
      </c>
      <c r="B10" s="150">
        <f>'Grad-18Hours'!P47</f>
        <v>10903</v>
      </c>
      <c r="C10" s="151">
        <f>'Grad-18Hours'!Q47</f>
        <v>17845</v>
      </c>
      <c r="D10" s="151">
        <f>'Grad-20Hours'!P48</f>
        <v>10953</v>
      </c>
      <c r="E10" s="151">
        <f>'Grad-20Hours'!Q48</f>
        <v>17895</v>
      </c>
      <c r="F10" s="150">
        <f>'Grad-24Hours'!P48</f>
        <v>11053</v>
      </c>
      <c r="G10" s="150">
        <f>'Grad-24Hours'!Q48</f>
        <v>17995</v>
      </c>
    </row>
    <row r="11" spans="1:7" ht="16.5">
      <c r="A11" s="68" t="s">
        <v>196</v>
      </c>
      <c r="B11" s="78">
        <f>'Grad-18Hours'!P48</f>
        <v>16396</v>
      </c>
      <c r="C11" s="21">
        <f>'Grad-18Hours'!Q48</f>
        <v>31396</v>
      </c>
      <c r="D11" s="21">
        <f>'Grad-20Hours'!P49</f>
        <v>16626</v>
      </c>
      <c r="E11" s="21">
        <f>'Grad-20Hours'!Q49</f>
        <v>31626</v>
      </c>
      <c r="F11" s="78">
        <f>'Grad-24Hours'!P49</f>
        <v>19030</v>
      </c>
      <c r="G11" s="78">
        <f>'Grad-24Hours'!Q49</f>
        <v>34030</v>
      </c>
    </row>
    <row r="12" spans="1:7" ht="16.5">
      <c r="A12" s="149" t="s">
        <v>197</v>
      </c>
      <c r="B12" s="150">
        <f>'Grad-18Hours'!P49</f>
        <v>15200</v>
      </c>
      <c r="C12" s="151">
        <f>'Grad-18Hours'!Q49</f>
        <v>30200</v>
      </c>
      <c r="D12" s="151">
        <f>'Grad-20Hours'!P50</f>
        <v>15430</v>
      </c>
      <c r="E12" s="151">
        <f>'Grad-20Hours'!Q50</f>
        <v>30430</v>
      </c>
      <c r="F12" s="150">
        <f>'Grad-24Hours'!P50</f>
        <v>17834</v>
      </c>
      <c r="G12" s="150">
        <f>'Grad-24Hours'!Q50</f>
        <v>32834</v>
      </c>
    </row>
    <row r="13" spans="1:7" ht="17" thickBot="1">
      <c r="A13" s="68" t="s">
        <v>198</v>
      </c>
      <c r="B13" s="78">
        <f>'Grad-18Hours'!P50</f>
        <v>15200</v>
      </c>
      <c r="C13" s="21">
        <f>'Grad-18Hours'!Q50</f>
        <v>30200</v>
      </c>
      <c r="D13" s="21">
        <f>'Grad-20Hours'!P51</f>
        <v>15430</v>
      </c>
      <c r="E13" s="21">
        <f>'Grad-20Hours'!Q51</f>
        <v>30430</v>
      </c>
      <c r="F13" s="78">
        <f>'Grad-24Hours'!P51</f>
        <v>17834</v>
      </c>
      <c r="G13" s="78">
        <f>'Grad-24Hours'!Q51</f>
        <v>32834</v>
      </c>
    </row>
    <row r="14" spans="1:7" ht="15" thickBot="1">
      <c r="A14" s="65" t="s">
        <v>88</v>
      </c>
      <c r="B14" s="19"/>
      <c r="C14" s="19"/>
      <c r="D14" s="34"/>
      <c r="E14" s="19"/>
      <c r="F14" s="34"/>
      <c r="G14" s="76"/>
    </row>
    <row r="15" spans="1:7">
      <c r="A15" s="67" t="s">
        <v>12</v>
      </c>
      <c r="B15" s="20">
        <f>'Grad-18Hours'!P6</f>
        <v>7753.7200000000012</v>
      </c>
      <c r="C15" s="20">
        <f>'Grad-18Hours'!Q6</f>
        <v>16776.72</v>
      </c>
      <c r="D15" s="20">
        <f>'Grad-20Hours'!P6</f>
        <v>7825.3</v>
      </c>
      <c r="E15" s="35">
        <f>'Grad-20Hours'!Q6</f>
        <v>16848.3</v>
      </c>
      <c r="F15" s="36">
        <f>'Grad-24Hours'!P6</f>
        <v>7966.4799999999987</v>
      </c>
      <c r="G15" s="20">
        <f>'Grad-24Hours'!Q6</f>
        <v>16989.48</v>
      </c>
    </row>
    <row r="16" spans="1:7" ht="16.5">
      <c r="A16" s="149" t="s">
        <v>138</v>
      </c>
      <c r="B16" s="151">
        <f>'Grad-18Hours'!P7</f>
        <v>8594.5</v>
      </c>
      <c r="C16" s="151">
        <f>'Grad-18Hours'!Q7</f>
        <v>13325.5</v>
      </c>
      <c r="D16" s="151">
        <f>'Grad-20Hours'!P7</f>
        <v>9336.94</v>
      </c>
      <c r="E16" s="152">
        <f>'Grad-20Hours'!Q7</f>
        <v>14741.94</v>
      </c>
      <c r="F16" s="150">
        <f>'Grad-24Hours'!P7</f>
        <v>10871.71</v>
      </c>
      <c r="G16" s="151">
        <f>'Grad-24Hours'!Q7</f>
        <v>17612.71</v>
      </c>
    </row>
    <row r="17" spans="1:7">
      <c r="A17" s="68" t="s">
        <v>14</v>
      </c>
      <c r="B17" s="20">
        <f>'Grad-18Hours'!P8</f>
        <v>9078.06</v>
      </c>
      <c r="C17" s="20">
        <f>'Grad-18Hours'!Q8</f>
        <v>11078.06</v>
      </c>
      <c r="D17" s="20">
        <f>'Grad-20Hours'!P8</f>
        <v>9253.5</v>
      </c>
      <c r="E17" s="35">
        <f>'Grad-20Hours'!Q8</f>
        <v>11253.5</v>
      </c>
      <c r="F17" s="36">
        <f>'Grad-24Hours'!P8</f>
        <v>9554.380000000001</v>
      </c>
      <c r="G17" s="20">
        <f>'Grad-24Hours'!Q8</f>
        <v>11554.380000000001</v>
      </c>
    </row>
    <row r="18" spans="1:7">
      <c r="A18" s="149" t="s">
        <v>15</v>
      </c>
      <c r="B18" s="151">
        <f>'Grad-18Hours'!P9</f>
        <v>8849.7400000000016</v>
      </c>
      <c r="C18" s="151">
        <f>'Grad-18Hours'!Q9</f>
        <v>9942.9400000000023</v>
      </c>
      <c r="D18" s="151">
        <f>'Grad-20Hours'!P9</f>
        <v>9032</v>
      </c>
      <c r="E18" s="152">
        <f>'Grad-20Hours'!Q9</f>
        <v>10125.200000000001</v>
      </c>
      <c r="F18" s="150">
        <f>'Grad-24Hours'!P9</f>
        <v>9383.02</v>
      </c>
      <c r="G18" s="151">
        <f>'Grad-24Hours'!Q9</f>
        <v>10476.220000000001</v>
      </c>
    </row>
    <row r="19" spans="1:7">
      <c r="A19" s="68" t="s">
        <v>16</v>
      </c>
      <c r="B19" s="20">
        <f>'Grad-18Hours'!P10</f>
        <v>10282</v>
      </c>
      <c r="C19" s="20">
        <f>'Grad-18Hours'!Q10</f>
        <v>21070</v>
      </c>
      <c r="D19" s="20">
        <f>'Grad-20Hours'!P10</f>
        <v>10406</v>
      </c>
      <c r="E19" s="35">
        <f>'Grad-20Hours'!Q10</f>
        <v>21194</v>
      </c>
      <c r="F19" s="36">
        <f>'Grad-24Hours'!P10</f>
        <v>10654</v>
      </c>
      <c r="G19" s="20">
        <f>'Grad-24Hours'!Q10</f>
        <v>21442</v>
      </c>
    </row>
    <row r="20" spans="1:7">
      <c r="A20" s="149" t="s">
        <v>89</v>
      </c>
      <c r="B20" s="151">
        <f>'Grad-18Hours'!P11</f>
        <v>9710</v>
      </c>
      <c r="C20" s="151">
        <f>'Grad-18Hours'!Q11</f>
        <v>22188</v>
      </c>
      <c r="D20" s="151">
        <f>'Grad-20Hours'!P11</f>
        <v>9782</v>
      </c>
      <c r="E20" s="152">
        <f>'Grad-20Hours'!Q11</f>
        <v>22260</v>
      </c>
      <c r="F20" s="150">
        <f>'Grad-24Hours'!P11</f>
        <v>9926</v>
      </c>
      <c r="G20" s="151">
        <f>'Grad-24Hours'!Q11</f>
        <v>22404</v>
      </c>
    </row>
    <row r="21" spans="1:7">
      <c r="A21" s="68" t="s">
        <v>90</v>
      </c>
      <c r="B21" s="20">
        <f>'Grad-18Hours'!P12</f>
        <v>11202</v>
      </c>
      <c r="C21" s="20">
        <f>'Grad-18Hours'!Q12</f>
        <v>24930</v>
      </c>
      <c r="D21" s="20">
        <f>'Grad-20Hours'!P12</f>
        <v>11556.000000000002</v>
      </c>
      <c r="E21" s="35">
        <f>'Grad-20Hours'!Q12</f>
        <v>25284</v>
      </c>
      <c r="F21" s="36">
        <f>'Grad-24Hours'!P12</f>
        <v>12262</v>
      </c>
      <c r="G21" s="20">
        <f>'Grad-24Hours'!Q12</f>
        <v>25990</v>
      </c>
    </row>
    <row r="22" spans="1:7">
      <c r="A22" s="153" t="s">
        <v>91</v>
      </c>
      <c r="B22" s="151">
        <f>'Grad-18Hours'!P13</f>
        <v>10291</v>
      </c>
      <c r="C22" s="151">
        <f>'Grad-18Hours'!Q13</f>
        <v>22391</v>
      </c>
      <c r="D22" s="151">
        <f>'Grad-20Hours'!P13</f>
        <v>10474</v>
      </c>
      <c r="E22" s="152">
        <f>'Grad-20Hours'!Q13</f>
        <v>22574</v>
      </c>
      <c r="F22" s="150">
        <f>'Grad-24Hours'!P13</f>
        <v>10840</v>
      </c>
      <c r="G22" s="151">
        <f>'Grad-24Hours'!Q13</f>
        <v>22940</v>
      </c>
    </row>
    <row r="23" spans="1:7" ht="16.5">
      <c r="A23" s="69" t="s">
        <v>165</v>
      </c>
      <c r="B23" s="171" t="s">
        <v>114</v>
      </c>
      <c r="C23" s="172" t="s">
        <v>114</v>
      </c>
      <c r="D23" s="60">
        <f>'Grad-20Hours'!P14</f>
        <v>25564</v>
      </c>
      <c r="E23" s="35">
        <f>'Grad-20Hours'!Q14</f>
        <v>45820</v>
      </c>
      <c r="F23" s="36">
        <f>'Grad-24Hours'!P14</f>
        <v>25984</v>
      </c>
      <c r="G23" s="20">
        <f>'Grad-24Hours'!Q14</f>
        <v>46240</v>
      </c>
    </row>
    <row r="24" spans="1:7">
      <c r="A24" s="153" t="s">
        <v>123</v>
      </c>
      <c r="B24" s="154">
        <f>'Grad-18Hours'!P14</f>
        <v>11791</v>
      </c>
      <c r="C24" s="151">
        <f>'Grad-18Hours'!Q14</f>
        <v>23891</v>
      </c>
      <c r="D24" s="154">
        <f>'Grad-20Hours'!P15</f>
        <v>11974</v>
      </c>
      <c r="E24" s="152">
        <f>'Grad-20Hours'!Q15</f>
        <v>24074</v>
      </c>
      <c r="F24" s="150">
        <f>'Grad-24Hours'!P15</f>
        <v>12340</v>
      </c>
      <c r="G24" s="151">
        <f>'Grad-24Hours'!Q15</f>
        <v>24440</v>
      </c>
    </row>
    <row r="25" spans="1:7">
      <c r="A25" s="198" t="s">
        <v>192</v>
      </c>
      <c r="B25" s="199">
        <f>'Grad-18Hours'!P15</f>
        <v>18291</v>
      </c>
      <c r="C25" s="199">
        <f>'Grad-18Hours'!Q15</f>
        <v>30391</v>
      </c>
      <c r="D25" s="199">
        <f>'Grad-20Hours'!P16</f>
        <v>18474</v>
      </c>
      <c r="E25" s="200">
        <f>'Grad-20Hours'!Q16</f>
        <v>30574</v>
      </c>
      <c r="F25" s="201">
        <f>'Grad-24Hours'!P16</f>
        <v>18840</v>
      </c>
      <c r="G25" s="199">
        <f>'Grad-24Hours'!Q16</f>
        <v>30940</v>
      </c>
    </row>
    <row r="26" spans="1:7" ht="15" thickBot="1">
      <c r="A26" s="153" t="s">
        <v>92</v>
      </c>
      <c r="B26" s="151">
        <f>'Grad-18Hours'!P16</f>
        <v>9333</v>
      </c>
      <c r="C26" s="151">
        <f>'Grad-18Hours'!Q16</f>
        <v>13903</v>
      </c>
      <c r="D26" s="151">
        <f>'Grad-20Hours'!P17</f>
        <v>9538</v>
      </c>
      <c r="E26" s="152">
        <f>'Grad-20Hours'!Q17</f>
        <v>14108</v>
      </c>
      <c r="F26" s="150">
        <f>'Grad-24Hours'!P17</f>
        <v>9948</v>
      </c>
      <c r="G26" s="151">
        <f>'Grad-24Hours'!Q17</f>
        <v>14518</v>
      </c>
    </row>
    <row r="27" spans="1:7" ht="15" thickBot="1">
      <c r="A27" s="65" t="s">
        <v>93</v>
      </c>
      <c r="B27" s="19"/>
      <c r="C27" s="19"/>
      <c r="D27" s="34"/>
      <c r="E27" s="19"/>
      <c r="F27" s="34"/>
      <c r="G27" s="76"/>
    </row>
    <row r="28" spans="1:7">
      <c r="A28" s="157" t="s">
        <v>219</v>
      </c>
      <c r="B28" s="151">
        <f>'Grad-18Hours'!P18</f>
        <v>12774.2</v>
      </c>
      <c r="C28" s="151">
        <f>'Grad-18Hours'!Q18</f>
        <v>29689.200000000001</v>
      </c>
      <c r="D28" s="151">
        <f>'Grad-20Hours'!P19</f>
        <v>12965</v>
      </c>
      <c r="E28" s="151">
        <f>'Grad-20Hours'!Q19</f>
        <v>29885</v>
      </c>
      <c r="F28" s="151">
        <f>'Grad-24Hours'!P19</f>
        <v>13348.6</v>
      </c>
      <c r="G28" s="215">
        <f>'Grad-24Hours'!Q19</f>
        <v>30283.599999999999</v>
      </c>
    </row>
    <row r="29" spans="1:7" ht="16.5">
      <c r="A29" s="67" t="s">
        <v>227</v>
      </c>
      <c r="B29" s="20">
        <f>'Grad-18Hours'!P19</f>
        <v>12935.300000000001</v>
      </c>
      <c r="C29" s="20">
        <f>'Grad-18Hours'!Q19</f>
        <v>29850.300000000003</v>
      </c>
      <c r="D29" s="20">
        <f>'Grad-20Hours'!P20</f>
        <v>13144</v>
      </c>
      <c r="E29" s="20">
        <f>'Grad-20Hours'!Q20</f>
        <v>30064</v>
      </c>
      <c r="F29" s="20">
        <f>'Grad-24Hours'!P20</f>
        <v>13563.4</v>
      </c>
      <c r="G29" s="36">
        <f>'Grad-24Hours'!Q20</f>
        <v>30498.400000000001</v>
      </c>
    </row>
    <row r="30" spans="1:7">
      <c r="A30" s="149" t="s">
        <v>96</v>
      </c>
      <c r="B30" s="155">
        <f>'Grad-18Hours'!P22</f>
        <v>7438.68</v>
      </c>
      <c r="C30" s="155">
        <f>'Grad-18Hours'!Q22</f>
        <v>19935.900000000001</v>
      </c>
      <c r="D30" s="155">
        <f>'Grad-20Hours'!P23</f>
        <v>7470.68</v>
      </c>
      <c r="E30" s="155">
        <f>'Grad-20Hours'!Q23</f>
        <v>19967.900000000001</v>
      </c>
      <c r="F30" s="155">
        <f>'Grad-24Hours'!P23</f>
        <v>7534.68</v>
      </c>
      <c r="G30" s="156">
        <f>'Grad-24Hours'!Q23</f>
        <v>20031.900000000001</v>
      </c>
    </row>
    <row r="31" spans="1:7" ht="16.5">
      <c r="A31" s="68" t="s">
        <v>170</v>
      </c>
      <c r="B31" s="37">
        <f>'Grad-18Hours'!P21</f>
        <v>17969.5</v>
      </c>
      <c r="C31" s="37">
        <f>'Grad-18Hours'!Q21</f>
        <v>29549.5</v>
      </c>
      <c r="D31" s="37">
        <f>'Grad-20Hours'!P22</f>
        <v>19961.68</v>
      </c>
      <c r="E31" s="37">
        <f>'Grad-20Hours'!Q22</f>
        <v>32828.339999999997</v>
      </c>
      <c r="F31" s="37">
        <f>'Grad-24Hours'!P22</f>
        <v>24816.9</v>
      </c>
      <c r="G31" s="79">
        <f>'Grad-24Hours'!Q22</f>
        <v>40256.9</v>
      </c>
    </row>
    <row r="32" spans="1:7" ht="16.5">
      <c r="A32" s="157" t="s">
        <v>166</v>
      </c>
      <c r="B32" s="158" t="s">
        <v>114</v>
      </c>
      <c r="C32" s="158" t="s">
        <v>114</v>
      </c>
      <c r="D32" s="159">
        <f>'Grad-20Hours'!P21</f>
        <v>28741</v>
      </c>
      <c r="E32" s="159">
        <f>'Grad-20Hours'!Q21</f>
        <v>60361</v>
      </c>
      <c r="F32" s="159">
        <f>'Grad-24Hours'!P21</f>
        <v>28761</v>
      </c>
      <c r="G32" s="160">
        <f>'Grad-24Hours'!Q21</f>
        <v>60381</v>
      </c>
    </row>
    <row r="33" spans="1:13" ht="16.5">
      <c r="A33" s="70" t="s">
        <v>167</v>
      </c>
      <c r="B33" s="21">
        <f>'Grad-18Hours'!P34</f>
        <v>32936.949999999997</v>
      </c>
      <c r="C33" s="21">
        <f>'Grad-18Hours'!Q34</f>
        <v>61114.289999999994</v>
      </c>
      <c r="D33" s="21">
        <f>'Grad-20Hours'!P35</f>
        <v>32936.949999999997</v>
      </c>
      <c r="E33" s="21">
        <f>'Grad-20Hours'!Q35</f>
        <v>61114.289999999994</v>
      </c>
      <c r="F33" s="21">
        <f>'Grad-24Hours'!P35</f>
        <v>32936.949999999997</v>
      </c>
      <c r="G33" s="78">
        <f>'Grad-24Hours'!Q35</f>
        <v>61113.95</v>
      </c>
    </row>
    <row r="34" spans="1:13">
      <c r="A34" s="161" t="s">
        <v>129</v>
      </c>
      <c r="B34" s="155">
        <f>'Grad-18Hours'!P29</f>
        <v>35141</v>
      </c>
      <c r="C34" s="155">
        <f>'Grad-18Hours'!Q29</f>
        <v>63869</v>
      </c>
      <c r="D34" s="155">
        <f>'Grad-20Hours'!P30</f>
        <v>35141</v>
      </c>
      <c r="E34" s="155">
        <f>'Grad-20Hours'!Q30</f>
        <v>63869</v>
      </c>
      <c r="F34" s="155">
        <f>'Grad-24Hours'!P30</f>
        <v>35141</v>
      </c>
      <c r="G34" s="156">
        <f>'Grad-24Hours'!Q30</f>
        <v>63869</v>
      </c>
    </row>
    <row r="35" spans="1:13" ht="29">
      <c r="A35" s="75" t="s">
        <v>149</v>
      </c>
      <c r="B35" s="20">
        <f>'Grad-18Hours'!P28</f>
        <v>7063.82</v>
      </c>
      <c r="C35" s="20">
        <f>'Grad-18Hours'!Q28</f>
        <v>16027.5</v>
      </c>
      <c r="D35" s="20">
        <f>'Grad-20Hours'!P29</f>
        <v>7063.82</v>
      </c>
      <c r="E35" s="20">
        <f>'Grad-20Hours'!Q29</f>
        <v>16027.5</v>
      </c>
      <c r="F35" s="20">
        <f>'Grad-24Hours'!P29</f>
        <v>7063.82</v>
      </c>
      <c r="G35" s="36">
        <f>'Grad-24Hours'!Q29</f>
        <v>16027.5</v>
      </c>
    </row>
    <row r="36" spans="1:13" ht="29">
      <c r="A36" s="162" t="s">
        <v>148</v>
      </c>
      <c r="B36" s="155">
        <f>'Grad-18Hours'!P23</f>
        <v>10327</v>
      </c>
      <c r="C36" s="155">
        <f>'Grad-18Hours'!Q23</f>
        <v>20404</v>
      </c>
      <c r="D36" s="155">
        <f>'Grad-20Hours'!P24</f>
        <v>10327</v>
      </c>
      <c r="E36" s="155">
        <f>'Grad-20Hours'!Q24</f>
        <v>20404</v>
      </c>
      <c r="F36" s="155">
        <f>'Grad-24Hours'!P24</f>
        <v>10327</v>
      </c>
      <c r="G36" s="156">
        <f>'Grad-24Hours'!Q24</f>
        <v>20404</v>
      </c>
    </row>
    <row r="37" spans="1:13" ht="29.5" thickBot="1">
      <c r="A37" s="241" t="s">
        <v>428</v>
      </c>
      <c r="B37" s="20">
        <f>'Grad-18Hours'!P24</f>
        <v>13237</v>
      </c>
      <c r="C37" s="20">
        <f>'Grad-18Hours'!Q24</f>
        <v>23314</v>
      </c>
      <c r="D37" s="20">
        <f>'Grad-20Hours'!P25</f>
        <v>13237</v>
      </c>
      <c r="E37" s="20">
        <f>'Grad-20Hours'!Q25</f>
        <v>23314</v>
      </c>
      <c r="F37" s="20">
        <f>'Grad-24Hours'!P25</f>
        <v>13237</v>
      </c>
      <c r="G37" s="36">
        <f>'Grad-24Hours'!Q25</f>
        <v>23314</v>
      </c>
    </row>
    <row r="38" spans="1:13" ht="35.25" customHeight="1">
      <c r="A38" s="242" t="s">
        <v>147</v>
      </c>
      <c r="B38" s="151">
        <f>'Grad-18Hours'!P35</f>
        <v>15285.2</v>
      </c>
      <c r="C38" s="151">
        <f>'Grad-18Hours'!Q35</f>
        <v>30736.400000000001</v>
      </c>
      <c r="D38" s="151">
        <f>'Grad-20Hours'!P36</f>
        <v>15285.2</v>
      </c>
      <c r="E38" s="151">
        <f>'Grad-20Hours'!Q36</f>
        <v>30736.400000000001</v>
      </c>
      <c r="F38" s="151">
        <f>'Grad-24Hours'!P36</f>
        <v>15285.2</v>
      </c>
      <c r="G38" s="215">
        <f>'Grad-24Hours'!Q36</f>
        <v>30736.400000000001</v>
      </c>
    </row>
    <row r="39" spans="1:13" ht="30.75" customHeight="1">
      <c r="A39" s="243" t="s">
        <v>146</v>
      </c>
      <c r="B39" s="20">
        <f>'Grad-18Hours'!P30</f>
        <v>10327</v>
      </c>
      <c r="C39" s="20">
        <f>'Grad-18Hours'!Q30</f>
        <v>20418.46</v>
      </c>
      <c r="D39" s="20">
        <f>'Grad-20Hours'!P31</f>
        <v>10327</v>
      </c>
      <c r="E39" s="20">
        <f>'Grad-20Hours'!Q31</f>
        <v>20418.46</v>
      </c>
      <c r="F39" s="20">
        <f>'Grad-24Hours'!P31</f>
        <v>10327</v>
      </c>
      <c r="G39" s="36">
        <f>'Grad-24Hours'!Q31</f>
        <v>20418.46</v>
      </c>
    </row>
    <row r="40" spans="1:13" ht="30.75" customHeight="1">
      <c r="A40" s="161" t="s">
        <v>145</v>
      </c>
      <c r="B40" s="155">
        <f>'Grad-18Hours'!P25</f>
        <v>10558.4</v>
      </c>
      <c r="C40" s="155">
        <f>'Grad-18Hours'!Q25</f>
        <v>19837.8</v>
      </c>
      <c r="D40" s="155">
        <f>'Grad-20Hours'!P26</f>
        <v>10558.4</v>
      </c>
      <c r="E40" s="155">
        <f>'Grad-20Hours'!Q26</f>
        <v>19837.8</v>
      </c>
      <c r="F40" s="155">
        <f>'Grad-24Hours'!P26</f>
        <v>10558.4</v>
      </c>
      <c r="G40" s="156">
        <f>'Grad-24Hours'!Q26</f>
        <v>19837.8</v>
      </c>
    </row>
    <row r="41" spans="1:13" ht="30.75" customHeight="1">
      <c r="A41" s="70" t="s">
        <v>426</v>
      </c>
      <c r="B41" s="37">
        <f>'Grad-18Hours'!P27</f>
        <v>17510.2</v>
      </c>
      <c r="C41" s="37">
        <f>'Grad-18Hours'!Q27</f>
        <v>30592.38</v>
      </c>
      <c r="D41" s="37">
        <f>'Grad-20Hours'!P28</f>
        <v>17510.2</v>
      </c>
      <c r="E41" s="37">
        <f>'Grad-20Hours'!Q28</f>
        <v>30592.38</v>
      </c>
      <c r="F41" s="37">
        <f>'Grad-24Hours'!P28</f>
        <v>17510.2</v>
      </c>
      <c r="G41" s="79">
        <f>'Grad-24Hours'!Q28</f>
        <v>30592.38</v>
      </c>
      <c r="I41" s="14" t="s">
        <v>44</v>
      </c>
    </row>
    <row r="42" spans="1:13" s="148" customFormat="1" ht="30.75" customHeight="1">
      <c r="A42" s="242" t="s">
        <v>169</v>
      </c>
      <c r="B42" s="159">
        <f>'Grad-18Hours'!P26</f>
        <v>24710.2</v>
      </c>
      <c r="C42" s="159">
        <f>'Grad-18Hours'!Q26</f>
        <v>37792.199999999997</v>
      </c>
      <c r="D42" s="159">
        <f>'Grad-20Hours'!P27</f>
        <v>24710.2</v>
      </c>
      <c r="E42" s="159">
        <f>'Grad-20Hours'!Q27</f>
        <v>37792.199999999997</v>
      </c>
      <c r="F42" s="159">
        <f>'Grad-24Hours'!P27</f>
        <v>24710.2</v>
      </c>
      <c r="G42" s="160">
        <f>'Grad-24Hours'!Q27</f>
        <v>37792.199999999997</v>
      </c>
    </row>
    <row r="43" spans="1:13" ht="30.75" customHeight="1">
      <c r="A43" s="70" t="s">
        <v>144</v>
      </c>
      <c r="B43" s="21">
        <f>'Grad-18Hours'!P33</f>
        <v>10650.32</v>
      </c>
      <c r="C43" s="21">
        <f>'Grad-18Hours'!Q33</f>
        <v>17294.059999999998</v>
      </c>
      <c r="D43" s="21">
        <f>'Grad-20Hours'!P34</f>
        <v>10650.32</v>
      </c>
      <c r="E43" s="21">
        <f>'Grad-20Hours'!Q34</f>
        <v>17294.059999999998</v>
      </c>
      <c r="F43" s="21">
        <f>'Grad-24Hours'!P34</f>
        <v>10650.32</v>
      </c>
      <c r="G43" s="78">
        <f>'Grad-24Hours'!Q34</f>
        <v>17294.059999999998</v>
      </c>
    </row>
    <row r="44" spans="1:13" ht="30.75" customHeight="1">
      <c r="A44" s="161" t="s">
        <v>143</v>
      </c>
      <c r="B44" s="155">
        <f>'Grad-18Hours'!P32</f>
        <v>10527</v>
      </c>
      <c r="C44" s="155">
        <f>'Grad-18Hours'!Q32</f>
        <v>18928.5</v>
      </c>
      <c r="D44" s="155">
        <f>'Grad-20Hours'!P33</f>
        <v>10527</v>
      </c>
      <c r="E44" s="155">
        <f>'Grad-20Hours'!Q33</f>
        <v>18928.5</v>
      </c>
      <c r="F44" s="155">
        <f>'Grad-24Hours'!P33</f>
        <v>10527</v>
      </c>
      <c r="G44" s="156">
        <f>'Grad-24Hours'!Q33</f>
        <v>18928.5</v>
      </c>
      <c r="M44" s="14" t="s">
        <v>44</v>
      </c>
    </row>
    <row r="45" spans="1:13" ht="30.75" customHeight="1">
      <c r="A45" s="75" t="s">
        <v>142</v>
      </c>
      <c r="B45" s="20">
        <f>'Grad-18Hours'!P31</f>
        <v>17806.400000000001</v>
      </c>
      <c r="C45" s="20">
        <f>'Grad-18Hours'!Q31</f>
        <v>35283.600000000006</v>
      </c>
      <c r="D45" s="20">
        <f>'Grad-20Hours'!P32</f>
        <v>17806.400000000001</v>
      </c>
      <c r="E45" s="20">
        <f>'Grad-20Hours'!Q32</f>
        <v>35283.600000000006</v>
      </c>
      <c r="F45" s="20">
        <f>'Grad-24Hours'!P32</f>
        <v>17806.400000000001</v>
      </c>
      <c r="G45" s="36">
        <f>'Grad-24Hours'!Q32</f>
        <v>35283.600000000006</v>
      </c>
    </row>
    <row r="46" spans="1:13" ht="29.25" customHeight="1">
      <c r="A46" s="162" t="s">
        <v>168</v>
      </c>
      <c r="B46" s="155">
        <f>'Grad-18Hours'!P41</f>
        <v>30840.399999999998</v>
      </c>
      <c r="C46" s="155">
        <f>'Grad-18Hours'!Q41</f>
        <v>64253.5</v>
      </c>
      <c r="D46" s="155">
        <f>'Grad-20Hours'!P42</f>
        <v>30840.399999999998</v>
      </c>
      <c r="E46" s="155">
        <f>'Grad-20Hours'!Q42</f>
        <v>64253.5</v>
      </c>
      <c r="F46" s="155">
        <f>'Grad-24Hours'!P42</f>
        <v>30840.399999999998</v>
      </c>
      <c r="G46" s="156">
        <f>'Grad-24Hours'!Q42</f>
        <v>64253.5</v>
      </c>
    </row>
    <row r="47" spans="1:13" ht="29.25" customHeight="1">
      <c r="A47" s="241" t="s">
        <v>115</v>
      </c>
      <c r="B47" s="20">
        <f>'Grad-18Hours'!P39</f>
        <v>5850.43</v>
      </c>
      <c r="C47" s="20">
        <f>'Grad-18Hours'!Q39</f>
        <v>13759.55</v>
      </c>
      <c r="D47" s="20">
        <f>'Grad-20Hours'!P40</f>
        <v>5850.43</v>
      </c>
      <c r="E47" s="20">
        <f>'Grad-20Hours'!Q40</f>
        <v>13759.55</v>
      </c>
      <c r="F47" s="20">
        <f>'Grad-24Hours'!P40</f>
        <v>5850.43</v>
      </c>
      <c r="G47" s="36">
        <f>'Grad-24Hours'!Q40</f>
        <v>13759.55</v>
      </c>
    </row>
    <row r="48" spans="1:13" ht="29.25" customHeight="1">
      <c r="A48" s="162" t="s">
        <v>150</v>
      </c>
      <c r="B48" s="155">
        <f>'Grad-18Hours'!P37</f>
        <v>14520.809999999998</v>
      </c>
      <c r="C48" s="155">
        <f>'Grad-18Hours'!Q37</f>
        <v>24875.909999999996</v>
      </c>
      <c r="D48" s="155">
        <f>'Grad-20Hours'!P38</f>
        <v>14520.809999999998</v>
      </c>
      <c r="E48" s="155">
        <f>'Grad-20Hours'!Q38</f>
        <v>24875.909999999996</v>
      </c>
      <c r="F48" s="155">
        <f>'Grad-24Hours'!P38</f>
        <v>14520.809999999998</v>
      </c>
      <c r="G48" s="156">
        <f>'Grad-24Hours'!Q38</f>
        <v>24875.909999999996</v>
      </c>
    </row>
    <row r="49" spans="1:7" ht="28.5" customHeight="1">
      <c r="A49" s="75" t="s">
        <v>116</v>
      </c>
      <c r="B49" s="20">
        <f>'Grad-18Hours'!P44</f>
        <v>13889.929999999997</v>
      </c>
      <c r="C49" s="20">
        <f>'Grad-18Hours'!Q44</f>
        <v>24116.929999999997</v>
      </c>
      <c r="D49" s="20">
        <f>'Grad-20Hours'!P45</f>
        <v>13889.929999999997</v>
      </c>
      <c r="E49" s="20">
        <f>'Grad-20Hours'!Q45</f>
        <v>24116.929999999997</v>
      </c>
      <c r="F49" s="20">
        <f>'Grad-24Hours'!P45</f>
        <v>13889.929999999997</v>
      </c>
      <c r="G49" s="36">
        <f>'Grad-24Hours'!Q45</f>
        <v>24116.929999999997</v>
      </c>
    </row>
    <row r="50" spans="1:7" ht="28.5" customHeight="1">
      <c r="A50" s="161" t="s">
        <v>117</v>
      </c>
      <c r="B50" s="155">
        <f>'Grad-18Hours'!P38</f>
        <v>16011.199999999997</v>
      </c>
      <c r="C50" s="155">
        <f>'Grad-18Hours'!Q38</f>
        <v>25823.449999999997</v>
      </c>
      <c r="D50" s="155">
        <f>'Grad-20Hours'!P39</f>
        <v>16011.199999999997</v>
      </c>
      <c r="E50" s="155">
        <f>'Grad-20Hours'!Q39</f>
        <v>25823.449999999997</v>
      </c>
      <c r="F50" s="155">
        <f>'Grad-24Hours'!P39</f>
        <v>16011.199999999997</v>
      </c>
      <c r="G50" s="156">
        <f>'Grad-24Hours'!Q39</f>
        <v>25823.449999999997</v>
      </c>
    </row>
    <row r="51" spans="1:7" ht="29.25" customHeight="1">
      <c r="A51" s="75" t="s">
        <v>118</v>
      </c>
      <c r="B51" s="20">
        <f>'Grad-18Hours'!P36</f>
        <v>11581.779999999999</v>
      </c>
      <c r="C51" s="20">
        <f>'Grad-18Hours'!Q36</f>
        <v>23251.48</v>
      </c>
      <c r="D51" s="20">
        <f>'Grad-20Hours'!P37</f>
        <v>11613.279999999999</v>
      </c>
      <c r="E51" s="20">
        <f>'Grad-20Hours'!Q37</f>
        <v>23282.98</v>
      </c>
      <c r="F51" s="20">
        <f>'Grad-24Hours'!P37</f>
        <v>11676.279999999999</v>
      </c>
      <c r="G51" s="36">
        <f>'Grad-24Hours'!Q37</f>
        <v>23345.98</v>
      </c>
    </row>
    <row r="52" spans="1:7" ht="29.25" customHeight="1">
      <c r="A52" s="161" t="s">
        <v>188</v>
      </c>
      <c r="B52" s="155">
        <f>'Grad-18Hours'!P40</f>
        <v>10630.55</v>
      </c>
      <c r="C52" s="155">
        <f>'Grad-18Hours'!Q40</f>
        <v>26380.55</v>
      </c>
      <c r="D52" s="155">
        <f>'Grad-20Hours'!P41</f>
        <v>10630.55</v>
      </c>
      <c r="E52" s="155">
        <f>'Grad-20Hours'!Q41</f>
        <v>26380.55</v>
      </c>
      <c r="F52" s="156">
        <f>'Grad-24Hours'!P41</f>
        <v>11160.55</v>
      </c>
      <c r="G52" s="156">
        <f>'Grad-24Hours'!Q41</f>
        <v>26910.55</v>
      </c>
    </row>
    <row r="53" spans="1:7" ht="29.25" customHeight="1" thickBot="1">
      <c r="A53" s="244" t="s">
        <v>189</v>
      </c>
      <c r="B53" s="245">
        <f>'Grad-18Hours'!P42</f>
        <v>13864.21</v>
      </c>
      <c r="C53" s="245">
        <f>'Grad-18Hours'!Q42</f>
        <v>23726.86</v>
      </c>
      <c r="D53" s="245">
        <f>'Grad-20Hours'!P43</f>
        <v>13864.21</v>
      </c>
      <c r="E53" s="245">
        <f>'Grad-20Hours'!Q43</f>
        <v>23726.86</v>
      </c>
      <c r="F53" s="246">
        <f>'Grad-24Hours'!P43</f>
        <v>13864.21</v>
      </c>
      <c r="G53" s="246">
        <f>'Grad-24Hours'!Q43</f>
        <v>23726.86</v>
      </c>
    </row>
    <row r="54" spans="1:7" ht="15" customHeight="1">
      <c r="A54" s="38"/>
      <c r="F54" s="24"/>
      <c r="G54" s="24"/>
    </row>
    <row r="56" spans="1:7" s="28" customFormat="1" ht="9">
      <c r="A56" s="39" t="s">
        <v>136</v>
      </c>
      <c r="B56" s="26"/>
      <c r="C56" s="26"/>
      <c r="D56" s="26"/>
      <c r="E56" s="26"/>
      <c r="F56" s="27"/>
    </row>
    <row r="57" spans="1:7" s="39" customFormat="1" ht="9">
      <c r="A57" s="25" t="s">
        <v>137</v>
      </c>
      <c r="B57" s="40"/>
      <c r="C57" s="40"/>
      <c r="D57" s="40"/>
      <c r="E57" s="40"/>
    </row>
    <row r="58" spans="1:7" ht="11.25" customHeight="1">
      <c r="A58" s="39" t="s">
        <v>160</v>
      </c>
    </row>
    <row r="59" spans="1:7" s="39" customFormat="1" ht="9">
      <c r="A59" s="39" t="s">
        <v>161</v>
      </c>
      <c r="B59" s="40"/>
      <c r="C59" s="40"/>
      <c r="D59" s="40"/>
      <c r="E59" s="40"/>
    </row>
    <row r="60" spans="1:7" s="39" customFormat="1" ht="9">
      <c r="A60" s="39" t="s">
        <v>183</v>
      </c>
      <c r="B60" s="40"/>
      <c r="C60" s="40"/>
      <c r="D60" s="40"/>
      <c r="E60" s="40"/>
    </row>
    <row r="61" spans="1:7" s="39" customFormat="1" ht="9">
      <c r="A61" s="39" t="s">
        <v>162</v>
      </c>
      <c r="B61" s="40"/>
      <c r="C61" s="40"/>
      <c r="D61" s="40"/>
      <c r="E61" s="40"/>
    </row>
    <row r="62" spans="1:7" s="39" customFormat="1" ht="9">
      <c r="A62" s="39" t="s">
        <v>163</v>
      </c>
      <c r="B62" s="40"/>
      <c r="C62" s="40"/>
      <c r="D62" s="40"/>
      <c r="E62" s="40"/>
    </row>
    <row r="63" spans="1:7" ht="11.25" customHeight="1">
      <c r="A63" s="39" t="s">
        <v>164</v>
      </c>
    </row>
    <row r="64" spans="1:7" ht="11.25" customHeight="1">
      <c r="A64" s="25" t="s">
        <v>226</v>
      </c>
    </row>
    <row r="65" spans="1:6" customFormat="1">
      <c r="A65" s="239" t="s">
        <v>425</v>
      </c>
      <c r="B65" s="7"/>
      <c r="C65" s="7"/>
      <c r="D65" s="7"/>
      <c r="E65" s="7"/>
      <c r="F65" s="7"/>
    </row>
  </sheetData>
  <hyperlinks>
    <hyperlink ref="A65" location="'High Cost Programs'!A1" display="Click to view High Cost Programs by Institution" xr:uid="{A1A6451B-28A1-45B3-972B-F9CEA7B299A8}"/>
  </hyperlinks>
  <printOptions horizontalCentered="1"/>
  <pageMargins left="0.45" right="0.45" top="0.75" bottom="0.75" header="0.3" footer="0.3"/>
  <pageSetup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L60"/>
  <sheetViews>
    <sheetView zoomScaleNormal="100" workbookViewId="0">
      <pane xSplit="1" ySplit="4" topLeftCell="B13" activePane="bottomRight" state="frozen"/>
      <selection pane="topRight" activeCell="B1" sqref="B1"/>
      <selection pane="bottomLeft" activeCell="A5" sqref="A5"/>
      <selection pane="bottomRight"/>
    </sheetView>
  </sheetViews>
  <sheetFormatPr defaultRowHeight="14.5"/>
  <cols>
    <col min="1" max="1" width="33.54296875" customWidth="1"/>
    <col min="2" max="2" width="10.81640625" style="7" customWidth="1"/>
    <col min="3" max="3" width="10.81640625" style="1" customWidth="1"/>
    <col min="4" max="4" width="10.54296875" style="1" customWidth="1"/>
    <col min="5" max="5" width="11.453125" style="1" customWidth="1"/>
    <col min="6" max="6" width="13.453125" style="1" customWidth="1"/>
    <col min="7" max="10" width="10.1796875" style="1" customWidth="1"/>
    <col min="11" max="11" width="12.1796875" style="1" customWidth="1"/>
    <col min="12" max="12" width="10.81640625" style="1" customWidth="1"/>
    <col min="13" max="13" width="10.453125" style="1" customWidth="1"/>
    <col min="14" max="14" width="11.81640625" style="1" customWidth="1"/>
    <col min="15" max="15" width="11" style="1" customWidth="1"/>
    <col min="16" max="17" width="10.1796875" style="7" bestFit="1" customWidth="1"/>
    <col min="18" max="18" width="2.81640625" style="1" customWidth="1"/>
    <col min="19" max="19" width="11.81640625" style="7" customWidth="1"/>
    <col min="20" max="20" width="11.81640625" customWidth="1"/>
    <col min="21" max="21" width="11.1796875" style="7" customWidth="1"/>
    <col min="22" max="22" width="11.81640625" bestFit="1" customWidth="1"/>
  </cols>
  <sheetData>
    <row r="1" spans="1:38" s="5" customFormat="1">
      <c r="A1" s="5" t="s">
        <v>201</v>
      </c>
      <c r="B1" s="81"/>
      <c r="C1" s="6"/>
      <c r="D1" s="6"/>
      <c r="E1" s="6"/>
      <c r="F1" s="6"/>
      <c r="G1" s="6"/>
      <c r="H1" s="6"/>
      <c r="I1" s="6"/>
      <c r="J1" s="6"/>
      <c r="K1" s="6"/>
      <c r="L1" s="6"/>
      <c r="M1" s="6"/>
      <c r="N1" s="6"/>
      <c r="O1" s="6"/>
      <c r="P1" s="81"/>
      <c r="Q1" s="81"/>
      <c r="R1" s="6"/>
      <c r="S1" s="81"/>
      <c r="U1" s="81"/>
    </row>
    <row r="2" spans="1:38" s="5" customFormat="1">
      <c r="A2" s="5" t="s">
        <v>60</v>
      </c>
      <c r="B2" s="81"/>
      <c r="C2" s="6"/>
      <c r="D2" s="6"/>
      <c r="E2" s="6"/>
      <c r="F2" s="6"/>
      <c r="G2" s="6"/>
      <c r="H2" s="6"/>
      <c r="I2" s="6"/>
      <c r="J2" s="6"/>
      <c r="K2" s="6"/>
      <c r="L2" s="81">
        <f>L3/12</f>
        <v>10</v>
      </c>
      <c r="M2" s="6"/>
      <c r="N2" s="6"/>
      <c r="O2" s="6"/>
      <c r="P2" s="81"/>
      <c r="Q2" s="81"/>
      <c r="R2" s="6"/>
      <c r="S2" s="81"/>
      <c r="U2" s="81"/>
    </row>
    <row r="3" spans="1:38">
      <c r="L3" s="1">
        <f>L15/2</f>
        <v>120</v>
      </c>
    </row>
    <row r="4" spans="1:38" s="4" customFormat="1" ht="43.5">
      <c r="A4" s="2" t="s">
        <v>0</v>
      </c>
      <c r="B4" s="249" t="s">
        <v>1</v>
      </c>
      <c r="C4" s="3" t="s">
        <v>139</v>
      </c>
      <c r="D4" s="3" t="s">
        <v>2</v>
      </c>
      <c r="E4" s="3" t="s">
        <v>3</v>
      </c>
      <c r="F4" s="3" t="s">
        <v>4</v>
      </c>
      <c r="G4" s="3" t="s">
        <v>5</v>
      </c>
      <c r="H4" s="3" t="s">
        <v>140</v>
      </c>
      <c r="I4" s="3" t="s">
        <v>68</v>
      </c>
      <c r="J4" s="3" t="s">
        <v>66</v>
      </c>
      <c r="K4" s="3" t="s">
        <v>6</v>
      </c>
      <c r="L4" s="3" t="s">
        <v>7</v>
      </c>
      <c r="M4" s="3" t="s">
        <v>8</v>
      </c>
      <c r="N4" s="3" t="s">
        <v>9</v>
      </c>
      <c r="O4" s="203" t="s">
        <v>10</v>
      </c>
      <c r="P4" s="249" t="s">
        <v>19</v>
      </c>
      <c r="Q4" s="249" t="s">
        <v>20</v>
      </c>
      <c r="R4" s="10"/>
      <c r="S4" s="82" t="s">
        <v>70</v>
      </c>
      <c r="T4" s="4" t="s">
        <v>71</v>
      </c>
      <c r="U4" s="82" t="s">
        <v>72</v>
      </c>
      <c r="V4" s="4" t="s">
        <v>172</v>
      </c>
      <c r="W4" s="3"/>
      <c r="X4" s="3"/>
      <c r="Y4" s="3"/>
      <c r="Z4" s="3"/>
      <c r="AA4" s="3"/>
      <c r="AB4" s="3"/>
      <c r="AC4" s="3"/>
      <c r="AD4" s="3"/>
      <c r="AE4" s="3"/>
      <c r="AF4" s="3"/>
      <c r="AG4" s="3"/>
      <c r="AH4" s="3"/>
      <c r="AI4" s="3"/>
      <c r="AJ4" s="3"/>
      <c r="AK4" s="3"/>
      <c r="AL4" s="3"/>
    </row>
    <row r="5" spans="1:38" s="125" customFormat="1">
      <c r="A5" s="127" t="s">
        <v>22</v>
      </c>
      <c r="B5" s="129"/>
      <c r="C5" s="128"/>
      <c r="D5" s="128"/>
      <c r="E5" s="128"/>
      <c r="F5" s="128"/>
      <c r="G5" s="128"/>
      <c r="H5" s="128"/>
      <c r="I5" s="128"/>
      <c r="J5" s="128"/>
      <c r="K5" s="128"/>
      <c r="L5" s="128"/>
      <c r="M5" s="128"/>
      <c r="N5" s="128"/>
      <c r="O5" s="204"/>
      <c r="P5" s="129"/>
      <c r="Q5" s="129"/>
      <c r="R5" s="11"/>
      <c r="S5" s="129"/>
      <c r="T5" s="127"/>
      <c r="U5" s="129"/>
      <c r="V5" s="127"/>
    </row>
    <row r="6" spans="1:38">
      <c r="A6" t="s">
        <v>12</v>
      </c>
      <c r="B6" s="7">
        <v>5140</v>
      </c>
      <c r="C6" s="1">
        <v>437.8</v>
      </c>
      <c r="D6" s="1">
        <v>248.4</v>
      </c>
      <c r="E6" s="1">
        <v>136.62</v>
      </c>
      <c r="F6" s="1">
        <v>51.76</v>
      </c>
      <c r="G6" s="1">
        <v>22.78</v>
      </c>
      <c r="H6" s="1">
        <v>99.36</v>
      </c>
      <c r="I6" s="1">
        <v>0</v>
      </c>
      <c r="J6" s="1">
        <v>0</v>
      </c>
      <c r="K6" s="1">
        <v>124.2</v>
      </c>
      <c r="L6" s="1">
        <v>248.4</v>
      </c>
      <c r="M6" s="1">
        <v>422</v>
      </c>
      <c r="N6" s="1">
        <v>840.42</v>
      </c>
      <c r="O6" s="205">
        <v>9023</v>
      </c>
      <c r="P6" s="7">
        <f t="shared" ref="P6:P18" si="0">SUM(B6:N6)</f>
        <v>7771.7399999999989</v>
      </c>
      <c r="Q6" s="7">
        <f>SUM(O6:P6)</f>
        <v>16794.739999999998</v>
      </c>
      <c r="R6" s="11"/>
      <c r="S6" s="1">
        <v>5140</v>
      </c>
      <c r="T6" s="9">
        <f t="shared" ref="T6:T18" si="1">S6-B6</f>
        <v>0</v>
      </c>
      <c r="U6" s="1">
        <v>5139.75</v>
      </c>
      <c r="V6" s="8">
        <f>U6-S6</f>
        <v>-0.25</v>
      </c>
      <c r="W6" s="1"/>
      <c r="X6" s="1"/>
      <c r="Y6" s="1"/>
      <c r="Z6" s="1"/>
      <c r="AA6" s="1"/>
      <c r="AB6" s="1"/>
      <c r="AC6" s="1"/>
      <c r="AD6" s="1"/>
      <c r="AE6" s="1"/>
      <c r="AF6" s="1"/>
      <c r="AG6" s="1"/>
      <c r="AH6" s="1"/>
      <c r="AI6" s="1"/>
      <c r="AJ6" s="1"/>
      <c r="AK6" s="1"/>
      <c r="AL6" s="1"/>
    </row>
    <row r="7" spans="1:38" ht="16.5">
      <c r="A7" t="s">
        <v>432</v>
      </c>
      <c r="B7" s="7">
        <f>5140+180</f>
        <v>5320</v>
      </c>
      <c r="C7" s="1">
        <v>437.8</v>
      </c>
      <c r="D7" s="1">
        <v>248.4</v>
      </c>
      <c r="E7" s="1">
        <v>136.62</v>
      </c>
      <c r="F7" s="1">
        <v>51.76</v>
      </c>
      <c r="G7" s="1">
        <v>22.78</v>
      </c>
      <c r="H7" s="1">
        <v>99.36</v>
      </c>
      <c r="I7" s="1">
        <v>0</v>
      </c>
      <c r="J7" s="1">
        <v>0</v>
      </c>
      <c r="K7" s="1">
        <v>124.2</v>
      </c>
      <c r="L7" s="1">
        <v>248.4</v>
      </c>
      <c r="M7" s="1">
        <v>422</v>
      </c>
      <c r="N7" s="1">
        <v>840.42</v>
      </c>
      <c r="O7" s="205">
        <v>9023</v>
      </c>
      <c r="P7" s="7">
        <f t="shared" si="0"/>
        <v>7951.7399999999989</v>
      </c>
      <c r="Q7" s="7">
        <f>SUM(O7:P7)</f>
        <v>16974.739999999998</v>
      </c>
      <c r="R7" s="11"/>
      <c r="S7" s="1">
        <v>5140</v>
      </c>
      <c r="T7" s="9">
        <f t="shared" si="1"/>
        <v>-180</v>
      </c>
      <c r="U7" s="1">
        <v>5139.75</v>
      </c>
      <c r="V7" s="8">
        <f>U7-S7</f>
        <v>-0.25</v>
      </c>
      <c r="W7" s="1"/>
      <c r="X7" s="1"/>
      <c r="Y7" s="1"/>
      <c r="Z7" s="1"/>
      <c r="AA7" s="1"/>
      <c r="AB7" s="1"/>
      <c r="AC7" s="1"/>
      <c r="AD7" s="1"/>
      <c r="AE7" s="1"/>
      <c r="AF7" s="1"/>
      <c r="AG7" s="1"/>
      <c r="AH7" s="1"/>
      <c r="AI7" s="1"/>
      <c r="AJ7" s="1"/>
      <c r="AK7" s="1"/>
      <c r="AL7" s="1"/>
    </row>
    <row r="8" spans="1:38">
      <c r="A8" t="s">
        <v>13</v>
      </c>
      <c r="B8" s="7">
        <v>5553</v>
      </c>
      <c r="C8" s="1">
        <v>2407.29</v>
      </c>
      <c r="D8" s="1">
        <v>240</v>
      </c>
      <c r="E8" s="1">
        <v>138</v>
      </c>
      <c r="F8" s="1">
        <v>50.010000000000005</v>
      </c>
      <c r="G8" s="1">
        <v>37</v>
      </c>
      <c r="H8" s="1">
        <v>96</v>
      </c>
      <c r="I8" s="1">
        <v>0</v>
      </c>
      <c r="J8" s="1">
        <v>0</v>
      </c>
      <c r="K8" s="1">
        <v>120</v>
      </c>
      <c r="L8" s="1">
        <v>240</v>
      </c>
      <c r="M8" s="1">
        <v>1433.6999999999998</v>
      </c>
      <c r="N8" s="1">
        <v>418.5</v>
      </c>
      <c r="O8" s="205">
        <v>6741</v>
      </c>
      <c r="P8" s="7">
        <f t="shared" si="0"/>
        <v>10733.5</v>
      </c>
      <c r="Q8" s="7">
        <f t="shared" ref="Q8:Q18" si="2">SUM(O8:P8)</f>
        <v>17474.5</v>
      </c>
      <c r="R8" s="11"/>
      <c r="S8" s="1">
        <v>5553</v>
      </c>
      <c r="T8" s="9">
        <f t="shared" si="1"/>
        <v>0</v>
      </c>
      <c r="U8" s="1">
        <v>5553</v>
      </c>
      <c r="V8" s="8">
        <f t="shared" ref="V8:V18" si="3">U8-S8</f>
        <v>0</v>
      </c>
      <c r="W8" s="1"/>
      <c r="X8" s="1"/>
      <c r="Y8" s="1"/>
      <c r="Z8" s="1"/>
      <c r="AA8" s="1"/>
      <c r="AB8" s="1"/>
      <c r="AC8" s="1"/>
      <c r="AD8" s="1"/>
      <c r="AE8" s="1"/>
      <c r="AF8" s="1"/>
      <c r="AG8" s="1"/>
      <c r="AH8" s="1"/>
      <c r="AI8" s="1"/>
      <c r="AJ8" s="1"/>
      <c r="AK8" s="1"/>
      <c r="AL8" s="1"/>
    </row>
    <row r="9" spans="1:38">
      <c r="A9" t="s">
        <v>14</v>
      </c>
      <c r="B9" s="7">
        <v>5147.34</v>
      </c>
      <c r="C9" s="1">
        <v>1861.6299999999999</v>
      </c>
      <c r="D9" s="1">
        <v>240</v>
      </c>
      <c r="E9" s="1">
        <v>118</v>
      </c>
      <c r="F9" s="1">
        <v>50</v>
      </c>
      <c r="G9" s="1">
        <v>20</v>
      </c>
      <c r="H9" s="1">
        <v>96</v>
      </c>
      <c r="I9" s="1">
        <v>0</v>
      </c>
      <c r="J9" s="1">
        <v>0</v>
      </c>
      <c r="K9" s="1">
        <v>120</v>
      </c>
      <c r="L9" s="1">
        <v>240</v>
      </c>
      <c r="M9" s="1">
        <v>240</v>
      </c>
      <c r="N9" s="1">
        <v>907.2</v>
      </c>
      <c r="O9" s="205">
        <v>2000</v>
      </c>
      <c r="P9" s="7">
        <f t="shared" si="0"/>
        <v>9040.17</v>
      </c>
      <c r="Q9" s="7">
        <f t="shared" si="2"/>
        <v>11040.17</v>
      </c>
      <c r="R9" s="11"/>
      <c r="S9" s="1">
        <v>5147.34</v>
      </c>
      <c r="T9" s="9">
        <f t="shared" si="1"/>
        <v>0</v>
      </c>
      <c r="U9" s="1">
        <v>5147.34</v>
      </c>
      <c r="V9" s="8">
        <f t="shared" si="3"/>
        <v>0</v>
      </c>
      <c r="W9" s="1"/>
      <c r="X9" s="1"/>
      <c r="Y9" s="1"/>
      <c r="Z9" s="1"/>
      <c r="AA9" s="1"/>
      <c r="AB9" s="1"/>
      <c r="AC9" s="1"/>
      <c r="AD9" s="1"/>
      <c r="AE9" s="1"/>
      <c r="AF9" s="1"/>
      <c r="AG9" s="1"/>
      <c r="AH9" s="1"/>
      <c r="AI9" s="1"/>
      <c r="AJ9" s="1"/>
      <c r="AK9" s="1"/>
      <c r="AL9" s="1"/>
    </row>
    <row r="10" spans="1:38">
      <c r="A10" t="s">
        <v>15</v>
      </c>
      <c r="B10" s="7">
        <v>4922.28</v>
      </c>
      <c r="C10" s="1">
        <v>1496.16</v>
      </c>
      <c r="D10" s="1">
        <v>240</v>
      </c>
      <c r="E10" s="1">
        <v>120</v>
      </c>
      <c r="F10" s="1">
        <v>50</v>
      </c>
      <c r="G10" s="1">
        <v>20</v>
      </c>
      <c r="H10" s="1">
        <v>96</v>
      </c>
      <c r="I10" s="1">
        <v>0</v>
      </c>
      <c r="J10" s="1">
        <v>0</v>
      </c>
      <c r="K10" s="1">
        <v>120</v>
      </c>
      <c r="L10" s="1">
        <v>156</v>
      </c>
      <c r="M10" s="1">
        <v>414.2</v>
      </c>
      <c r="N10" s="1">
        <v>1106.5</v>
      </c>
      <c r="O10" s="205">
        <v>1093.2</v>
      </c>
      <c r="P10" s="7">
        <f t="shared" si="0"/>
        <v>8741.14</v>
      </c>
      <c r="Q10" s="7">
        <f>SUM(O10:P10)</f>
        <v>9834.34</v>
      </c>
      <c r="R10" s="11"/>
      <c r="S10" s="1">
        <v>4922.28</v>
      </c>
      <c r="T10" s="9">
        <f t="shared" si="1"/>
        <v>0</v>
      </c>
      <c r="U10" s="1">
        <v>4922.28</v>
      </c>
      <c r="V10" s="8">
        <f t="shared" si="3"/>
        <v>0</v>
      </c>
      <c r="W10" s="1"/>
      <c r="X10" s="1"/>
      <c r="Y10" s="1"/>
      <c r="Z10" s="1"/>
      <c r="AA10" s="1"/>
      <c r="AB10" s="1"/>
      <c r="AC10" s="1"/>
      <c r="AD10" s="1"/>
      <c r="AE10" s="1"/>
      <c r="AF10" s="1"/>
      <c r="AG10" s="1"/>
      <c r="AH10" s="1"/>
      <c r="AI10" s="1"/>
      <c r="AJ10" s="1"/>
      <c r="AK10" s="1"/>
      <c r="AL10" s="1"/>
    </row>
    <row r="11" spans="1:38" ht="16.5">
      <c r="A11" t="s">
        <v>433</v>
      </c>
      <c r="B11" s="7">
        <f>4922.28+162.24</f>
        <v>5084.5199999999995</v>
      </c>
      <c r="C11" s="1">
        <v>1496.16</v>
      </c>
      <c r="D11" s="1">
        <v>240</v>
      </c>
      <c r="E11" s="1">
        <v>120</v>
      </c>
      <c r="F11" s="1">
        <v>50</v>
      </c>
      <c r="G11" s="1">
        <v>20</v>
      </c>
      <c r="H11" s="1">
        <v>96</v>
      </c>
      <c r="I11" s="1">
        <v>0</v>
      </c>
      <c r="J11" s="1">
        <v>0</v>
      </c>
      <c r="K11" s="1">
        <v>120</v>
      </c>
      <c r="L11" s="1">
        <v>156</v>
      </c>
      <c r="M11" s="1">
        <v>414.2</v>
      </c>
      <c r="N11" s="1">
        <v>1106.5</v>
      </c>
      <c r="O11" s="205">
        <v>1093.2</v>
      </c>
      <c r="P11" s="7">
        <f t="shared" si="0"/>
        <v>8903.3799999999992</v>
      </c>
      <c r="Q11" s="7">
        <f>SUM(O11:P11)</f>
        <v>9996.58</v>
      </c>
      <c r="R11" s="11"/>
      <c r="S11" s="1">
        <v>4922.28</v>
      </c>
      <c r="T11" s="9">
        <f t="shared" si="1"/>
        <v>-162.23999999999978</v>
      </c>
      <c r="U11" s="1">
        <v>4922.28</v>
      </c>
      <c r="V11" s="8">
        <f t="shared" ref="V11" si="4">U11-S11</f>
        <v>0</v>
      </c>
      <c r="W11" s="1"/>
      <c r="X11" s="1"/>
      <c r="Y11" s="1"/>
      <c r="Z11" s="1"/>
      <c r="AA11" s="1"/>
      <c r="AB11" s="1"/>
      <c r="AC11" s="1"/>
      <c r="AD11" s="1"/>
      <c r="AE11" s="1"/>
      <c r="AF11" s="1"/>
      <c r="AG11" s="1"/>
      <c r="AH11" s="1"/>
      <c r="AI11" s="1"/>
      <c r="AJ11" s="1"/>
      <c r="AK11" s="1"/>
      <c r="AL11" s="1"/>
    </row>
    <row r="12" spans="1:38">
      <c r="A12" t="s">
        <v>16</v>
      </c>
      <c r="B12" s="7">
        <v>5180</v>
      </c>
      <c r="C12" s="1">
        <f>1490+576</f>
        <v>2066</v>
      </c>
      <c r="D12" s="1">
        <v>240</v>
      </c>
      <c r="E12" s="1">
        <v>124</v>
      </c>
      <c r="F12" s="1">
        <v>50</v>
      </c>
      <c r="G12" s="1">
        <v>20</v>
      </c>
      <c r="H12" s="1">
        <v>96</v>
      </c>
      <c r="I12" s="1">
        <v>210</v>
      </c>
      <c r="J12" s="1">
        <v>0</v>
      </c>
      <c r="K12" s="1">
        <v>120</v>
      </c>
      <c r="L12" s="1">
        <v>0</v>
      </c>
      <c r="M12" s="1">
        <v>596</v>
      </c>
      <c r="N12" s="1">
        <v>668</v>
      </c>
      <c r="O12" s="205">
        <v>10788</v>
      </c>
      <c r="P12" s="7">
        <f t="shared" si="0"/>
        <v>9370</v>
      </c>
      <c r="Q12" s="7">
        <f t="shared" si="2"/>
        <v>20158</v>
      </c>
      <c r="R12" s="11"/>
      <c r="S12" s="1">
        <v>5180</v>
      </c>
      <c r="T12" s="9">
        <f t="shared" si="1"/>
        <v>0</v>
      </c>
      <c r="U12" s="1">
        <v>5180</v>
      </c>
      <c r="V12" s="8">
        <f t="shared" si="3"/>
        <v>0</v>
      </c>
      <c r="W12" s="1"/>
      <c r="X12" s="1"/>
      <c r="Y12" s="1"/>
      <c r="Z12" s="1"/>
      <c r="AA12" s="1"/>
      <c r="AB12" s="1"/>
      <c r="AC12" s="1"/>
      <c r="AD12" s="1"/>
      <c r="AE12" s="1"/>
      <c r="AF12" s="1"/>
      <c r="AG12" s="1"/>
      <c r="AH12" s="1"/>
      <c r="AI12" s="1"/>
      <c r="AJ12" s="1"/>
      <c r="AK12" s="1"/>
      <c r="AL12" s="1"/>
    </row>
    <row r="13" spans="1:38">
      <c r="A13" t="s">
        <v>17</v>
      </c>
      <c r="B13" s="7">
        <v>5777</v>
      </c>
      <c r="C13" s="1">
        <v>508</v>
      </c>
      <c r="D13" s="1">
        <v>240</v>
      </c>
      <c r="E13" s="1">
        <v>115</v>
      </c>
      <c r="F13" s="1">
        <v>50</v>
      </c>
      <c r="G13" s="1">
        <v>20</v>
      </c>
      <c r="H13" s="1">
        <v>96</v>
      </c>
      <c r="I13" s="1">
        <v>0</v>
      </c>
      <c r="J13" s="1">
        <v>0</v>
      </c>
      <c r="K13" s="1">
        <v>120</v>
      </c>
      <c r="L13" s="1">
        <v>240</v>
      </c>
      <c r="M13" s="1">
        <v>1358</v>
      </c>
      <c r="N13" s="1">
        <v>519</v>
      </c>
      <c r="O13" s="205">
        <v>12478</v>
      </c>
      <c r="P13" s="7">
        <f t="shared" si="0"/>
        <v>9043</v>
      </c>
      <c r="Q13" s="7">
        <f t="shared" si="2"/>
        <v>21521</v>
      </c>
      <c r="R13" s="11"/>
      <c r="S13" s="1">
        <v>5652</v>
      </c>
      <c r="T13" s="9">
        <f t="shared" si="1"/>
        <v>-125</v>
      </c>
      <c r="U13" s="1">
        <v>5652</v>
      </c>
      <c r="V13" s="8">
        <f t="shared" si="3"/>
        <v>0</v>
      </c>
      <c r="W13" s="1"/>
      <c r="X13" s="1"/>
      <c r="Y13" s="1"/>
      <c r="Z13" s="1"/>
      <c r="AA13" s="1"/>
      <c r="AB13" s="1"/>
      <c r="AC13" s="1"/>
      <c r="AD13" s="1"/>
      <c r="AE13" s="1"/>
      <c r="AF13" s="1"/>
      <c r="AG13" s="1"/>
      <c r="AH13" s="1"/>
      <c r="AI13" s="1"/>
      <c r="AJ13" s="1"/>
      <c r="AK13" s="1"/>
      <c r="AL13" s="1"/>
    </row>
    <row r="14" spans="1:38" ht="16.5">
      <c r="A14" t="s">
        <v>434</v>
      </c>
      <c r="B14" s="7">
        <f>5777+160</f>
        <v>5937</v>
      </c>
      <c r="C14" s="1">
        <v>508</v>
      </c>
      <c r="D14" s="1">
        <v>240</v>
      </c>
      <c r="E14" s="1">
        <v>115</v>
      </c>
      <c r="F14" s="1">
        <v>50</v>
      </c>
      <c r="G14" s="1">
        <v>20</v>
      </c>
      <c r="H14" s="1">
        <v>96</v>
      </c>
      <c r="I14" s="1">
        <v>0</v>
      </c>
      <c r="J14" s="1">
        <v>0</v>
      </c>
      <c r="K14" s="1">
        <v>120</v>
      </c>
      <c r="L14" s="1">
        <v>240</v>
      </c>
      <c r="M14" s="1">
        <v>1358</v>
      </c>
      <c r="N14" s="1">
        <v>519</v>
      </c>
      <c r="O14" s="205">
        <v>12478</v>
      </c>
      <c r="P14" s="7">
        <f t="shared" si="0"/>
        <v>9203</v>
      </c>
      <c r="Q14" s="7">
        <f t="shared" ref="Q14" si="5">SUM(O14:P14)</f>
        <v>21681</v>
      </c>
      <c r="R14" s="11"/>
      <c r="S14" s="1">
        <v>5652</v>
      </c>
      <c r="T14" s="9">
        <f t="shared" si="1"/>
        <v>-285</v>
      </c>
      <c r="U14" s="1">
        <v>5652</v>
      </c>
      <c r="V14" s="8">
        <f t="shared" ref="V14" si="6">U14-S14</f>
        <v>0</v>
      </c>
      <c r="W14" s="1"/>
      <c r="X14" s="1"/>
      <c r="Y14" s="1"/>
      <c r="Z14" s="1"/>
      <c r="AA14" s="1"/>
      <c r="AB14" s="1"/>
      <c r="AC14" s="1"/>
      <c r="AD14" s="1"/>
      <c r="AE14" s="1"/>
      <c r="AF14" s="1"/>
      <c r="AG14" s="1"/>
      <c r="AH14" s="1"/>
      <c r="AI14" s="1"/>
      <c r="AJ14" s="1"/>
      <c r="AK14" s="1"/>
      <c r="AL14" s="1"/>
    </row>
    <row r="15" spans="1:38">
      <c r="A15" t="s">
        <v>18</v>
      </c>
      <c r="B15" s="7">
        <v>5406.96</v>
      </c>
      <c r="C15" s="1">
        <v>3859.46</v>
      </c>
      <c r="D15" s="1">
        <v>240</v>
      </c>
      <c r="E15" s="1">
        <v>122.4</v>
      </c>
      <c r="F15" s="1">
        <v>50</v>
      </c>
      <c r="G15" s="1">
        <v>20</v>
      </c>
      <c r="H15" s="1">
        <v>96</v>
      </c>
      <c r="I15" s="1">
        <v>0</v>
      </c>
      <c r="J15" s="1">
        <v>0</v>
      </c>
      <c r="K15" s="1">
        <v>120</v>
      </c>
      <c r="L15" s="1">
        <v>240</v>
      </c>
      <c r="M15" s="1">
        <v>239.92</v>
      </c>
      <c r="N15" s="1">
        <v>752.3</v>
      </c>
      <c r="O15" s="205">
        <v>13728</v>
      </c>
      <c r="P15" s="7">
        <f t="shared" si="0"/>
        <v>11147.039999999999</v>
      </c>
      <c r="Q15" s="7">
        <f t="shared" si="2"/>
        <v>24875.040000000001</v>
      </c>
      <c r="R15" s="11"/>
      <c r="S15" s="1">
        <v>5406.96</v>
      </c>
      <c r="T15" s="9">
        <f t="shared" si="1"/>
        <v>0</v>
      </c>
      <c r="U15" s="1">
        <v>5406.96</v>
      </c>
      <c r="V15" s="8">
        <f t="shared" si="3"/>
        <v>0</v>
      </c>
      <c r="W15" s="1"/>
      <c r="X15" s="1"/>
      <c r="Y15" s="1"/>
      <c r="Z15" s="1"/>
      <c r="AA15" s="1"/>
      <c r="AB15" s="1"/>
      <c r="AC15" s="1"/>
      <c r="AD15" s="1"/>
      <c r="AE15" s="1"/>
      <c r="AF15" s="1"/>
      <c r="AG15" s="1"/>
      <c r="AH15" s="1"/>
      <c r="AI15" s="1"/>
      <c r="AJ15" s="1"/>
      <c r="AK15" s="1"/>
      <c r="AL15" s="1"/>
    </row>
    <row r="16" spans="1:38" ht="16.5">
      <c r="A16" t="s">
        <v>435</v>
      </c>
      <c r="B16" s="7">
        <f>5406.96+313</f>
        <v>5719.96</v>
      </c>
      <c r="C16" s="1">
        <v>3859.46</v>
      </c>
      <c r="D16" s="1">
        <v>240</v>
      </c>
      <c r="E16" s="1">
        <v>122.4</v>
      </c>
      <c r="F16" s="1">
        <v>50</v>
      </c>
      <c r="G16" s="1">
        <v>20</v>
      </c>
      <c r="H16" s="1">
        <v>96</v>
      </c>
      <c r="I16" s="1">
        <v>0</v>
      </c>
      <c r="J16" s="1">
        <v>0</v>
      </c>
      <c r="K16" s="1">
        <v>120</v>
      </c>
      <c r="L16" s="1">
        <v>240</v>
      </c>
      <c r="M16" s="1">
        <v>239.92</v>
      </c>
      <c r="N16" s="1">
        <v>752.3</v>
      </c>
      <c r="O16" s="205">
        <v>13728</v>
      </c>
      <c r="P16" s="7">
        <f t="shared" si="0"/>
        <v>11460.039999999999</v>
      </c>
      <c r="Q16" s="7">
        <f t="shared" ref="Q16" si="7">SUM(O16:P16)</f>
        <v>25188.04</v>
      </c>
      <c r="R16" s="11"/>
      <c r="S16" s="1">
        <v>5406.96</v>
      </c>
      <c r="T16" s="9">
        <f t="shared" si="1"/>
        <v>-313</v>
      </c>
      <c r="U16" s="1">
        <v>5406.96</v>
      </c>
      <c r="V16" s="8">
        <f t="shared" ref="V16" si="8">U16-S16</f>
        <v>0</v>
      </c>
      <c r="W16" s="1"/>
      <c r="X16" s="1"/>
      <c r="Y16" s="1"/>
      <c r="Z16" s="1"/>
      <c r="AA16" s="1"/>
      <c r="AB16" s="1"/>
      <c r="AC16" s="1"/>
      <c r="AD16" s="1"/>
      <c r="AE16" s="1"/>
      <c r="AF16" s="1"/>
      <c r="AG16" s="1"/>
      <c r="AH16" s="1"/>
      <c r="AI16" s="1"/>
      <c r="AJ16" s="1"/>
      <c r="AK16" s="1"/>
      <c r="AL16" s="1"/>
    </row>
    <row r="17" spans="1:38">
      <c r="A17" t="s">
        <v>45</v>
      </c>
      <c r="B17" s="7">
        <v>5788</v>
      </c>
      <c r="C17" s="1">
        <f>884+735</f>
        <v>1619</v>
      </c>
      <c r="D17" s="1">
        <v>240</v>
      </c>
      <c r="E17" s="1">
        <v>120</v>
      </c>
      <c r="F17" s="1">
        <v>50</v>
      </c>
      <c r="G17" s="1">
        <v>20</v>
      </c>
      <c r="H17" s="1">
        <v>96</v>
      </c>
      <c r="I17" s="1">
        <v>0</v>
      </c>
      <c r="J17" s="1">
        <v>0</v>
      </c>
      <c r="K17" s="1">
        <v>120</v>
      </c>
      <c r="L17" s="1">
        <v>240</v>
      </c>
      <c r="M17" s="1">
        <v>972</v>
      </c>
      <c r="N17" s="1">
        <v>800</v>
      </c>
      <c r="O17" s="205">
        <v>12100</v>
      </c>
      <c r="P17" s="7">
        <f t="shared" si="0"/>
        <v>10065</v>
      </c>
      <c r="Q17" s="7">
        <f t="shared" si="2"/>
        <v>22165</v>
      </c>
      <c r="R17" s="11"/>
      <c r="S17" s="1">
        <v>5788</v>
      </c>
      <c r="T17" s="9">
        <f t="shared" si="1"/>
        <v>0</v>
      </c>
      <c r="U17" s="1">
        <v>5788</v>
      </c>
      <c r="V17" s="8">
        <f>U17-S17</f>
        <v>0</v>
      </c>
      <c r="W17" s="1"/>
      <c r="X17" s="1"/>
      <c r="Y17" s="1"/>
      <c r="Z17" s="1"/>
      <c r="AA17" s="1"/>
      <c r="AB17" s="1"/>
      <c r="AC17" s="1"/>
      <c r="AD17" s="1"/>
      <c r="AE17" s="1"/>
      <c r="AF17" s="1"/>
      <c r="AG17" s="1"/>
      <c r="AH17" s="1"/>
      <c r="AI17" s="1"/>
      <c r="AJ17" s="1"/>
      <c r="AK17" s="1"/>
      <c r="AL17" s="1"/>
    </row>
    <row r="18" spans="1:38">
      <c r="A18" t="s">
        <v>26</v>
      </c>
      <c r="B18" s="7">
        <v>6090.38</v>
      </c>
      <c r="C18" s="1">
        <f>339.1+300</f>
        <v>639.1</v>
      </c>
      <c r="D18" s="1">
        <v>240</v>
      </c>
      <c r="E18" s="1">
        <v>138</v>
      </c>
      <c r="F18" s="1">
        <v>0</v>
      </c>
      <c r="G18" s="1">
        <v>150</v>
      </c>
      <c r="H18" s="1">
        <v>96</v>
      </c>
      <c r="I18" s="1">
        <v>0</v>
      </c>
      <c r="J18" s="1">
        <v>0</v>
      </c>
      <c r="K18" s="1">
        <v>0</v>
      </c>
      <c r="L18" s="1">
        <v>0</v>
      </c>
      <c r="M18" s="1">
        <v>1682.6</v>
      </c>
      <c r="N18" s="1">
        <v>435.92</v>
      </c>
      <c r="O18" s="205">
        <v>4836</v>
      </c>
      <c r="P18" s="7">
        <f t="shared" si="0"/>
        <v>9472</v>
      </c>
      <c r="Q18" s="7">
        <f t="shared" si="2"/>
        <v>14308</v>
      </c>
      <c r="R18" s="11"/>
      <c r="S18" s="1">
        <v>6090.38</v>
      </c>
      <c r="T18" s="9">
        <f t="shared" si="1"/>
        <v>0</v>
      </c>
      <c r="U18" s="1">
        <v>6090.38</v>
      </c>
      <c r="V18" s="8">
        <f t="shared" si="3"/>
        <v>0</v>
      </c>
      <c r="W18" s="1"/>
      <c r="X18" s="1"/>
      <c r="Y18" s="1"/>
      <c r="Z18" s="1"/>
      <c r="AA18" s="1"/>
      <c r="AB18" s="1"/>
      <c r="AC18" s="1"/>
      <c r="AD18" s="1"/>
      <c r="AE18" s="1"/>
      <c r="AF18" s="1"/>
      <c r="AG18" s="1"/>
      <c r="AH18" s="1"/>
      <c r="AI18" s="1"/>
      <c r="AJ18" s="1"/>
      <c r="AK18" s="1"/>
      <c r="AL18" s="1"/>
    </row>
    <row r="19" spans="1:38">
      <c r="A19" s="130" t="s">
        <v>21</v>
      </c>
      <c r="B19" s="250"/>
      <c r="C19" s="131"/>
      <c r="D19" s="131"/>
      <c r="E19" s="131"/>
      <c r="F19" s="131"/>
      <c r="G19" s="131"/>
      <c r="H19" s="131"/>
      <c r="I19" s="131"/>
      <c r="J19" s="131"/>
      <c r="K19" s="131"/>
      <c r="L19" s="131"/>
      <c r="M19" s="131"/>
      <c r="N19" s="131"/>
      <c r="O19" s="206"/>
      <c r="P19" s="250"/>
      <c r="Q19" s="250"/>
      <c r="R19" s="11"/>
      <c r="S19" s="131"/>
      <c r="T19" s="132"/>
      <c r="U19" s="131"/>
      <c r="V19" s="133"/>
      <c r="W19" s="1"/>
      <c r="X19" s="1"/>
      <c r="Y19" s="1"/>
      <c r="Z19" s="1"/>
      <c r="AA19" s="1"/>
      <c r="AB19" s="1"/>
      <c r="AC19" s="1"/>
      <c r="AD19" s="1"/>
      <c r="AE19" s="1"/>
      <c r="AF19" s="1"/>
      <c r="AG19" s="1"/>
      <c r="AH19" s="1"/>
      <c r="AI19" s="1"/>
      <c r="AJ19" s="1"/>
      <c r="AK19" s="1"/>
      <c r="AL19" s="1"/>
    </row>
    <row r="20" spans="1:38">
      <c r="A20" t="s">
        <v>217</v>
      </c>
      <c r="B20" s="7">
        <v>7462.98</v>
      </c>
      <c r="C20" s="1">
        <v>548.87</v>
      </c>
      <c r="D20" s="1">
        <v>490</v>
      </c>
      <c r="E20" s="1">
        <v>160</v>
      </c>
      <c r="F20" s="1">
        <v>0</v>
      </c>
      <c r="G20" s="1">
        <v>0</v>
      </c>
      <c r="H20" s="1">
        <v>96</v>
      </c>
      <c r="I20" s="1">
        <v>0</v>
      </c>
      <c r="J20" s="1">
        <v>0</v>
      </c>
      <c r="K20" s="1">
        <v>120</v>
      </c>
      <c r="L20" s="1">
        <v>0</v>
      </c>
      <c r="M20" s="1">
        <v>3029.5</v>
      </c>
      <c r="N20" s="1">
        <v>276.25</v>
      </c>
      <c r="O20" s="205">
        <v>16676</v>
      </c>
      <c r="P20" s="7">
        <f t="shared" ref="P20:P32" si="9">SUM(B20:N20)</f>
        <v>12183.599999999999</v>
      </c>
      <c r="Q20" s="7">
        <f t="shared" ref="Q20:Q34" si="10">SUM(O20:P20)</f>
        <v>28859.599999999999</v>
      </c>
      <c r="R20" s="11"/>
      <c r="S20" s="1">
        <v>7462.98</v>
      </c>
      <c r="T20" s="9">
        <f t="shared" ref="T20:T34" si="11">S20-B20</f>
        <v>0</v>
      </c>
      <c r="U20" s="1">
        <v>7462.98</v>
      </c>
      <c r="V20" s="8">
        <f t="shared" ref="V20:V34" si="12">U20-S20</f>
        <v>0</v>
      </c>
      <c r="W20" s="1"/>
      <c r="X20" s="1"/>
      <c r="Y20" s="1"/>
      <c r="Z20" s="1"/>
      <c r="AA20" s="1"/>
      <c r="AB20" s="1"/>
      <c r="AC20" s="1"/>
      <c r="AD20" s="1"/>
      <c r="AE20" s="1"/>
      <c r="AF20" s="1"/>
      <c r="AG20" s="1"/>
      <c r="AH20" s="1"/>
      <c r="AI20" s="1"/>
      <c r="AJ20" s="1"/>
      <c r="AK20" s="1"/>
      <c r="AL20" s="1"/>
    </row>
    <row r="21" spans="1:38">
      <c r="A21" t="s">
        <v>218</v>
      </c>
      <c r="B21" s="7">
        <v>7462.98</v>
      </c>
      <c r="C21" s="1">
        <v>548.87</v>
      </c>
      <c r="D21" s="1">
        <v>490</v>
      </c>
      <c r="E21" s="1">
        <v>160</v>
      </c>
      <c r="F21" s="1">
        <v>0</v>
      </c>
      <c r="G21" s="1">
        <v>0</v>
      </c>
      <c r="H21" s="1">
        <v>96</v>
      </c>
      <c r="I21" s="1">
        <v>0</v>
      </c>
      <c r="J21" s="1">
        <v>0</v>
      </c>
      <c r="K21" s="1">
        <v>120</v>
      </c>
      <c r="L21" s="1">
        <v>0</v>
      </c>
      <c r="M21" s="1">
        <v>3221.5</v>
      </c>
      <c r="N21" s="1">
        <v>276.25</v>
      </c>
      <c r="O21" s="205">
        <v>16676</v>
      </c>
      <c r="P21" s="7">
        <f t="shared" si="9"/>
        <v>12375.599999999999</v>
      </c>
      <c r="Q21" s="7">
        <f t="shared" ref="Q21:Q22" si="13">SUM(O21:P21)</f>
        <v>29051.599999999999</v>
      </c>
      <c r="R21" s="11"/>
      <c r="S21" s="1">
        <v>7462.98</v>
      </c>
      <c r="T21" s="9">
        <f t="shared" si="11"/>
        <v>0</v>
      </c>
      <c r="U21" s="1">
        <v>7462.98</v>
      </c>
      <c r="V21" s="8">
        <f t="shared" ref="V21:V22" si="14">U21-S21</f>
        <v>0</v>
      </c>
      <c r="W21" s="1"/>
      <c r="X21" s="1"/>
      <c r="Y21" s="1"/>
      <c r="Z21" s="1"/>
      <c r="AA21" s="1"/>
      <c r="AB21" s="1"/>
      <c r="AC21" s="1"/>
      <c r="AD21" s="1"/>
      <c r="AE21" s="1"/>
      <c r="AF21" s="1"/>
      <c r="AG21" s="1"/>
      <c r="AH21" s="1"/>
      <c r="AI21" s="1"/>
      <c r="AJ21" s="1"/>
      <c r="AK21" s="1"/>
      <c r="AL21" s="1"/>
    </row>
    <row r="22" spans="1:38" ht="16.5">
      <c r="A22" t="s">
        <v>436</v>
      </c>
      <c r="B22" s="7">
        <f>7462.98+192</f>
        <v>7654.98</v>
      </c>
      <c r="C22" s="1">
        <v>548.87</v>
      </c>
      <c r="D22" s="1">
        <v>490</v>
      </c>
      <c r="E22" s="1">
        <v>160</v>
      </c>
      <c r="F22" s="1">
        <v>0</v>
      </c>
      <c r="G22" s="1">
        <v>0</v>
      </c>
      <c r="H22" s="1">
        <v>96</v>
      </c>
      <c r="I22" s="1">
        <v>0</v>
      </c>
      <c r="J22" s="1">
        <v>0</v>
      </c>
      <c r="K22" s="1">
        <v>120</v>
      </c>
      <c r="L22" s="1">
        <v>0</v>
      </c>
      <c r="M22" s="1">
        <v>3029.5</v>
      </c>
      <c r="N22" s="1">
        <v>276.25</v>
      </c>
      <c r="O22" s="205">
        <v>16676</v>
      </c>
      <c r="P22" s="7">
        <f t="shared" si="9"/>
        <v>12375.6</v>
      </c>
      <c r="Q22" s="7">
        <f t="shared" si="13"/>
        <v>29051.599999999999</v>
      </c>
      <c r="R22" s="11"/>
      <c r="S22" s="1">
        <v>7462.98</v>
      </c>
      <c r="T22" s="9">
        <f t="shared" si="11"/>
        <v>-192</v>
      </c>
      <c r="U22" s="1">
        <v>7462.98</v>
      </c>
      <c r="V22" s="8">
        <f t="shared" si="14"/>
        <v>0</v>
      </c>
      <c r="W22" s="1"/>
      <c r="X22" s="1"/>
      <c r="Y22" s="1"/>
      <c r="Z22" s="1"/>
      <c r="AA22" s="1"/>
      <c r="AB22" s="1"/>
      <c r="AC22" s="1"/>
      <c r="AD22" s="1"/>
      <c r="AE22" s="1"/>
      <c r="AF22" s="1"/>
      <c r="AG22" s="1"/>
      <c r="AH22" s="1"/>
      <c r="AI22" s="1"/>
      <c r="AJ22" s="1"/>
      <c r="AK22" s="1"/>
      <c r="AL22" s="1"/>
    </row>
    <row r="23" spans="1:38">
      <c r="A23" t="s">
        <v>24</v>
      </c>
      <c r="B23" s="7">
        <v>5372.4</v>
      </c>
      <c r="C23" s="1">
        <v>260</v>
      </c>
      <c r="D23" s="1">
        <v>400.08000000000004</v>
      </c>
      <c r="E23" s="1">
        <v>96</v>
      </c>
      <c r="F23" s="1">
        <v>0</v>
      </c>
      <c r="G23" s="1">
        <v>0</v>
      </c>
      <c r="H23" s="1">
        <v>96</v>
      </c>
      <c r="I23" s="1">
        <v>0</v>
      </c>
      <c r="J23" s="1">
        <v>0</v>
      </c>
      <c r="K23" s="1">
        <v>120</v>
      </c>
      <c r="L23" s="1">
        <v>48</v>
      </c>
      <c r="M23" s="1">
        <v>287.04000000000002</v>
      </c>
      <c r="N23" s="1">
        <v>743.52</v>
      </c>
      <c r="O23" s="205">
        <v>13154.16</v>
      </c>
      <c r="P23" s="7">
        <f t="shared" si="9"/>
        <v>7423.0399999999991</v>
      </c>
      <c r="Q23" s="7">
        <f t="shared" si="10"/>
        <v>20577.199999999997</v>
      </c>
      <c r="R23" s="11"/>
      <c r="S23" s="138">
        <v>5372.4</v>
      </c>
      <c r="T23" s="9">
        <f t="shared" si="11"/>
        <v>0</v>
      </c>
      <c r="U23" s="1">
        <v>5372.4</v>
      </c>
      <c r="V23" s="8">
        <f t="shared" si="12"/>
        <v>0</v>
      </c>
      <c r="W23" s="1"/>
      <c r="X23" s="1"/>
      <c r="Y23" s="1"/>
      <c r="Z23" s="1"/>
      <c r="AA23" s="1"/>
      <c r="AB23" s="1"/>
      <c r="AC23" s="1"/>
      <c r="AD23" s="1"/>
      <c r="AE23" s="1"/>
      <c r="AF23" s="1"/>
      <c r="AG23" s="1"/>
      <c r="AH23" s="1"/>
      <c r="AI23" s="1"/>
      <c r="AJ23" s="1"/>
      <c r="AK23" s="1"/>
      <c r="AL23" s="1"/>
    </row>
    <row r="24" spans="1:38">
      <c r="A24" t="s">
        <v>23</v>
      </c>
      <c r="B24" s="7">
        <v>4894.08</v>
      </c>
      <c r="C24" s="1">
        <v>196.32</v>
      </c>
      <c r="D24" s="1">
        <v>240</v>
      </c>
      <c r="E24" s="1">
        <v>108</v>
      </c>
      <c r="F24" s="1">
        <v>0</v>
      </c>
      <c r="G24" s="1">
        <v>96</v>
      </c>
      <c r="H24" s="1">
        <v>0</v>
      </c>
      <c r="I24" s="1">
        <v>0</v>
      </c>
      <c r="J24" s="1">
        <v>0</v>
      </c>
      <c r="K24" s="1">
        <v>120</v>
      </c>
      <c r="L24" s="1">
        <v>61.44</v>
      </c>
      <c r="M24" s="1">
        <v>534</v>
      </c>
      <c r="N24" s="1">
        <v>679</v>
      </c>
      <c r="O24" s="205">
        <v>7266</v>
      </c>
      <c r="P24" s="7">
        <f t="shared" si="9"/>
        <v>6928.8399999999992</v>
      </c>
      <c r="Q24" s="7">
        <f t="shared" si="10"/>
        <v>14194.84</v>
      </c>
      <c r="R24" s="11"/>
      <c r="S24" s="138">
        <v>4894.25</v>
      </c>
      <c r="T24" s="9">
        <f t="shared" si="11"/>
        <v>0.17000000000007276</v>
      </c>
      <c r="U24" s="1">
        <v>4894.25</v>
      </c>
      <c r="V24" s="8">
        <f t="shared" si="12"/>
        <v>0</v>
      </c>
      <c r="W24" s="1"/>
      <c r="X24" s="1"/>
      <c r="Y24" s="1"/>
      <c r="Z24" s="1"/>
      <c r="AA24" s="1"/>
      <c r="AB24" s="1"/>
      <c r="AC24" s="1"/>
      <c r="AD24" s="1"/>
      <c r="AE24" s="1"/>
      <c r="AF24" s="1"/>
      <c r="AG24" s="1"/>
      <c r="AH24" s="1"/>
      <c r="AI24" s="1"/>
      <c r="AJ24" s="1"/>
      <c r="AK24" s="1"/>
      <c r="AL24" s="1"/>
    </row>
    <row r="25" spans="1:38" ht="16.5">
      <c r="A25" t="s">
        <v>437</v>
      </c>
      <c r="B25" s="7">
        <f>4894.08+244.8</f>
        <v>5138.88</v>
      </c>
      <c r="C25" s="1">
        <v>206.16</v>
      </c>
      <c r="D25" s="1">
        <v>252</v>
      </c>
      <c r="E25" s="1">
        <v>113.52</v>
      </c>
      <c r="F25" s="1">
        <v>0</v>
      </c>
      <c r="G25" s="1">
        <v>96</v>
      </c>
      <c r="H25" s="1">
        <v>0</v>
      </c>
      <c r="I25" s="1">
        <v>0</v>
      </c>
      <c r="J25" s="1">
        <v>0</v>
      </c>
      <c r="K25" s="1">
        <v>120</v>
      </c>
      <c r="L25" s="1">
        <v>61.44</v>
      </c>
      <c r="M25" s="1">
        <v>555.6</v>
      </c>
      <c r="N25" s="1">
        <v>679</v>
      </c>
      <c r="O25" s="205">
        <v>7629.12</v>
      </c>
      <c r="P25" s="7">
        <f t="shared" si="9"/>
        <v>7222.6</v>
      </c>
      <c r="Q25" s="7">
        <f t="shared" ref="Q25" si="15">SUM(O25:P25)</f>
        <v>14851.720000000001</v>
      </c>
      <c r="R25" s="11"/>
      <c r="S25" s="138">
        <v>4894.25</v>
      </c>
      <c r="T25" s="9">
        <f t="shared" si="11"/>
        <v>-244.63000000000011</v>
      </c>
      <c r="U25" s="1">
        <v>4894.25</v>
      </c>
      <c r="V25" s="8">
        <f t="shared" ref="V25" si="16">U25-S25</f>
        <v>0</v>
      </c>
      <c r="W25" s="1"/>
      <c r="X25" s="1"/>
      <c r="Y25" s="1"/>
      <c r="Z25" s="1"/>
      <c r="AA25" s="1"/>
      <c r="AB25" s="1"/>
      <c r="AC25" s="1"/>
      <c r="AD25" s="1"/>
      <c r="AE25" s="1"/>
      <c r="AF25" s="1"/>
      <c r="AG25" s="1"/>
      <c r="AH25" s="1"/>
      <c r="AI25" s="1"/>
      <c r="AJ25" s="1"/>
      <c r="AK25" s="1"/>
      <c r="AL25" s="1"/>
    </row>
    <row r="26" spans="1:38">
      <c r="A26" t="s">
        <v>25</v>
      </c>
      <c r="B26" s="7">
        <v>2710.64</v>
      </c>
      <c r="C26" s="1">
        <v>157.44</v>
      </c>
      <c r="D26" s="1">
        <v>240</v>
      </c>
      <c r="E26" s="1">
        <v>78</v>
      </c>
      <c r="F26" s="1">
        <v>0</v>
      </c>
      <c r="G26" s="1">
        <v>0</v>
      </c>
      <c r="H26" s="1">
        <v>96</v>
      </c>
      <c r="I26" s="1">
        <v>0</v>
      </c>
      <c r="J26" s="1">
        <v>0</v>
      </c>
      <c r="K26" s="1">
        <v>120</v>
      </c>
      <c r="L26" s="1">
        <v>144</v>
      </c>
      <c r="M26" s="1">
        <v>824.4</v>
      </c>
      <c r="N26" s="1">
        <v>432</v>
      </c>
      <c r="O26" s="205">
        <v>5364</v>
      </c>
      <c r="P26" s="7">
        <f t="shared" si="9"/>
        <v>4802.4799999999996</v>
      </c>
      <c r="Q26" s="7">
        <f t="shared" si="10"/>
        <v>10166.48</v>
      </c>
      <c r="R26" s="11"/>
      <c r="S26" s="138">
        <v>2710.64</v>
      </c>
      <c r="T26" s="9">
        <f t="shared" si="11"/>
        <v>0</v>
      </c>
      <c r="U26" s="1">
        <v>2710.64</v>
      </c>
      <c r="V26" s="8">
        <f t="shared" si="12"/>
        <v>0</v>
      </c>
      <c r="W26" s="1"/>
      <c r="X26" s="1"/>
      <c r="Y26" s="1"/>
      <c r="Z26" s="1"/>
      <c r="AA26" s="1"/>
      <c r="AB26" s="1"/>
      <c r="AC26" s="1"/>
      <c r="AD26" s="1"/>
      <c r="AE26" s="1"/>
      <c r="AF26" s="1"/>
      <c r="AG26" s="1"/>
      <c r="AH26" s="1"/>
      <c r="AI26" s="1"/>
      <c r="AJ26" s="1"/>
      <c r="AK26" s="1"/>
      <c r="AL26" s="1"/>
    </row>
    <row r="27" spans="1:38" ht="16.5">
      <c r="A27" t="s">
        <v>438</v>
      </c>
      <c r="B27" s="7">
        <f>2710.64+143</f>
        <v>2853.64</v>
      </c>
      <c r="C27" s="1">
        <v>157.44</v>
      </c>
      <c r="D27" s="1">
        <v>240</v>
      </c>
      <c r="E27" s="1">
        <v>78</v>
      </c>
      <c r="F27" s="1">
        <v>0</v>
      </c>
      <c r="G27" s="1">
        <v>0</v>
      </c>
      <c r="H27" s="1">
        <v>96</v>
      </c>
      <c r="I27" s="1">
        <v>0</v>
      </c>
      <c r="J27" s="1">
        <v>0</v>
      </c>
      <c r="K27" s="1">
        <v>120</v>
      </c>
      <c r="L27" s="1">
        <v>144</v>
      </c>
      <c r="M27" s="1">
        <v>824.4</v>
      </c>
      <c r="N27" s="1">
        <v>432</v>
      </c>
      <c r="O27" s="205">
        <v>5364</v>
      </c>
      <c r="P27" s="7">
        <f t="shared" si="9"/>
        <v>4945.4799999999996</v>
      </c>
      <c r="Q27" s="7">
        <f t="shared" ref="Q27" si="17">SUM(O27:P27)</f>
        <v>10309.48</v>
      </c>
      <c r="R27" s="11"/>
      <c r="S27" s="138">
        <v>2710.64</v>
      </c>
      <c r="T27" s="9">
        <f t="shared" si="11"/>
        <v>-143</v>
      </c>
      <c r="U27" s="1">
        <v>2710.64</v>
      </c>
      <c r="V27" s="8">
        <f t="shared" ref="V27" si="18">U27-S27</f>
        <v>0</v>
      </c>
      <c r="W27" s="1"/>
      <c r="X27" s="1"/>
      <c r="Y27" s="1"/>
      <c r="Z27" s="1"/>
      <c r="AA27" s="1"/>
      <c r="AB27" s="1"/>
      <c r="AC27" s="1"/>
      <c r="AD27" s="1"/>
      <c r="AE27" s="1"/>
      <c r="AF27" s="1"/>
      <c r="AG27" s="1"/>
      <c r="AH27" s="1"/>
      <c r="AI27" s="1"/>
      <c r="AJ27" s="1"/>
      <c r="AK27" s="1"/>
      <c r="AL27" s="1"/>
    </row>
    <row r="28" spans="1:38">
      <c r="A28" t="s">
        <v>27</v>
      </c>
      <c r="B28" s="7">
        <v>7673.2</v>
      </c>
      <c r="C28" s="1">
        <v>303.35000000000002</v>
      </c>
      <c r="D28" s="1">
        <v>240</v>
      </c>
      <c r="E28" s="1">
        <v>140</v>
      </c>
      <c r="F28" s="1">
        <v>0</v>
      </c>
      <c r="G28" s="1">
        <v>0</v>
      </c>
      <c r="H28" s="1">
        <v>96</v>
      </c>
      <c r="I28" s="1">
        <v>0</v>
      </c>
      <c r="J28" s="1">
        <v>0</v>
      </c>
      <c r="K28" s="1">
        <v>120</v>
      </c>
      <c r="L28" s="1">
        <v>0</v>
      </c>
      <c r="M28" s="1">
        <v>460</v>
      </c>
      <c r="N28" s="1">
        <v>0</v>
      </c>
      <c r="O28" s="205">
        <v>9596</v>
      </c>
      <c r="P28" s="7">
        <f t="shared" si="9"/>
        <v>9032.5499999999993</v>
      </c>
      <c r="Q28" s="7">
        <f t="shared" si="10"/>
        <v>18628.55</v>
      </c>
      <c r="R28" s="11"/>
      <c r="S28" s="1">
        <v>7673.2</v>
      </c>
      <c r="T28" s="9">
        <f t="shared" si="11"/>
        <v>0</v>
      </c>
      <c r="U28" s="1">
        <v>7673.2</v>
      </c>
      <c r="V28" s="8">
        <f t="shared" si="12"/>
        <v>0</v>
      </c>
      <c r="W28" s="1"/>
      <c r="X28" s="1"/>
      <c r="Y28" s="1"/>
      <c r="Z28" s="1"/>
      <c r="AA28" s="1"/>
      <c r="AB28" s="1"/>
      <c r="AC28" s="1"/>
      <c r="AD28" s="1"/>
      <c r="AE28" s="1"/>
      <c r="AF28" s="1"/>
      <c r="AG28" s="1"/>
      <c r="AH28" s="1"/>
      <c r="AI28" s="1"/>
      <c r="AJ28" s="1"/>
      <c r="AK28" s="1"/>
      <c r="AL28" s="1"/>
    </row>
    <row r="29" spans="1:38">
      <c r="A29" t="s">
        <v>28</v>
      </c>
      <c r="B29" s="7">
        <v>5611.5</v>
      </c>
      <c r="C29" s="1">
        <v>290.8</v>
      </c>
      <c r="D29" s="1">
        <v>240</v>
      </c>
      <c r="E29" s="1">
        <v>104</v>
      </c>
      <c r="F29" s="1">
        <v>0</v>
      </c>
      <c r="G29" s="1">
        <v>0</v>
      </c>
      <c r="H29" s="1">
        <v>96</v>
      </c>
      <c r="I29" s="1">
        <v>0</v>
      </c>
      <c r="J29" s="1">
        <v>0</v>
      </c>
      <c r="K29" s="1">
        <v>120</v>
      </c>
      <c r="L29" s="1">
        <v>0</v>
      </c>
      <c r="M29" s="1">
        <v>2537</v>
      </c>
      <c r="N29" s="1">
        <v>0</v>
      </c>
      <c r="O29" s="205">
        <v>6782.26</v>
      </c>
      <c r="P29" s="7">
        <f t="shared" si="9"/>
        <v>8999.2999999999993</v>
      </c>
      <c r="Q29" s="7">
        <f t="shared" si="10"/>
        <v>15781.56</v>
      </c>
      <c r="R29" s="11"/>
      <c r="S29" s="1">
        <v>5611.5</v>
      </c>
      <c r="T29" s="9">
        <f t="shared" si="11"/>
        <v>0</v>
      </c>
      <c r="U29" s="1">
        <v>5611.5</v>
      </c>
      <c r="V29" s="8">
        <f t="shared" si="12"/>
        <v>0</v>
      </c>
      <c r="W29" s="1"/>
      <c r="X29" s="1"/>
      <c r="Y29" s="1"/>
      <c r="Z29" s="1"/>
      <c r="AA29" s="1"/>
      <c r="AB29" s="1"/>
      <c r="AC29" s="1"/>
      <c r="AD29" s="1"/>
      <c r="AE29" s="1"/>
      <c r="AF29" s="1"/>
      <c r="AG29" s="1"/>
      <c r="AH29" s="1"/>
      <c r="AI29" s="1"/>
      <c r="AJ29" s="1"/>
      <c r="AK29" s="1"/>
      <c r="AL29" s="1"/>
    </row>
    <row r="30" spans="1:38">
      <c r="A30" t="s">
        <v>429</v>
      </c>
      <c r="B30" s="7">
        <v>5902.3</v>
      </c>
      <c r="C30" s="1">
        <v>0</v>
      </c>
      <c r="D30" s="1">
        <v>490</v>
      </c>
      <c r="E30" s="1">
        <v>104</v>
      </c>
      <c r="F30" s="1">
        <v>0</v>
      </c>
      <c r="G30" s="1">
        <v>0</v>
      </c>
      <c r="H30" s="1">
        <v>96</v>
      </c>
      <c r="I30" s="1">
        <v>2077</v>
      </c>
      <c r="J30" s="1">
        <v>0</v>
      </c>
      <c r="K30" s="1">
        <v>120</v>
      </c>
      <c r="L30" s="1">
        <v>0</v>
      </c>
      <c r="M30" s="1">
        <v>1306.1500000000001</v>
      </c>
      <c r="N30" s="1">
        <v>0</v>
      </c>
      <c r="O30" s="205">
        <v>6782.26</v>
      </c>
      <c r="P30" s="7">
        <f t="shared" ref="P30" si="19">SUM(B30:N30)</f>
        <v>10095.449999999999</v>
      </c>
      <c r="Q30" s="7">
        <f t="shared" ref="Q30" si="20">SUM(O30:P30)</f>
        <v>16877.71</v>
      </c>
      <c r="R30" s="11"/>
      <c r="S30" s="138">
        <v>5902.3</v>
      </c>
      <c r="T30" s="248">
        <f t="shared" si="11"/>
        <v>0</v>
      </c>
      <c r="U30" s="138">
        <v>5902.3</v>
      </c>
      <c r="V30" s="8">
        <f t="shared" si="12"/>
        <v>0</v>
      </c>
      <c r="W30" s="1"/>
      <c r="X30" s="1"/>
      <c r="Y30" s="1"/>
      <c r="Z30" s="1"/>
      <c r="AA30" s="1"/>
      <c r="AB30" s="1"/>
      <c r="AC30" s="1"/>
      <c r="AD30" s="1"/>
      <c r="AE30" s="1"/>
      <c r="AF30" s="1"/>
      <c r="AG30" s="1"/>
      <c r="AH30" s="1"/>
      <c r="AI30" s="1"/>
      <c r="AJ30" s="1"/>
      <c r="AK30" s="1"/>
      <c r="AL30" s="1"/>
    </row>
    <row r="31" spans="1:38">
      <c r="A31" t="s">
        <v>29</v>
      </c>
      <c r="B31" s="7">
        <v>5517</v>
      </c>
      <c r="C31" s="1">
        <v>290</v>
      </c>
      <c r="D31" s="1">
        <v>240</v>
      </c>
      <c r="E31" s="1">
        <v>102</v>
      </c>
      <c r="F31" s="1">
        <v>0</v>
      </c>
      <c r="G31" s="1">
        <v>0</v>
      </c>
      <c r="H31" s="1">
        <v>96</v>
      </c>
      <c r="I31" s="1">
        <v>0</v>
      </c>
      <c r="J31" s="1">
        <v>0</v>
      </c>
      <c r="K31" s="1">
        <v>120</v>
      </c>
      <c r="L31" s="1">
        <v>0</v>
      </c>
      <c r="M31" s="1">
        <v>3980</v>
      </c>
      <c r="N31" s="1">
        <v>0</v>
      </c>
      <c r="O31" s="205">
        <v>5978</v>
      </c>
      <c r="P31" s="7">
        <f t="shared" si="9"/>
        <v>10345</v>
      </c>
      <c r="Q31" s="7">
        <f t="shared" si="10"/>
        <v>16323</v>
      </c>
      <c r="R31" s="11"/>
      <c r="S31" s="1">
        <v>5517</v>
      </c>
      <c r="T31" s="248">
        <f t="shared" si="11"/>
        <v>0</v>
      </c>
      <c r="U31" s="1">
        <v>5517</v>
      </c>
      <c r="V31" s="8">
        <f t="shared" si="12"/>
        <v>0</v>
      </c>
      <c r="W31" s="1"/>
      <c r="X31" s="1"/>
      <c r="Y31" s="1"/>
      <c r="Z31" s="1"/>
      <c r="AA31" s="1"/>
      <c r="AB31" s="1"/>
      <c r="AC31" s="1"/>
      <c r="AD31" s="1"/>
      <c r="AE31" s="1"/>
      <c r="AF31" s="1"/>
      <c r="AG31" s="1"/>
      <c r="AH31" s="1"/>
      <c r="AI31" s="1"/>
      <c r="AJ31" s="1"/>
      <c r="AK31" s="1"/>
      <c r="AL31" s="1"/>
    </row>
    <row r="32" spans="1:38">
      <c r="A32" t="s">
        <v>30</v>
      </c>
      <c r="B32" s="7">
        <v>4987.26</v>
      </c>
      <c r="C32" s="1">
        <v>289.23</v>
      </c>
      <c r="D32" s="1">
        <v>240</v>
      </c>
      <c r="E32" s="1">
        <v>94</v>
      </c>
      <c r="F32" s="1">
        <v>0</v>
      </c>
      <c r="G32" s="1">
        <v>0</v>
      </c>
      <c r="H32" s="1">
        <v>96</v>
      </c>
      <c r="I32" s="1">
        <v>0</v>
      </c>
      <c r="J32" s="1">
        <v>0</v>
      </c>
      <c r="K32" s="1">
        <v>120</v>
      </c>
      <c r="L32" s="1">
        <v>0</v>
      </c>
      <c r="M32" s="1">
        <v>483</v>
      </c>
      <c r="N32" s="1">
        <v>0</v>
      </c>
      <c r="O32" s="205">
        <v>5525.4</v>
      </c>
      <c r="P32" s="7">
        <f t="shared" si="9"/>
        <v>6309.49</v>
      </c>
      <c r="Q32" s="7">
        <f t="shared" si="10"/>
        <v>11834.89</v>
      </c>
      <c r="R32" s="11"/>
      <c r="S32" s="1">
        <v>4987.2000000000007</v>
      </c>
      <c r="T32" s="248">
        <f t="shared" si="11"/>
        <v>-5.9999999999490683E-2</v>
      </c>
      <c r="U32" s="1">
        <v>4987.2000000000007</v>
      </c>
      <c r="V32" s="8">
        <f t="shared" si="12"/>
        <v>0</v>
      </c>
      <c r="W32" s="1"/>
      <c r="X32" s="1"/>
      <c r="Y32" s="1"/>
      <c r="Z32" s="1"/>
      <c r="AA32" s="1"/>
      <c r="AB32" s="1"/>
      <c r="AC32" s="1"/>
      <c r="AD32" s="1"/>
      <c r="AE32" s="1"/>
      <c r="AF32" s="1"/>
      <c r="AG32" s="1"/>
      <c r="AH32" s="1"/>
      <c r="AI32" s="1"/>
      <c r="AJ32" s="1"/>
      <c r="AK32" s="1"/>
      <c r="AL32" s="1"/>
    </row>
    <row r="33" spans="1:38" s="137" customFormat="1" ht="16.5">
      <c r="A33" s="137" t="s">
        <v>134</v>
      </c>
      <c r="B33" s="251">
        <v>9120</v>
      </c>
      <c r="C33" s="138">
        <v>0</v>
      </c>
      <c r="D33" s="138">
        <v>0</v>
      </c>
      <c r="E33" s="138">
        <v>0</v>
      </c>
      <c r="F33" s="138">
        <v>0</v>
      </c>
      <c r="G33" s="138">
        <v>0</v>
      </c>
      <c r="H33" s="138">
        <v>0</v>
      </c>
      <c r="I33" s="138">
        <v>0</v>
      </c>
      <c r="J33" s="138">
        <v>0</v>
      </c>
      <c r="K33" s="138">
        <v>0</v>
      </c>
      <c r="L33" s="138">
        <v>0</v>
      </c>
      <c r="M33" s="138">
        <v>0</v>
      </c>
      <c r="N33" s="138">
        <v>0</v>
      </c>
      <c r="O33" s="205">
        <v>0</v>
      </c>
      <c r="P33" s="7">
        <f>SUM(B33:O33)</f>
        <v>9120</v>
      </c>
      <c r="Q33" s="251">
        <f t="shared" ref="Q33" si="21">SUM(O33:P33)</f>
        <v>9120</v>
      </c>
      <c r="R33" s="139"/>
      <c r="S33" s="138"/>
      <c r="T33" s="140">
        <f t="shared" si="11"/>
        <v>-9120</v>
      </c>
      <c r="U33" s="138">
        <v>8858</v>
      </c>
      <c r="V33" s="141">
        <f t="shared" si="12"/>
        <v>8858</v>
      </c>
      <c r="W33" s="1"/>
      <c r="X33" s="1"/>
      <c r="Y33" s="1"/>
      <c r="Z33" s="1"/>
      <c r="AA33" s="1"/>
      <c r="AB33" s="1"/>
      <c r="AC33" s="1"/>
      <c r="AD33" s="1"/>
      <c r="AE33" s="1"/>
      <c r="AF33" s="1"/>
      <c r="AG33" s="1"/>
      <c r="AH33" s="1"/>
      <c r="AI33" s="1"/>
      <c r="AJ33" s="1"/>
      <c r="AK33" s="1"/>
      <c r="AL33" s="1"/>
    </row>
    <row r="34" spans="1:38">
      <c r="A34" t="s">
        <v>31</v>
      </c>
      <c r="B34" s="7">
        <v>7541.68</v>
      </c>
      <c r="C34" s="1">
        <v>213.08</v>
      </c>
      <c r="D34" s="1">
        <v>252</v>
      </c>
      <c r="E34" s="1">
        <v>153.30000000000001</v>
      </c>
      <c r="F34" s="1">
        <v>0</v>
      </c>
      <c r="G34" s="1">
        <v>0</v>
      </c>
      <c r="H34" s="1">
        <v>0</v>
      </c>
      <c r="I34" s="1">
        <v>0</v>
      </c>
      <c r="J34" s="1">
        <v>0</v>
      </c>
      <c r="K34" s="1">
        <v>126</v>
      </c>
      <c r="L34" s="1">
        <v>0</v>
      </c>
      <c r="M34" s="1">
        <v>0</v>
      </c>
      <c r="N34" s="1">
        <v>277.20999999999998</v>
      </c>
      <c r="O34" s="205">
        <v>9131.86</v>
      </c>
      <c r="P34" s="7">
        <f>SUM(B34:N34)</f>
        <v>8563.27</v>
      </c>
      <c r="Q34" s="7">
        <f t="shared" si="10"/>
        <v>17695.13</v>
      </c>
      <c r="R34" s="11"/>
      <c r="S34" s="1"/>
      <c r="T34" s="9">
        <f t="shared" si="11"/>
        <v>-7541.68</v>
      </c>
      <c r="U34" s="1">
        <v>7182.5</v>
      </c>
      <c r="V34" s="8">
        <f t="shared" si="12"/>
        <v>7182.5</v>
      </c>
      <c r="W34" s="1"/>
      <c r="X34" s="1"/>
      <c r="Y34" s="1"/>
      <c r="Z34" s="1"/>
      <c r="AA34" s="1"/>
      <c r="AB34" s="1"/>
      <c r="AC34" s="1"/>
      <c r="AD34" s="1"/>
      <c r="AE34" s="1"/>
      <c r="AF34" s="1"/>
      <c r="AG34" s="1"/>
      <c r="AH34" s="1"/>
      <c r="AI34" s="1"/>
      <c r="AJ34" s="1"/>
      <c r="AK34" s="1"/>
      <c r="AL34" s="1"/>
    </row>
    <row r="35" spans="1:38">
      <c r="A35" s="130" t="s">
        <v>32</v>
      </c>
      <c r="B35" s="250"/>
      <c r="C35" s="131"/>
      <c r="D35" s="131"/>
      <c r="E35" s="131"/>
      <c r="F35" s="131"/>
      <c r="G35" s="131"/>
      <c r="H35" s="131"/>
      <c r="I35" s="131"/>
      <c r="J35" s="131"/>
      <c r="K35" s="131"/>
      <c r="L35" s="131"/>
      <c r="M35" s="131"/>
      <c r="N35" s="131"/>
      <c r="O35" s="206"/>
      <c r="P35" s="250"/>
      <c r="Q35" s="250"/>
      <c r="R35" s="11"/>
      <c r="S35" s="131"/>
      <c r="T35" s="132"/>
      <c r="U35" s="131"/>
      <c r="V35" s="133"/>
      <c r="W35" s="1"/>
      <c r="X35" s="1"/>
      <c r="Y35" s="1"/>
      <c r="Z35" s="1"/>
      <c r="AA35" s="1"/>
      <c r="AB35" s="1"/>
      <c r="AC35" s="1"/>
      <c r="AD35" s="1"/>
      <c r="AE35" s="1"/>
      <c r="AF35" s="1"/>
      <c r="AG35" s="1"/>
      <c r="AH35" s="1"/>
      <c r="AI35" s="1"/>
      <c r="AJ35" s="1"/>
      <c r="AK35" s="1"/>
      <c r="AL35" s="1"/>
    </row>
    <row r="36" spans="1:38" ht="16.5">
      <c r="A36" t="s">
        <v>154</v>
      </c>
      <c r="B36" s="7">
        <v>4973</v>
      </c>
      <c r="C36" s="1">
        <v>204</v>
      </c>
      <c r="D36" s="1">
        <v>240</v>
      </c>
      <c r="E36" s="1">
        <v>124</v>
      </c>
      <c r="F36" s="1">
        <v>50</v>
      </c>
      <c r="G36" s="1">
        <v>30.72</v>
      </c>
      <c r="H36" s="1">
        <v>65.28</v>
      </c>
      <c r="I36" s="1">
        <v>636</v>
      </c>
      <c r="J36" s="1">
        <v>0</v>
      </c>
      <c r="K36" s="1">
        <v>120</v>
      </c>
      <c r="L36" s="1">
        <v>96</v>
      </c>
      <c r="M36" s="1">
        <v>2247</v>
      </c>
      <c r="N36" s="138">
        <v>1173</v>
      </c>
      <c r="O36" s="205">
        <v>7350</v>
      </c>
      <c r="P36" s="7">
        <f>SUM(B36:N36)</f>
        <v>9959</v>
      </c>
      <c r="Q36" s="7">
        <f t="shared" ref="Q36:Q38" si="22">SUM(O36:P36)</f>
        <v>17309</v>
      </c>
      <c r="R36" s="11"/>
      <c r="S36" s="1">
        <v>4973</v>
      </c>
      <c r="T36" s="9">
        <f>S36-B36</f>
        <v>0</v>
      </c>
      <c r="U36" s="1">
        <v>4973</v>
      </c>
      <c r="V36" s="8">
        <f t="shared" ref="V36:V38" si="23">U36-S36</f>
        <v>0</v>
      </c>
      <c r="W36" s="1"/>
      <c r="X36" s="1"/>
      <c r="Y36" s="1"/>
      <c r="Z36" s="1"/>
      <c r="AA36" s="1"/>
      <c r="AB36" s="1"/>
      <c r="AC36" s="1"/>
      <c r="AD36" s="1"/>
      <c r="AE36" s="1"/>
      <c r="AF36" s="1"/>
      <c r="AG36" s="1"/>
      <c r="AH36" s="1"/>
      <c r="AI36" s="1"/>
      <c r="AJ36" s="1"/>
      <c r="AK36" s="1"/>
      <c r="AL36" s="1"/>
    </row>
    <row r="37" spans="1:38" ht="16.5">
      <c r="A37" t="s">
        <v>159</v>
      </c>
      <c r="B37" s="7">
        <v>4484</v>
      </c>
      <c r="C37" s="1">
        <v>0</v>
      </c>
      <c r="D37" s="1">
        <v>240</v>
      </c>
      <c r="E37" s="1">
        <v>108</v>
      </c>
      <c r="F37" s="1">
        <v>80</v>
      </c>
      <c r="G37" s="1">
        <v>96</v>
      </c>
      <c r="H37" s="1">
        <v>441</v>
      </c>
      <c r="I37" s="1">
        <v>0</v>
      </c>
      <c r="J37" s="1">
        <v>0</v>
      </c>
      <c r="K37" s="1">
        <v>168</v>
      </c>
      <c r="L37" s="1">
        <v>96</v>
      </c>
      <c r="M37" s="1">
        <v>2658</v>
      </c>
      <c r="N37" s="1">
        <v>726</v>
      </c>
      <c r="O37" s="205">
        <v>8900</v>
      </c>
      <c r="P37" s="7">
        <f>SUM(B37:N37)</f>
        <v>9097</v>
      </c>
      <c r="Q37" s="7">
        <f t="shared" si="22"/>
        <v>17997</v>
      </c>
      <c r="R37" s="11"/>
      <c r="S37" s="1">
        <v>4484</v>
      </c>
      <c r="T37" s="9">
        <f>S37-B37</f>
        <v>0</v>
      </c>
      <c r="U37" s="1">
        <v>4236.21</v>
      </c>
      <c r="V37" s="8">
        <f t="shared" si="23"/>
        <v>-247.78999999999996</v>
      </c>
      <c r="W37" s="1"/>
      <c r="X37" s="1"/>
      <c r="Y37" s="1"/>
      <c r="Z37" s="1"/>
      <c r="AA37" s="1"/>
      <c r="AB37" s="1"/>
      <c r="AC37" s="1"/>
      <c r="AD37" s="1"/>
      <c r="AE37" s="1"/>
      <c r="AF37" s="1"/>
      <c r="AG37" s="1"/>
      <c r="AH37" s="1"/>
      <c r="AI37" s="1"/>
      <c r="AJ37" s="1"/>
      <c r="AK37" s="1"/>
      <c r="AL37" s="1"/>
    </row>
    <row r="38" spans="1:38">
      <c r="A38" t="s">
        <v>33</v>
      </c>
      <c r="B38" s="7">
        <v>2618</v>
      </c>
      <c r="C38" s="1">
        <v>0</v>
      </c>
      <c r="D38" s="1">
        <v>240</v>
      </c>
      <c r="E38" s="1">
        <v>0</v>
      </c>
      <c r="F38" s="1">
        <v>50</v>
      </c>
      <c r="G38" s="1">
        <v>48</v>
      </c>
      <c r="H38" s="1">
        <v>48</v>
      </c>
      <c r="I38" s="1">
        <v>0</v>
      </c>
      <c r="J38" s="1">
        <v>0</v>
      </c>
      <c r="K38" s="1">
        <v>120</v>
      </c>
      <c r="L38" s="1">
        <v>96</v>
      </c>
      <c r="M38" s="1">
        <v>731.5</v>
      </c>
      <c r="N38" s="1">
        <v>398</v>
      </c>
      <c r="O38" s="205">
        <v>3300</v>
      </c>
      <c r="P38" s="7">
        <f>SUM(B38:N38)</f>
        <v>4349.5</v>
      </c>
      <c r="Q38" s="7">
        <f t="shared" si="22"/>
        <v>7649.5</v>
      </c>
      <c r="R38" s="11"/>
      <c r="S38" s="1">
        <v>2618</v>
      </c>
      <c r="T38" s="9">
        <f>S38-B38</f>
        <v>0</v>
      </c>
      <c r="U38" s="1">
        <v>2618</v>
      </c>
      <c r="V38" s="8">
        <f t="shared" si="23"/>
        <v>0</v>
      </c>
      <c r="W38" s="1"/>
      <c r="X38" s="1"/>
      <c r="Y38" s="1"/>
      <c r="Z38" s="1"/>
      <c r="AA38" s="1"/>
      <c r="AB38" s="1"/>
      <c r="AC38" s="1"/>
      <c r="AD38" s="1"/>
      <c r="AE38" s="1"/>
      <c r="AF38" s="1"/>
      <c r="AG38" s="1"/>
      <c r="AH38" s="1"/>
      <c r="AI38" s="1"/>
      <c r="AJ38" s="1"/>
      <c r="AK38" s="1"/>
      <c r="AL38" s="1"/>
    </row>
    <row r="39" spans="1:38">
      <c r="A39" s="130" t="s">
        <v>34</v>
      </c>
      <c r="B39" s="250"/>
      <c r="C39" s="131"/>
      <c r="D39" s="131"/>
      <c r="E39" s="131"/>
      <c r="F39" s="131"/>
      <c r="G39" s="131"/>
      <c r="H39" s="131"/>
      <c r="I39" s="131"/>
      <c r="J39" s="131"/>
      <c r="K39" s="131"/>
      <c r="L39" s="131"/>
      <c r="M39" s="131"/>
      <c r="N39" s="131"/>
      <c r="O39" s="206"/>
      <c r="P39" s="250"/>
      <c r="Q39" s="250"/>
      <c r="R39" s="11"/>
      <c r="S39" s="131"/>
      <c r="T39" s="132"/>
      <c r="U39" s="131"/>
      <c r="V39" s="133"/>
      <c r="W39" s="1"/>
      <c r="X39" s="1"/>
      <c r="Y39" s="1"/>
      <c r="Z39" s="1"/>
      <c r="AA39" s="1"/>
      <c r="AB39" s="1"/>
      <c r="AC39" s="1"/>
      <c r="AD39" s="1"/>
      <c r="AE39" s="1"/>
      <c r="AF39" s="1"/>
      <c r="AG39" s="1"/>
      <c r="AH39" s="1"/>
      <c r="AI39" s="1"/>
      <c r="AJ39" s="1"/>
      <c r="AK39" s="1"/>
      <c r="AL39" s="1"/>
    </row>
    <row r="40" spans="1:38">
      <c r="A40" t="s">
        <v>35</v>
      </c>
      <c r="B40" s="7">
        <v>3086.08</v>
      </c>
      <c r="C40" s="1">
        <v>248.96</v>
      </c>
      <c r="D40" s="1">
        <v>168</v>
      </c>
      <c r="E40" s="1">
        <v>72</v>
      </c>
      <c r="F40" s="1">
        <v>0</v>
      </c>
      <c r="G40" s="1">
        <v>0</v>
      </c>
      <c r="H40" s="1">
        <v>96</v>
      </c>
      <c r="I40" s="1">
        <v>168</v>
      </c>
      <c r="J40" s="1">
        <v>120</v>
      </c>
      <c r="K40" s="1">
        <v>120</v>
      </c>
      <c r="L40" s="1">
        <v>0</v>
      </c>
      <c r="M40" s="1">
        <v>100</v>
      </c>
      <c r="N40" s="1">
        <v>240</v>
      </c>
      <c r="O40" s="205">
        <v>0</v>
      </c>
      <c r="P40" s="7">
        <f t="shared" ref="P40:P51" si="24">SUM(B40:N40)</f>
        <v>4419.04</v>
      </c>
      <c r="Q40" s="7">
        <f t="shared" ref="Q40:Q51" si="25">SUM(O40:P40)</f>
        <v>4419.04</v>
      </c>
      <c r="R40" s="11"/>
      <c r="S40" s="1">
        <v>3086.08</v>
      </c>
      <c r="T40" s="9">
        <f t="shared" ref="T40:T51" si="26">S40-B40</f>
        <v>0</v>
      </c>
      <c r="U40" s="1">
        <v>3086.08</v>
      </c>
      <c r="V40" s="8">
        <f t="shared" ref="V40:V51" si="27">U40-S40</f>
        <v>0</v>
      </c>
      <c r="W40" s="1"/>
      <c r="X40" s="1"/>
      <c r="Y40" s="1"/>
      <c r="Z40" s="1"/>
      <c r="AA40" s="1"/>
      <c r="AB40" s="1"/>
      <c r="AC40" s="1"/>
      <c r="AD40" s="1"/>
      <c r="AE40" s="1"/>
      <c r="AF40" s="1"/>
      <c r="AG40" s="1"/>
      <c r="AH40" s="1"/>
      <c r="AI40" s="1"/>
      <c r="AJ40" s="1"/>
      <c r="AK40" s="1"/>
      <c r="AL40" s="1"/>
    </row>
    <row r="41" spans="1:38">
      <c r="A41" t="s">
        <v>36</v>
      </c>
      <c r="B41" s="7">
        <v>3214.15</v>
      </c>
      <c r="C41" s="1">
        <v>120.96000000000001</v>
      </c>
      <c r="D41" s="1">
        <v>168</v>
      </c>
      <c r="E41" s="1">
        <v>72</v>
      </c>
      <c r="F41" s="1">
        <v>0</v>
      </c>
      <c r="G41" s="1">
        <v>0</v>
      </c>
      <c r="H41" s="1">
        <v>96</v>
      </c>
      <c r="I41" s="1">
        <v>168</v>
      </c>
      <c r="J41" s="1">
        <v>120</v>
      </c>
      <c r="K41" s="1">
        <v>120</v>
      </c>
      <c r="L41" s="1">
        <v>0</v>
      </c>
      <c r="M41" s="138">
        <v>150</v>
      </c>
      <c r="N41" s="1">
        <v>254</v>
      </c>
      <c r="O41" s="205">
        <v>0</v>
      </c>
      <c r="P41" s="7">
        <f t="shared" si="24"/>
        <v>4483.1100000000006</v>
      </c>
      <c r="Q41" s="7">
        <f t="shared" si="25"/>
        <v>4483.1100000000006</v>
      </c>
      <c r="R41" s="11"/>
      <c r="S41" s="1">
        <v>3214.15</v>
      </c>
      <c r="T41" s="9">
        <f t="shared" si="26"/>
        <v>0</v>
      </c>
      <c r="U41" s="1">
        <v>3214.15</v>
      </c>
      <c r="V41" s="8">
        <f t="shared" si="27"/>
        <v>0</v>
      </c>
      <c r="W41" s="1"/>
      <c r="X41" s="1"/>
      <c r="Y41" s="1"/>
      <c r="Z41" s="1"/>
      <c r="AA41" s="1"/>
      <c r="AB41" s="1"/>
      <c r="AC41" s="1"/>
      <c r="AD41" s="1"/>
      <c r="AE41" s="1"/>
      <c r="AF41" s="1"/>
      <c r="AG41" s="1"/>
      <c r="AH41" s="1"/>
      <c r="AI41" s="1"/>
      <c r="AJ41" s="1"/>
      <c r="AK41" s="1"/>
      <c r="AL41" s="1"/>
    </row>
    <row r="42" spans="1:38">
      <c r="A42" t="s">
        <v>37</v>
      </c>
      <c r="B42" s="7">
        <v>3214.15</v>
      </c>
      <c r="C42" s="1">
        <v>120.89</v>
      </c>
      <c r="D42" s="1">
        <v>168</v>
      </c>
      <c r="E42" s="1">
        <v>72</v>
      </c>
      <c r="F42" s="1">
        <v>0</v>
      </c>
      <c r="G42" s="1">
        <v>0</v>
      </c>
      <c r="H42" s="1">
        <v>96</v>
      </c>
      <c r="I42" s="1">
        <v>168</v>
      </c>
      <c r="J42" s="1">
        <v>120</v>
      </c>
      <c r="K42" s="1">
        <v>120</v>
      </c>
      <c r="L42" s="1">
        <v>0</v>
      </c>
      <c r="M42" s="1">
        <v>150</v>
      </c>
      <c r="N42" s="1">
        <v>194</v>
      </c>
      <c r="O42" s="205">
        <v>0</v>
      </c>
      <c r="P42" s="7">
        <f t="shared" si="24"/>
        <v>4423.04</v>
      </c>
      <c r="Q42" s="7">
        <f t="shared" si="25"/>
        <v>4423.04</v>
      </c>
      <c r="R42" s="11"/>
      <c r="S42" s="1">
        <v>3214.15</v>
      </c>
      <c r="T42" s="9">
        <f t="shared" si="26"/>
        <v>0</v>
      </c>
      <c r="U42" s="1">
        <v>3214.15</v>
      </c>
      <c r="V42" s="8">
        <f t="shared" si="27"/>
        <v>0</v>
      </c>
      <c r="W42" s="1"/>
      <c r="X42" s="1"/>
      <c r="Y42" s="1"/>
      <c r="Z42" s="1"/>
      <c r="AA42" s="1"/>
      <c r="AB42" s="1"/>
      <c r="AC42" s="1"/>
      <c r="AD42" s="1"/>
      <c r="AE42" s="1"/>
      <c r="AF42" s="1"/>
      <c r="AG42" s="1"/>
      <c r="AH42" s="1"/>
      <c r="AI42" s="1"/>
      <c r="AJ42" s="1"/>
      <c r="AK42" s="1"/>
      <c r="AL42" s="1"/>
    </row>
    <row r="43" spans="1:38">
      <c r="A43" t="s">
        <v>38</v>
      </c>
      <c r="B43" s="7">
        <v>3214.15</v>
      </c>
      <c r="C43" s="1">
        <v>120.89</v>
      </c>
      <c r="D43" s="1">
        <v>168</v>
      </c>
      <c r="E43" s="1">
        <v>72</v>
      </c>
      <c r="F43" s="1">
        <v>0</v>
      </c>
      <c r="G43" s="1">
        <v>0</v>
      </c>
      <c r="H43" s="1">
        <v>96</v>
      </c>
      <c r="I43" s="1">
        <v>168</v>
      </c>
      <c r="J43" s="1">
        <v>120</v>
      </c>
      <c r="K43" s="1">
        <v>120</v>
      </c>
      <c r="L43" s="1">
        <v>0</v>
      </c>
      <c r="M43" s="1">
        <v>100</v>
      </c>
      <c r="N43" s="1">
        <v>40</v>
      </c>
      <c r="O43" s="205">
        <v>0</v>
      </c>
      <c r="P43" s="7">
        <f t="shared" si="24"/>
        <v>4219.04</v>
      </c>
      <c r="Q43" s="7">
        <f t="shared" si="25"/>
        <v>4219.04</v>
      </c>
      <c r="R43" s="11"/>
      <c r="S43" s="1">
        <v>3214.15</v>
      </c>
      <c r="T43" s="9">
        <f t="shared" si="26"/>
        <v>0</v>
      </c>
      <c r="U43" s="1">
        <v>3214.15</v>
      </c>
      <c r="V43" s="8">
        <f t="shared" si="27"/>
        <v>0</v>
      </c>
      <c r="W43" s="1"/>
      <c r="X43" s="1"/>
      <c r="Y43" s="1"/>
      <c r="Z43" s="1"/>
      <c r="AA43" s="1"/>
      <c r="AB43" s="1"/>
      <c r="AC43" s="1"/>
      <c r="AD43" s="1"/>
      <c r="AE43" s="1"/>
      <c r="AF43" s="1"/>
      <c r="AG43" s="1"/>
      <c r="AH43" s="1"/>
      <c r="AI43" s="1"/>
      <c r="AJ43" s="1"/>
      <c r="AK43" s="1"/>
      <c r="AL43" s="1"/>
    </row>
    <row r="44" spans="1:38">
      <c r="A44" t="s">
        <v>39</v>
      </c>
      <c r="B44" s="7">
        <v>3214.15</v>
      </c>
      <c r="C44" s="1">
        <v>120.96</v>
      </c>
      <c r="D44" s="1">
        <v>168</v>
      </c>
      <c r="E44" s="1">
        <v>72</v>
      </c>
      <c r="F44" s="1">
        <v>0</v>
      </c>
      <c r="G44" s="1">
        <v>0</v>
      </c>
      <c r="H44" s="1">
        <v>96</v>
      </c>
      <c r="I44" s="1">
        <v>168</v>
      </c>
      <c r="J44" s="1">
        <v>120</v>
      </c>
      <c r="K44" s="1">
        <v>120</v>
      </c>
      <c r="L44" s="1">
        <v>0</v>
      </c>
      <c r="M44" s="1">
        <v>40</v>
      </c>
      <c r="N44" s="1">
        <v>80</v>
      </c>
      <c r="O44" s="205">
        <v>0</v>
      </c>
      <c r="P44" s="7">
        <f t="shared" si="24"/>
        <v>4199.1100000000006</v>
      </c>
      <c r="Q44" s="7">
        <f t="shared" si="25"/>
        <v>4199.1100000000006</v>
      </c>
      <c r="R44" s="11"/>
      <c r="S44" s="1">
        <v>3214.15</v>
      </c>
      <c r="T44" s="9">
        <f t="shared" si="26"/>
        <v>0</v>
      </c>
      <c r="U44" s="1">
        <v>3214.15</v>
      </c>
      <c r="V44" s="8">
        <f t="shared" si="27"/>
        <v>0</v>
      </c>
      <c r="W44" s="1"/>
      <c r="X44" s="1"/>
      <c r="Y44" s="1"/>
      <c r="Z44" s="1"/>
      <c r="AA44" s="1"/>
      <c r="AB44" s="1"/>
      <c r="AC44" s="1"/>
      <c r="AD44" s="1"/>
      <c r="AE44" s="1"/>
      <c r="AF44" s="1"/>
      <c r="AG44" s="1"/>
      <c r="AH44" s="1"/>
      <c r="AI44" s="1"/>
      <c r="AJ44" s="1"/>
      <c r="AK44" s="1"/>
      <c r="AL44" s="1"/>
    </row>
    <row r="45" spans="1:38">
      <c r="A45" t="s">
        <v>40</v>
      </c>
      <c r="B45" s="7">
        <v>3214.15</v>
      </c>
      <c r="C45" s="1">
        <v>120.89</v>
      </c>
      <c r="D45" s="1">
        <v>168</v>
      </c>
      <c r="E45" s="1">
        <v>72</v>
      </c>
      <c r="F45" s="1">
        <v>0</v>
      </c>
      <c r="G45" s="1">
        <v>0</v>
      </c>
      <c r="H45" s="1">
        <v>96</v>
      </c>
      <c r="I45" s="1">
        <v>168</v>
      </c>
      <c r="J45" s="1">
        <v>120</v>
      </c>
      <c r="K45" s="1">
        <v>120</v>
      </c>
      <c r="L45" s="1">
        <v>0</v>
      </c>
      <c r="M45" s="1">
        <v>80</v>
      </c>
      <c r="N45" s="1">
        <v>96</v>
      </c>
      <c r="O45" s="205">
        <v>0</v>
      </c>
      <c r="P45" s="7">
        <f t="shared" si="24"/>
        <v>4255.04</v>
      </c>
      <c r="Q45" s="7">
        <f t="shared" si="25"/>
        <v>4255.04</v>
      </c>
      <c r="R45" s="11"/>
      <c r="S45" s="1">
        <v>3214.15</v>
      </c>
      <c r="T45" s="9">
        <f t="shared" si="26"/>
        <v>0</v>
      </c>
      <c r="U45" s="1">
        <v>3214.15</v>
      </c>
      <c r="V45" s="8">
        <f t="shared" si="27"/>
        <v>0</v>
      </c>
      <c r="W45" s="1"/>
      <c r="X45" s="1"/>
      <c r="Y45" s="1"/>
      <c r="Z45" s="1"/>
      <c r="AA45" s="1"/>
      <c r="AB45" s="1"/>
      <c r="AC45" s="1"/>
      <c r="AD45" s="1"/>
      <c r="AE45" s="1"/>
      <c r="AF45" s="1"/>
      <c r="AG45" s="1"/>
      <c r="AH45" s="1"/>
      <c r="AI45" s="1"/>
      <c r="AJ45" s="1"/>
      <c r="AK45" s="1"/>
      <c r="AL45" s="1"/>
    </row>
    <row r="46" spans="1:38">
      <c r="A46" t="s">
        <v>58</v>
      </c>
      <c r="B46" s="7">
        <v>3214.15</v>
      </c>
      <c r="C46" s="1">
        <v>120.89000000000001</v>
      </c>
      <c r="D46" s="1">
        <v>168</v>
      </c>
      <c r="E46" s="1">
        <v>72</v>
      </c>
      <c r="F46" s="1">
        <v>0</v>
      </c>
      <c r="G46" s="1">
        <v>0</v>
      </c>
      <c r="H46" s="1">
        <v>96</v>
      </c>
      <c r="I46" s="1">
        <v>168</v>
      </c>
      <c r="J46" s="1">
        <v>120</v>
      </c>
      <c r="K46" s="1">
        <v>120</v>
      </c>
      <c r="L46" s="1">
        <v>0</v>
      </c>
      <c r="M46" s="1">
        <v>100</v>
      </c>
      <c r="N46" s="1">
        <v>120</v>
      </c>
      <c r="O46" s="205">
        <v>0</v>
      </c>
      <c r="P46" s="7">
        <f t="shared" si="24"/>
        <v>4299.04</v>
      </c>
      <c r="Q46" s="7">
        <f t="shared" si="25"/>
        <v>4299.04</v>
      </c>
      <c r="R46" s="11"/>
      <c r="S46" s="1">
        <v>3214.15</v>
      </c>
      <c r="T46" s="9">
        <f t="shared" si="26"/>
        <v>0</v>
      </c>
      <c r="U46" s="1">
        <v>3214.15</v>
      </c>
      <c r="V46" s="8">
        <f t="shared" si="27"/>
        <v>0</v>
      </c>
      <c r="W46" s="1"/>
      <c r="X46" s="1"/>
      <c r="Y46" s="1"/>
      <c r="Z46" s="1"/>
      <c r="AA46" s="1"/>
      <c r="AB46" s="1"/>
      <c r="AC46" s="1"/>
      <c r="AD46" s="1"/>
      <c r="AE46" s="1"/>
      <c r="AF46" s="1"/>
      <c r="AG46" s="1"/>
      <c r="AH46" s="1"/>
      <c r="AI46" s="1"/>
      <c r="AJ46" s="1"/>
      <c r="AK46" s="1"/>
      <c r="AL46" s="1"/>
    </row>
    <row r="47" spans="1:38">
      <c r="A47" t="s">
        <v>41</v>
      </c>
      <c r="B47" s="7">
        <v>3214.15</v>
      </c>
      <c r="C47" s="1">
        <v>120.96</v>
      </c>
      <c r="D47" s="1">
        <v>168</v>
      </c>
      <c r="E47" s="1">
        <v>72</v>
      </c>
      <c r="F47" s="1">
        <v>0</v>
      </c>
      <c r="G47" s="1">
        <v>0</v>
      </c>
      <c r="H47" s="1">
        <v>96</v>
      </c>
      <c r="I47" s="1">
        <v>168</v>
      </c>
      <c r="J47" s="1">
        <v>120</v>
      </c>
      <c r="K47" s="1">
        <v>120</v>
      </c>
      <c r="L47" s="1">
        <v>0</v>
      </c>
      <c r="M47" s="1">
        <v>100</v>
      </c>
      <c r="N47" s="1">
        <v>30</v>
      </c>
      <c r="O47" s="205">
        <v>0</v>
      </c>
      <c r="P47" s="7">
        <f t="shared" si="24"/>
        <v>4209.1100000000006</v>
      </c>
      <c r="Q47" s="7">
        <f t="shared" si="25"/>
        <v>4209.1100000000006</v>
      </c>
      <c r="R47" s="11"/>
      <c r="S47" s="1">
        <v>3214.15</v>
      </c>
      <c r="T47" s="9">
        <f t="shared" si="26"/>
        <v>0</v>
      </c>
      <c r="U47" s="1">
        <v>3214.15</v>
      </c>
      <c r="V47" s="8">
        <f t="shared" si="27"/>
        <v>0</v>
      </c>
      <c r="W47" s="1"/>
      <c r="X47" s="1"/>
      <c r="Y47" s="1"/>
      <c r="Z47" s="1"/>
      <c r="AA47" s="1"/>
      <c r="AB47" s="1"/>
      <c r="AC47" s="1"/>
      <c r="AD47" s="1"/>
      <c r="AE47" s="1"/>
      <c r="AF47" s="1"/>
      <c r="AG47" s="1"/>
      <c r="AH47" s="1"/>
      <c r="AI47" s="1"/>
      <c r="AJ47" s="1"/>
      <c r="AK47" s="1"/>
      <c r="AL47" s="1"/>
    </row>
    <row r="48" spans="1:38" s="207" customFormat="1">
      <c r="A48" s="137" t="s">
        <v>42</v>
      </c>
      <c r="B48" s="251">
        <v>3214.15</v>
      </c>
      <c r="C48" s="138">
        <v>120.72</v>
      </c>
      <c r="D48" s="138">
        <v>168</v>
      </c>
      <c r="E48" s="138">
        <v>72</v>
      </c>
      <c r="F48" s="138">
        <v>0</v>
      </c>
      <c r="G48" s="138">
        <v>0</v>
      </c>
      <c r="H48" s="138">
        <v>96</v>
      </c>
      <c r="I48" s="138">
        <v>168</v>
      </c>
      <c r="J48" s="138">
        <v>120</v>
      </c>
      <c r="K48" s="138">
        <v>120</v>
      </c>
      <c r="L48" s="138">
        <v>0</v>
      </c>
      <c r="M48" s="138">
        <v>100</v>
      </c>
      <c r="N48" s="138">
        <v>195</v>
      </c>
      <c r="O48" s="205">
        <v>0</v>
      </c>
      <c r="P48" s="251">
        <f t="shared" si="24"/>
        <v>4373.87</v>
      </c>
      <c r="Q48" s="251">
        <f t="shared" si="25"/>
        <v>4373.87</v>
      </c>
      <c r="R48" s="139"/>
      <c r="S48" s="138">
        <v>3214.15</v>
      </c>
      <c r="T48" s="140">
        <f t="shared" si="26"/>
        <v>0</v>
      </c>
      <c r="U48" s="138">
        <v>3214.15</v>
      </c>
      <c r="V48" s="141">
        <f t="shared" si="27"/>
        <v>0</v>
      </c>
      <c r="W48" s="208"/>
      <c r="X48" s="208"/>
      <c r="Y48" s="208"/>
      <c r="Z48" s="208"/>
      <c r="AA48" s="208"/>
      <c r="AB48" s="208"/>
      <c r="AC48" s="208"/>
      <c r="AD48" s="208"/>
      <c r="AE48" s="208"/>
      <c r="AF48" s="208"/>
      <c r="AG48" s="208"/>
      <c r="AH48" s="208"/>
      <c r="AI48" s="208"/>
      <c r="AJ48" s="208"/>
      <c r="AK48" s="208"/>
      <c r="AL48" s="208"/>
    </row>
    <row r="49" spans="1:38">
      <c r="A49" t="s">
        <v>43</v>
      </c>
      <c r="B49" s="7">
        <v>3214.15</v>
      </c>
      <c r="C49" s="1">
        <v>120.72</v>
      </c>
      <c r="D49" s="1">
        <v>168</v>
      </c>
      <c r="E49" s="1">
        <v>72</v>
      </c>
      <c r="F49" s="1">
        <v>0</v>
      </c>
      <c r="G49" s="1">
        <v>0</v>
      </c>
      <c r="H49" s="1">
        <v>96</v>
      </c>
      <c r="I49" s="1">
        <v>168</v>
      </c>
      <c r="J49" s="1">
        <v>120</v>
      </c>
      <c r="K49" s="1">
        <v>120</v>
      </c>
      <c r="L49" s="1">
        <v>0</v>
      </c>
      <c r="M49" s="1">
        <v>150</v>
      </c>
      <c r="N49" s="1">
        <v>106</v>
      </c>
      <c r="O49" s="205">
        <v>0</v>
      </c>
      <c r="P49" s="7">
        <f t="shared" si="24"/>
        <v>4334.87</v>
      </c>
      <c r="Q49" s="7">
        <f t="shared" si="25"/>
        <v>4334.87</v>
      </c>
      <c r="R49" s="11"/>
      <c r="S49" s="1">
        <v>3214.15</v>
      </c>
      <c r="T49" s="9">
        <f t="shared" si="26"/>
        <v>0</v>
      </c>
      <c r="U49" s="1">
        <v>3214.15</v>
      </c>
      <c r="V49" s="8">
        <f t="shared" si="27"/>
        <v>0</v>
      </c>
      <c r="W49" s="1"/>
      <c r="X49" s="1"/>
      <c r="Y49" s="1"/>
      <c r="Z49" s="1"/>
      <c r="AA49" s="1"/>
      <c r="AB49" s="1"/>
      <c r="AC49" s="1"/>
      <c r="AD49" s="1"/>
      <c r="AE49" s="1"/>
      <c r="AF49" s="1"/>
      <c r="AG49" s="1"/>
      <c r="AH49" s="1"/>
      <c r="AI49" s="1"/>
      <c r="AJ49" s="1"/>
      <c r="AK49" s="1"/>
      <c r="AL49" s="1"/>
    </row>
    <row r="50" spans="1:38">
      <c r="A50" t="s">
        <v>69</v>
      </c>
      <c r="B50" s="7">
        <v>3214.15</v>
      </c>
      <c r="C50" s="1">
        <v>120.89</v>
      </c>
      <c r="D50" s="1">
        <v>168</v>
      </c>
      <c r="E50" s="1">
        <v>72</v>
      </c>
      <c r="F50" s="1">
        <v>0</v>
      </c>
      <c r="G50" s="1">
        <v>0</v>
      </c>
      <c r="H50" s="1">
        <v>96</v>
      </c>
      <c r="I50" s="1">
        <v>168</v>
      </c>
      <c r="J50" s="1">
        <v>120</v>
      </c>
      <c r="K50" s="1">
        <v>120</v>
      </c>
      <c r="L50" s="1">
        <v>0</v>
      </c>
      <c r="M50" s="1">
        <v>100</v>
      </c>
      <c r="N50" s="1">
        <v>30</v>
      </c>
      <c r="O50" s="205">
        <v>0</v>
      </c>
      <c r="P50" s="7">
        <f t="shared" si="24"/>
        <v>4209.04</v>
      </c>
      <c r="Q50" s="7">
        <f t="shared" si="25"/>
        <v>4209.04</v>
      </c>
      <c r="R50" s="11"/>
      <c r="S50" s="1">
        <v>3214.15</v>
      </c>
      <c r="T50" s="9">
        <f t="shared" si="26"/>
        <v>0</v>
      </c>
      <c r="U50" s="1">
        <v>3214.15</v>
      </c>
      <c r="V50" s="8">
        <f t="shared" si="27"/>
        <v>0</v>
      </c>
      <c r="W50" s="1"/>
      <c r="X50" s="1"/>
      <c r="Y50" s="1"/>
      <c r="Z50" s="1"/>
      <c r="AA50" s="1"/>
      <c r="AB50" s="1"/>
      <c r="AC50" s="1"/>
      <c r="AD50" s="1"/>
      <c r="AE50" s="1"/>
      <c r="AF50" s="1"/>
      <c r="AG50" s="1"/>
      <c r="AH50" s="1"/>
      <c r="AI50" s="1"/>
      <c r="AJ50" s="1"/>
      <c r="AK50" s="1"/>
      <c r="AL50" s="1"/>
    </row>
    <row r="51" spans="1:38">
      <c r="A51" t="s">
        <v>130</v>
      </c>
      <c r="B51" s="7">
        <v>3214.15</v>
      </c>
      <c r="C51" s="1">
        <v>120.89000000000001</v>
      </c>
      <c r="D51" s="1">
        <v>168</v>
      </c>
      <c r="E51" s="1">
        <v>72</v>
      </c>
      <c r="F51" s="1">
        <v>0</v>
      </c>
      <c r="G51" s="1">
        <v>0</v>
      </c>
      <c r="H51" s="1">
        <v>96</v>
      </c>
      <c r="I51" s="1">
        <v>168</v>
      </c>
      <c r="J51" s="1">
        <v>120</v>
      </c>
      <c r="K51" s="1">
        <v>120</v>
      </c>
      <c r="L51" s="1">
        <v>0</v>
      </c>
      <c r="M51" s="1">
        <v>100</v>
      </c>
      <c r="N51" s="1">
        <v>20</v>
      </c>
      <c r="O51" s="205">
        <v>0</v>
      </c>
      <c r="P51" s="7">
        <f t="shared" si="24"/>
        <v>4199.04</v>
      </c>
      <c r="Q51" s="7">
        <f t="shared" si="25"/>
        <v>4199.04</v>
      </c>
      <c r="R51" s="11"/>
      <c r="S51" s="1">
        <v>3214.15</v>
      </c>
      <c r="T51" s="9">
        <f t="shared" si="26"/>
        <v>0</v>
      </c>
      <c r="U51" s="1">
        <v>3214.15</v>
      </c>
      <c r="V51" s="8">
        <f t="shared" si="27"/>
        <v>0</v>
      </c>
      <c r="W51" s="1"/>
      <c r="X51" s="1"/>
      <c r="Y51" s="1"/>
      <c r="Z51" s="1"/>
      <c r="AA51" s="1"/>
      <c r="AB51" s="1"/>
      <c r="AC51" s="1"/>
      <c r="AD51" s="1"/>
      <c r="AE51" s="1"/>
      <c r="AF51" s="1"/>
      <c r="AG51" s="1"/>
      <c r="AH51" s="1"/>
      <c r="AI51" s="1"/>
      <c r="AJ51" s="1"/>
      <c r="AK51" s="1"/>
      <c r="AL51" s="1"/>
    </row>
    <row r="54" spans="1:38" ht="30.75" customHeight="1">
      <c r="A54" s="262" t="s">
        <v>184</v>
      </c>
      <c r="B54" s="262"/>
      <c r="C54" s="262"/>
      <c r="D54" s="262"/>
      <c r="E54" s="262"/>
      <c r="F54" s="262"/>
      <c r="G54" s="262"/>
      <c r="H54" s="262"/>
      <c r="I54" s="262"/>
      <c r="J54" s="262"/>
      <c r="K54" s="262"/>
      <c r="L54" s="262"/>
      <c r="M54" s="262"/>
      <c r="N54" s="262"/>
      <c r="O54" s="262"/>
      <c r="P54" s="262"/>
      <c r="Q54" s="262"/>
      <c r="R54" s="262"/>
    </row>
    <row r="57" spans="1:38">
      <c r="A57" s="144" t="s">
        <v>171</v>
      </c>
    </row>
    <row r="58" spans="1:38">
      <c r="A58" s="144" t="s">
        <v>157</v>
      </c>
    </row>
    <row r="59" spans="1:38">
      <c r="A59" s="144" t="s">
        <v>158</v>
      </c>
    </row>
    <row r="60" spans="1:38">
      <c r="A60" s="144" t="s">
        <v>440</v>
      </c>
    </row>
  </sheetData>
  <mergeCells count="1">
    <mergeCell ref="A54:R54"/>
  </mergeCells>
  <pageMargins left="0.7" right="0.7" top="0.75" bottom="0.75" header="0.3" footer="0.3"/>
  <pageSetup paperSize="5" scale="62" fitToHeight="0" orientation="landscape" r:id="rId1"/>
  <ignoredErrors>
    <ignoredError sqref="P36:P38 P31:P32 P15 P34 P18:P19 P23:P24 P26 P8:P10 P12:P13 P28:P29"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O58"/>
  <sheetViews>
    <sheetView zoomScaleNormal="100" workbookViewId="0">
      <pane xSplit="1" ySplit="4" topLeftCell="B5" activePane="bottomRight" state="frozen"/>
      <selection activeCell="H15" sqref="H15"/>
      <selection pane="topRight" activeCell="H15" sqref="H15"/>
      <selection pane="bottomLeft" activeCell="H15" sqref="H15"/>
      <selection pane="bottomRight" activeCell="B6" sqref="B6"/>
    </sheetView>
  </sheetViews>
  <sheetFormatPr defaultRowHeight="14.5"/>
  <cols>
    <col min="1" max="1" width="34.1796875" customWidth="1"/>
    <col min="2" max="2" width="10.81640625" style="7" customWidth="1"/>
    <col min="3" max="3" width="10.81640625" style="1" customWidth="1"/>
    <col min="4" max="4" width="10.54296875" style="1" customWidth="1"/>
    <col min="5" max="5" width="11.453125" style="1" customWidth="1"/>
    <col min="6" max="6" width="13.453125" style="1" customWidth="1"/>
    <col min="7" max="10" width="10.1796875" style="1" customWidth="1"/>
    <col min="11" max="11" width="12.1796875" style="1" customWidth="1"/>
    <col min="12" max="12" width="10.81640625" style="1" customWidth="1"/>
    <col min="13" max="13" width="10.453125" style="1" customWidth="1"/>
    <col min="14" max="14" width="11.81640625" style="1" customWidth="1"/>
    <col min="15" max="15" width="11" style="1" customWidth="1"/>
    <col min="16" max="16" width="10.1796875" style="7" bestFit="1" customWidth="1"/>
    <col min="17" max="17" width="10.26953125" style="7" bestFit="1" customWidth="1"/>
    <col min="18" max="18" width="2.81640625" style="1" customWidth="1"/>
    <col min="19" max="19" width="11.1796875" bestFit="1" customWidth="1"/>
    <col min="20" max="22" width="12.81640625" customWidth="1"/>
    <col min="24" max="24" width="11.453125" customWidth="1"/>
  </cols>
  <sheetData>
    <row r="1" spans="1:41" s="5" customFormat="1">
      <c r="A1" s="5" t="s">
        <v>201</v>
      </c>
      <c r="B1" s="81"/>
      <c r="C1" s="6"/>
      <c r="D1" s="6"/>
      <c r="E1" s="6"/>
      <c r="F1" s="6"/>
      <c r="G1" s="6"/>
      <c r="H1" s="6"/>
      <c r="I1" s="6"/>
      <c r="J1" s="6"/>
      <c r="K1" s="6"/>
      <c r="L1" s="6"/>
      <c r="M1" s="6"/>
      <c r="N1" s="6"/>
      <c r="O1" s="6"/>
      <c r="P1" s="81"/>
      <c r="Q1" s="81"/>
      <c r="R1" s="6"/>
    </row>
    <row r="2" spans="1:41" s="5" customFormat="1">
      <c r="A2" s="5" t="s">
        <v>11</v>
      </c>
      <c r="B2" s="81"/>
      <c r="C2" s="6"/>
      <c r="D2" s="6"/>
      <c r="E2" s="6"/>
      <c r="F2" s="6"/>
      <c r="G2" s="6"/>
      <c r="H2" s="6"/>
      <c r="I2" s="6"/>
      <c r="J2" s="6"/>
      <c r="K2" s="6"/>
      <c r="L2" s="6"/>
      <c r="M2" s="6"/>
      <c r="N2" s="6"/>
      <c r="O2" s="6"/>
      <c r="P2" s="81"/>
      <c r="Q2" s="81"/>
      <c r="R2" s="6"/>
    </row>
    <row r="4" spans="1:41" s="4" customFormat="1" ht="43.5">
      <c r="A4" s="2" t="s">
        <v>0</v>
      </c>
      <c r="B4" s="249" t="s">
        <v>1</v>
      </c>
      <c r="C4" s="3" t="s">
        <v>121</v>
      </c>
      <c r="D4" s="3" t="s">
        <v>2</v>
      </c>
      <c r="E4" s="3" t="s">
        <v>3</v>
      </c>
      <c r="F4" s="3" t="s">
        <v>4</v>
      </c>
      <c r="G4" s="3" t="s">
        <v>5</v>
      </c>
      <c r="H4" s="3" t="s">
        <v>67</v>
      </c>
      <c r="I4" s="3" t="s">
        <v>68</v>
      </c>
      <c r="J4" s="3" t="s">
        <v>66</v>
      </c>
      <c r="K4" s="3" t="s">
        <v>6</v>
      </c>
      <c r="L4" s="3" t="s">
        <v>7</v>
      </c>
      <c r="M4" s="3" t="s">
        <v>8</v>
      </c>
      <c r="N4" s="3" t="s">
        <v>9</v>
      </c>
      <c r="O4" s="203" t="s">
        <v>10</v>
      </c>
      <c r="P4" s="249" t="s">
        <v>19</v>
      </c>
      <c r="Q4" s="249" t="s">
        <v>20</v>
      </c>
      <c r="R4" s="10"/>
      <c r="S4" s="4" t="s">
        <v>70</v>
      </c>
      <c r="T4" s="4" t="s">
        <v>71</v>
      </c>
      <c r="U4" s="4" t="s">
        <v>72</v>
      </c>
      <c r="V4" s="4" t="s">
        <v>172</v>
      </c>
      <c r="X4" s="4" t="s">
        <v>126</v>
      </c>
      <c r="Z4" s="3"/>
      <c r="AA4" s="3"/>
      <c r="AB4" s="3"/>
      <c r="AC4" s="3"/>
      <c r="AD4" s="3"/>
      <c r="AE4" s="3"/>
      <c r="AF4" s="3"/>
      <c r="AG4" s="3"/>
      <c r="AH4" s="3"/>
      <c r="AI4" s="3"/>
      <c r="AJ4" s="3"/>
      <c r="AK4" s="3"/>
      <c r="AL4" s="3"/>
      <c r="AM4" s="3"/>
      <c r="AN4" s="3"/>
      <c r="AO4" s="3"/>
    </row>
    <row r="5" spans="1:41" s="125" customFormat="1">
      <c r="A5" s="127" t="s">
        <v>22</v>
      </c>
      <c r="B5" s="129"/>
      <c r="C5" s="128"/>
      <c r="D5" s="128"/>
      <c r="E5" s="128"/>
      <c r="F5" s="128"/>
      <c r="G5" s="128"/>
      <c r="H5" s="128"/>
      <c r="I5" s="128"/>
      <c r="J5" s="128"/>
      <c r="K5" s="128"/>
      <c r="L5" s="128"/>
      <c r="M5" s="128"/>
      <c r="N5" s="128"/>
      <c r="O5" s="204"/>
      <c r="P5" s="129"/>
      <c r="Q5" s="129"/>
      <c r="R5" s="135"/>
      <c r="S5" s="127"/>
      <c r="T5" s="127"/>
      <c r="U5" s="127"/>
      <c r="V5" s="127"/>
      <c r="W5" s="127"/>
      <c r="X5" s="127"/>
    </row>
    <row r="6" spans="1:41">
      <c r="A6" t="s">
        <v>12</v>
      </c>
      <c r="B6" s="7">
        <v>5140</v>
      </c>
      <c r="C6" s="1">
        <v>437.8</v>
      </c>
      <c r="D6" s="1">
        <v>248.4</v>
      </c>
      <c r="E6" s="1">
        <v>136.62</v>
      </c>
      <c r="F6" s="1">
        <v>51.76</v>
      </c>
      <c r="G6" s="1">
        <v>22.78</v>
      </c>
      <c r="H6" s="1">
        <v>99.36</v>
      </c>
      <c r="I6" s="1">
        <v>0</v>
      </c>
      <c r="J6" s="1">
        <v>0</v>
      </c>
      <c r="K6" s="1">
        <v>124.2</v>
      </c>
      <c r="L6" s="1">
        <v>248.4</v>
      </c>
      <c r="M6" s="1">
        <v>422</v>
      </c>
      <c r="N6" s="1">
        <v>840.42</v>
      </c>
      <c r="O6" s="205">
        <v>9023</v>
      </c>
      <c r="P6" s="7">
        <f t="shared" ref="P6:P18" si="0">SUM(B6:N6)</f>
        <v>7771.7399999999989</v>
      </c>
      <c r="Q6" s="7">
        <f t="shared" ref="Q6:Q18" si="1">SUM(O6:P6)</f>
        <v>16794.739999999998</v>
      </c>
      <c r="R6" s="11"/>
      <c r="S6" s="1">
        <v>5140</v>
      </c>
      <c r="T6" s="9">
        <f t="shared" ref="T6:T18" si="2">S6-B6</f>
        <v>0</v>
      </c>
      <c r="U6" s="1">
        <v>5139.75</v>
      </c>
      <c r="V6" s="8">
        <f t="shared" ref="V6:V18" si="3">U6-S6</f>
        <v>-0.25</v>
      </c>
      <c r="X6" s="1">
        <f t="shared" ref="X6:X18" si="4">SUM(D6:N6)</f>
        <v>2193.94</v>
      </c>
      <c r="Z6" s="1"/>
      <c r="AA6" s="1"/>
      <c r="AB6" s="1"/>
      <c r="AC6" s="1"/>
      <c r="AD6" s="1"/>
      <c r="AE6" s="1"/>
      <c r="AF6" s="1"/>
      <c r="AG6" s="1"/>
      <c r="AH6" s="1"/>
      <c r="AI6" s="1"/>
      <c r="AJ6" s="1"/>
      <c r="AK6" s="1"/>
      <c r="AL6" s="1"/>
      <c r="AM6" s="1"/>
      <c r="AN6" s="1"/>
      <c r="AO6" s="1"/>
    </row>
    <row r="7" spans="1:41" ht="16.5">
      <c r="A7" t="s">
        <v>432</v>
      </c>
      <c r="B7" s="7">
        <f>5140+180</f>
        <v>5320</v>
      </c>
      <c r="C7" s="1">
        <v>437.8</v>
      </c>
      <c r="D7" s="1">
        <v>248.4</v>
      </c>
      <c r="E7" s="1">
        <v>136.62</v>
      </c>
      <c r="F7" s="1">
        <v>51.76</v>
      </c>
      <c r="G7" s="1">
        <v>22.78</v>
      </c>
      <c r="H7" s="1">
        <v>99.36</v>
      </c>
      <c r="I7" s="1">
        <v>0</v>
      </c>
      <c r="J7" s="1">
        <v>0</v>
      </c>
      <c r="K7" s="1">
        <v>124.2</v>
      </c>
      <c r="L7" s="1">
        <v>248.4</v>
      </c>
      <c r="M7" s="1">
        <v>422</v>
      </c>
      <c r="N7" s="1">
        <v>840.42</v>
      </c>
      <c r="O7" s="205">
        <v>9023</v>
      </c>
      <c r="P7" s="7">
        <f t="shared" si="0"/>
        <v>7951.7399999999989</v>
      </c>
      <c r="Q7" s="7">
        <f t="shared" ref="Q7" si="5">SUM(O7:P7)</f>
        <v>16974.739999999998</v>
      </c>
      <c r="R7" s="11"/>
      <c r="S7" s="1">
        <v>5140</v>
      </c>
      <c r="T7" s="9">
        <f t="shared" si="2"/>
        <v>-180</v>
      </c>
      <c r="U7" s="1">
        <v>5139.75</v>
      </c>
      <c r="V7" s="8">
        <f t="shared" ref="V7" si="6">U7-S7</f>
        <v>-0.25</v>
      </c>
      <c r="X7" s="1">
        <f t="shared" ref="X7" si="7">SUM(D7:N7)</f>
        <v>2193.94</v>
      </c>
      <c r="Z7" s="1"/>
      <c r="AA7" s="1"/>
      <c r="AB7" s="1"/>
      <c r="AC7" s="1"/>
      <c r="AD7" s="1"/>
      <c r="AE7" s="1"/>
      <c r="AF7" s="1"/>
      <c r="AG7" s="1"/>
      <c r="AH7" s="1"/>
      <c r="AI7" s="1"/>
      <c r="AJ7" s="1"/>
      <c r="AK7" s="1"/>
      <c r="AL7" s="1"/>
      <c r="AM7" s="1"/>
      <c r="AN7" s="1"/>
      <c r="AO7" s="1"/>
    </row>
    <row r="8" spans="1:41">
      <c r="A8" t="s">
        <v>13</v>
      </c>
      <c r="B8" s="7">
        <v>5553</v>
      </c>
      <c r="C8" s="1">
        <v>2983.29</v>
      </c>
      <c r="D8" s="1">
        <v>240</v>
      </c>
      <c r="E8" s="1">
        <v>138</v>
      </c>
      <c r="F8" s="1">
        <v>50.010000000000005</v>
      </c>
      <c r="G8" s="1">
        <v>37</v>
      </c>
      <c r="H8" s="1">
        <v>96</v>
      </c>
      <c r="I8" s="1">
        <v>0</v>
      </c>
      <c r="J8" s="1">
        <v>0</v>
      </c>
      <c r="K8" s="1">
        <v>150</v>
      </c>
      <c r="L8" s="1">
        <v>300</v>
      </c>
      <c r="M8" s="1">
        <v>1433.6999999999998</v>
      </c>
      <c r="N8" s="1">
        <v>418.5</v>
      </c>
      <c r="O8" s="205">
        <v>8913</v>
      </c>
      <c r="P8" s="7">
        <f t="shared" si="0"/>
        <v>11399.5</v>
      </c>
      <c r="Q8" s="7">
        <f t="shared" si="1"/>
        <v>20312.5</v>
      </c>
      <c r="R8" s="11"/>
      <c r="S8" s="1">
        <v>5553</v>
      </c>
      <c r="T8" s="9">
        <f t="shared" si="2"/>
        <v>0</v>
      </c>
      <c r="U8" s="1">
        <v>5553</v>
      </c>
      <c r="V8" s="8">
        <f t="shared" si="3"/>
        <v>0</v>
      </c>
      <c r="X8" s="1">
        <f t="shared" si="4"/>
        <v>2863.21</v>
      </c>
      <c r="Z8" s="1"/>
      <c r="AA8" s="1"/>
      <c r="AB8" s="1"/>
      <c r="AC8" s="1"/>
      <c r="AD8" s="1"/>
      <c r="AE8" s="1"/>
      <c r="AF8" s="1"/>
      <c r="AG8" s="1"/>
      <c r="AH8" s="1"/>
      <c r="AI8" s="1"/>
      <c r="AJ8" s="1"/>
      <c r="AK8" s="1"/>
      <c r="AL8" s="1"/>
      <c r="AM8" s="1"/>
      <c r="AN8" s="1"/>
      <c r="AO8" s="1"/>
    </row>
    <row r="9" spans="1:41">
      <c r="A9" t="s">
        <v>14</v>
      </c>
      <c r="B9" s="7">
        <v>5147.34</v>
      </c>
      <c r="C9" s="1">
        <v>2182.04</v>
      </c>
      <c r="D9" s="1">
        <v>240</v>
      </c>
      <c r="E9" s="1">
        <v>118</v>
      </c>
      <c r="F9" s="1">
        <v>50</v>
      </c>
      <c r="G9" s="1">
        <v>20</v>
      </c>
      <c r="H9" s="1">
        <v>96</v>
      </c>
      <c r="I9" s="1">
        <v>0</v>
      </c>
      <c r="J9" s="1">
        <v>0</v>
      </c>
      <c r="K9" s="1">
        <v>150</v>
      </c>
      <c r="L9" s="1">
        <v>300</v>
      </c>
      <c r="M9" s="1">
        <v>240</v>
      </c>
      <c r="N9" s="1">
        <v>907.2</v>
      </c>
      <c r="O9" s="205">
        <v>2000</v>
      </c>
      <c r="P9" s="7">
        <f t="shared" si="0"/>
        <v>9450.5800000000017</v>
      </c>
      <c r="Q9" s="7">
        <f t="shared" si="1"/>
        <v>11450.580000000002</v>
      </c>
      <c r="R9" s="11"/>
      <c r="S9" s="1">
        <v>5147.34</v>
      </c>
      <c r="T9" s="9">
        <f t="shared" si="2"/>
        <v>0</v>
      </c>
      <c r="U9" s="1">
        <v>5147.34</v>
      </c>
      <c r="V9" s="8">
        <f t="shared" si="3"/>
        <v>0</v>
      </c>
      <c r="X9" s="1">
        <f t="shared" si="4"/>
        <v>2121.1999999999998</v>
      </c>
      <c r="Z9" s="1"/>
      <c r="AA9" s="1"/>
      <c r="AB9" s="1"/>
      <c r="AC9" s="1"/>
      <c r="AD9" s="1"/>
      <c r="AE9" s="1"/>
      <c r="AF9" s="1"/>
      <c r="AG9" s="1"/>
      <c r="AH9" s="1"/>
      <c r="AI9" s="1"/>
      <c r="AJ9" s="1"/>
      <c r="AK9" s="1"/>
      <c r="AL9" s="1"/>
      <c r="AM9" s="1"/>
      <c r="AN9" s="1"/>
      <c r="AO9" s="1"/>
    </row>
    <row r="10" spans="1:41">
      <c r="A10" t="s">
        <v>15</v>
      </c>
      <c r="B10" s="7">
        <v>4922.28</v>
      </c>
      <c r="C10" s="1">
        <v>1496.16</v>
      </c>
      <c r="D10" s="1">
        <v>240</v>
      </c>
      <c r="E10" s="1">
        <v>120</v>
      </c>
      <c r="F10" s="1">
        <v>50</v>
      </c>
      <c r="G10" s="1">
        <v>20</v>
      </c>
      <c r="H10" s="1">
        <v>96</v>
      </c>
      <c r="I10" s="1">
        <v>0</v>
      </c>
      <c r="J10" s="1">
        <v>0</v>
      </c>
      <c r="K10" s="1">
        <v>150</v>
      </c>
      <c r="L10" s="1">
        <v>195</v>
      </c>
      <c r="M10" s="1">
        <v>414.2</v>
      </c>
      <c r="N10" s="1">
        <v>1106.5</v>
      </c>
      <c r="O10" s="205">
        <v>1093.2</v>
      </c>
      <c r="P10" s="7">
        <f t="shared" si="0"/>
        <v>8810.14</v>
      </c>
      <c r="Q10" s="7">
        <f t="shared" si="1"/>
        <v>9903.34</v>
      </c>
      <c r="R10" s="11"/>
      <c r="S10" s="1">
        <v>4922.28</v>
      </c>
      <c r="T10" s="9">
        <f t="shared" si="2"/>
        <v>0</v>
      </c>
      <c r="U10" s="1">
        <v>4922.28</v>
      </c>
      <c r="V10" s="8">
        <f t="shared" si="3"/>
        <v>0</v>
      </c>
      <c r="X10" s="1">
        <f t="shared" si="4"/>
        <v>2391.6999999999998</v>
      </c>
      <c r="Z10" s="1"/>
      <c r="AA10" s="1"/>
      <c r="AB10" s="1"/>
      <c r="AC10" s="1"/>
      <c r="AD10" s="1"/>
      <c r="AE10" s="1"/>
      <c r="AF10" s="1"/>
      <c r="AG10" s="1"/>
      <c r="AH10" s="1"/>
      <c r="AI10" s="1"/>
      <c r="AJ10" s="1"/>
      <c r="AK10" s="1"/>
      <c r="AL10" s="1"/>
      <c r="AM10" s="1"/>
      <c r="AN10" s="1"/>
      <c r="AO10" s="1"/>
    </row>
    <row r="11" spans="1:41" ht="16.5">
      <c r="A11" t="s">
        <v>433</v>
      </c>
      <c r="B11" s="7">
        <v>5084.5199999999995</v>
      </c>
      <c r="C11" s="1">
        <v>1496.16</v>
      </c>
      <c r="D11" s="1">
        <v>240</v>
      </c>
      <c r="E11" s="1">
        <v>120</v>
      </c>
      <c r="F11" s="1">
        <v>50</v>
      </c>
      <c r="G11" s="1">
        <v>20</v>
      </c>
      <c r="H11" s="1">
        <v>96</v>
      </c>
      <c r="I11" s="1">
        <v>0</v>
      </c>
      <c r="J11" s="1">
        <v>0</v>
      </c>
      <c r="K11" s="1">
        <v>150</v>
      </c>
      <c r="L11" s="1">
        <v>195</v>
      </c>
      <c r="M11" s="1">
        <v>414.2</v>
      </c>
      <c r="N11" s="1">
        <v>1106.5</v>
      </c>
      <c r="O11" s="205">
        <v>1093.2</v>
      </c>
      <c r="P11" s="7">
        <f t="shared" si="0"/>
        <v>8972.3799999999992</v>
      </c>
      <c r="Q11" s="7">
        <f t="shared" ref="Q11" si="8">SUM(O11:P11)</f>
        <v>10065.58</v>
      </c>
      <c r="R11" s="11"/>
      <c r="S11" s="1">
        <v>4922.28</v>
      </c>
      <c r="T11" s="9">
        <f t="shared" si="2"/>
        <v>-162.23999999999978</v>
      </c>
      <c r="U11" s="1">
        <v>4922.28</v>
      </c>
      <c r="V11" s="8">
        <f t="shared" ref="V11" si="9">U11-S11</f>
        <v>0</v>
      </c>
      <c r="X11" s="1">
        <f t="shared" ref="X11" si="10">SUM(D11:N11)</f>
        <v>2391.6999999999998</v>
      </c>
      <c r="Z11" s="1"/>
      <c r="AA11" s="1"/>
      <c r="AB11" s="1"/>
      <c r="AC11" s="1"/>
      <c r="AD11" s="1"/>
      <c r="AE11" s="1"/>
      <c r="AF11" s="1"/>
      <c r="AG11" s="1"/>
      <c r="AH11" s="1"/>
      <c r="AI11" s="1"/>
      <c r="AJ11" s="1"/>
      <c r="AK11" s="1"/>
      <c r="AL11" s="1"/>
      <c r="AM11" s="1"/>
      <c r="AN11" s="1"/>
      <c r="AO11" s="1"/>
    </row>
    <row r="12" spans="1:41">
      <c r="A12" t="s">
        <v>16</v>
      </c>
      <c r="B12" s="7">
        <v>5180</v>
      </c>
      <c r="C12" s="1">
        <f>1490+720</f>
        <v>2210</v>
      </c>
      <c r="D12" s="1">
        <v>240</v>
      </c>
      <c r="E12" s="1">
        <v>124</v>
      </c>
      <c r="F12" s="1">
        <v>50</v>
      </c>
      <c r="G12" s="1">
        <v>20</v>
      </c>
      <c r="H12" s="1">
        <v>96</v>
      </c>
      <c r="I12" s="1">
        <v>210</v>
      </c>
      <c r="J12" s="1">
        <v>0</v>
      </c>
      <c r="K12" s="1">
        <v>150</v>
      </c>
      <c r="L12" s="1">
        <v>0</v>
      </c>
      <c r="M12" s="1">
        <v>596</v>
      </c>
      <c r="N12" s="1">
        <v>758</v>
      </c>
      <c r="O12" s="205">
        <v>10788</v>
      </c>
      <c r="P12" s="7">
        <f t="shared" si="0"/>
        <v>9634</v>
      </c>
      <c r="Q12" s="7">
        <f t="shared" si="1"/>
        <v>20422</v>
      </c>
      <c r="R12" s="11"/>
      <c r="S12" s="1">
        <v>5180</v>
      </c>
      <c r="T12" s="9">
        <f t="shared" si="2"/>
        <v>0</v>
      </c>
      <c r="U12" s="1">
        <v>5180</v>
      </c>
      <c r="V12" s="8">
        <f t="shared" si="3"/>
        <v>0</v>
      </c>
      <c r="X12" s="1">
        <f t="shared" si="4"/>
        <v>2244</v>
      </c>
      <c r="Z12" s="1"/>
      <c r="AA12" s="1"/>
      <c r="AB12" s="1"/>
      <c r="AC12" s="1"/>
      <c r="AD12" s="1"/>
      <c r="AE12" s="1"/>
      <c r="AF12" s="1"/>
      <c r="AG12" s="1"/>
      <c r="AH12" s="1"/>
      <c r="AI12" s="1"/>
      <c r="AJ12" s="1"/>
      <c r="AK12" s="1"/>
      <c r="AL12" s="1"/>
      <c r="AM12" s="1"/>
      <c r="AN12" s="1"/>
      <c r="AO12" s="1"/>
    </row>
    <row r="13" spans="1:41">
      <c r="A13" t="s">
        <v>17</v>
      </c>
      <c r="B13" s="7">
        <v>5777</v>
      </c>
      <c r="C13" s="1">
        <v>508</v>
      </c>
      <c r="D13" s="1">
        <v>240</v>
      </c>
      <c r="E13" s="1">
        <v>115</v>
      </c>
      <c r="F13" s="1">
        <v>50</v>
      </c>
      <c r="G13" s="1">
        <v>20</v>
      </c>
      <c r="H13" s="1">
        <v>96</v>
      </c>
      <c r="I13" s="1">
        <v>0</v>
      </c>
      <c r="J13" s="1">
        <v>0</v>
      </c>
      <c r="K13" s="1">
        <v>150</v>
      </c>
      <c r="L13" s="1">
        <v>300</v>
      </c>
      <c r="M13" s="1">
        <v>1454</v>
      </c>
      <c r="N13" s="1">
        <v>519</v>
      </c>
      <c r="O13" s="205">
        <v>12478</v>
      </c>
      <c r="P13" s="7">
        <f t="shared" si="0"/>
        <v>9229</v>
      </c>
      <c r="Q13" s="7">
        <f t="shared" si="1"/>
        <v>21707</v>
      </c>
      <c r="R13" s="11"/>
      <c r="S13" s="1">
        <v>5652</v>
      </c>
      <c r="T13" s="9">
        <f t="shared" si="2"/>
        <v>-125</v>
      </c>
      <c r="U13" s="1">
        <v>5652</v>
      </c>
      <c r="V13" s="8">
        <f t="shared" si="3"/>
        <v>0</v>
      </c>
      <c r="X13" s="1">
        <f t="shared" si="4"/>
        <v>2944</v>
      </c>
      <c r="Z13" s="1"/>
      <c r="AA13" s="1"/>
      <c r="AB13" s="1"/>
      <c r="AC13" s="1"/>
      <c r="AD13" s="1"/>
      <c r="AE13" s="1"/>
      <c r="AF13" s="1"/>
      <c r="AG13" s="1"/>
      <c r="AH13" s="1"/>
      <c r="AI13" s="1"/>
      <c r="AJ13" s="1"/>
      <c r="AK13" s="1"/>
      <c r="AL13" s="1"/>
      <c r="AM13" s="1"/>
      <c r="AN13" s="1"/>
      <c r="AO13" s="1"/>
    </row>
    <row r="14" spans="1:41" ht="16.5">
      <c r="A14" t="s">
        <v>434</v>
      </c>
      <c r="B14" s="7">
        <f>5777+160</f>
        <v>5937</v>
      </c>
      <c r="C14" s="1">
        <v>508</v>
      </c>
      <c r="D14" s="1">
        <v>240</v>
      </c>
      <c r="E14" s="1">
        <v>115</v>
      </c>
      <c r="F14" s="1">
        <v>50</v>
      </c>
      <c r="G14" s="1">
        <v>20</v>
      </c>
      <c r="H14" s="1">
        <v>96</v>
      </c>
      <c r="I14" s="1">
        <v>0</v>
      </c>
      <c r="J14" s="1">
        <v>0</v>
      </c>
      <c r="K14" s="1">
        <v>150</v>
      </c>
      <c r="L14" s="1">
        <v>300</v>
      </c>
      <c r="M14" s="1">
        <v>1454</v>
      </c>
      <c r="N14" s="1">
        <v>519</v>
      </c>
      <c r="O14" s="205">
        <v>12478</v>
      </c>
      <c r="P14" s="7">
        <f t="shared" si="0"/>
        <v>9389</v>
      </c>
      <c r="Q14" s="7">
        <f t="shared" ref="Q14" si="11">SUM(O14:P14)</f>
        <v>21867</v>
      </c>
      <c r="R14" s="11"/>
      <c r="S14" s="1">
        <v>5652</v>
      </c>
      <c r="T14" s="9">
        <f t="shared" si="2"/>
        <v>-285</v>
      </c>
      <c r="U14" s="1">
        <v>5652</v>
      </c>
      <c r="V14" s="8">
        <f t="shared" ref="V14" si="12">U14-S14</f>
        <v>0</v>
      </c>
      <c r="X14" s="1">
        <f t="shared" ref="X14" si="13">SUM(D14:N14)</f>
        <v>2944</v>
      </c>
      <c r="Z14" s="1"/>
      <c r="AA14" s="1"/>
      <c r="AB14" s="1"/>
      <c r="AC14" s="1"/>
      <c r="AD14" s="1"/>
      <c r="AE14" s="1"/>
      <c r="AF14" s="1"/>
      <c r="AG14" s="1"/>
      <c r="AH14" s="1"/>
      <c r="AI14" s="1"/>
      <c r="AJ14" s="1"/>
      <c r="AK14" s="1"/>
      <c r="AL14" s="1"/>
      <c r="AM14" s="1"/>
      <c r="AN14" s="1"/>
      <c r="AO14" s="1"/>
    </row>
    <row r="15" spans="1:41">
      <c r="A15" t="s">
        <v>18</v>
      </c>
      <c r="B15" s="7">
        <v>5406.96</v>
      </c>
      <c r="C15" s="1">
        <v>4611.74</v>
      </c>
      <c r="D15" s="1">
        <v>240</v>
      </c>
      <c r="E15" s="1">
        <v>122.4</v>
      </c>
      <c r="F15" s="1">
        <v>50</v>
      </c>
      <c r="G15" s="1">
        <v>20</v>
      </c>
      <c r="H15" s="1">
        <v>96</v>
      </c>
      <c r="I15" s="1">
        <v>0</v>
      </c>
      <c r="J15" s="1">
        <v>0</v>
      </c>
      <c r="K15" s="1">
        <v>150</v>
      </c>
      <c r="L15" s="1">
        <v>300</v>
      </c>
      <c r="M15" s="1">
        <v>289.89999999999998</v>
      </c>
      <c r="N15" s="1">
        <v>798.04</v>
      </c>
      <c r="O15" s="205">
        <v>13728</v>
      </c>
      <c r="P15" s="7">
        <f t="shared" si="0"/>
        <v>12085.04</v>
      </c>
      <c r="Q15" s="7">
        <f t="shared" si="1"/>
        <v>25813.040000000001</v>
      </c>
      <c r="R15" s="11"/>
      <c r="S15" s="1">
        <v>5406.96</v>
      </c>
      <c r="T15" s="9">
        <f t="shared" si="2"/>
        <v>0</v>
      </c>
      <c r="U15" s="1">
        <v>5406.96</v>
      </c>
      <c r="V15" s="8">
        <f t="shared" si="3"/>
        <v>0</v>
      </c>
      <c r="X15" s="1">
        <f t="shared" si="4"/>
        <v>2066.34</v>
      </c>
      <c r="Z15" s="1"/>
      <c r="AA15" s="1"/>
      <c r="AB15" s="1"/>
      <c r="AC15" s="1"/>
      <c r="AD15" s="1"/>
      <c r="AE15" s="1"/>
      <c r="AF15" s="1"/>
      <c r="AG15" s="1"/>
      <c r="AH15" s="1"/>
      <c r="AI15" s="1"/>
      <c r="AJ15" s="1"/>
      <c r="AK15" s="1"/>
      <c r="AL15" s="1"/>
      <c r="AM15" s="1"/>
      <c r="AN15" s="1"/>
      <c r="AO15" s="1"/>
    </row>
    <row r="16" spans="1:41" ht="16.5">
      <c r="A16" t="s">
        <v>435</v>
      </c>
      <c r="B16" s="7">
        <f>5406.96+312.96</f>
        <v>5719.92</v>
      </c>
      <c r="C16" s="1">
        <v>4611.74</v>
      </c>
      <c r="D16" s="1">
        <v>240</v>
      </c>
      <c r="E16" s="1">
        <v>122.4</v>
      </c>
      <c r="F16" s="1">
        <v>50</v>
      </c>
      <c r="G16" s="1">
        <v>20</v>
      </c>
      <c r="H16" s="1">
        <v>96</v>
      </c>
      <c r="I16" s="1">
        <v>0</v>
      </c>
      <c r="J16" s="1">
        <v>0</v>
      </c>
      <c r="K16" s="1">
        <v>150</v>
      </c>
      <c r="L16" s="1">
        <v>300</v>
      </c>
      <c r="M16" s="1">
        <v>289.89999999999998</v>
      </c>
      <c r="N16" s="1">
        <v>798.04</v>
      </c>
      <c r="O16" s="205">
        <v>13728</v>
      </c>
      <c r="P16" s="7">
        <f t="shared" si="0"/>
        <v>12398</v>
      </c>
      <c r="Q16" s="7">
        <f t="shared" ref="Q16" si="14">SUM(O16:P16)</f>
        <v>26126</v>
      </c>
      <c r="R16" s="11"/>
      <c r="S16" s="1">
        <v>5406.96</v>
      </c>
      <c r="T16" s="9">
        <f t="shared" si="2"/>
        <v>-312.96000000000004</v>
      </c>
      <c r="U16" s="1">
        <v>5406.96</v>
      </c>
      <c r="V16" s="8">
        <f t="shared" ref="V16" si="15">U16-S16</f>
        <v>0</v>
      </c>
      <c r="X16" s="1">
        <f t="shared" ref="X16" si="16">SUM(D16:N16)</f>
        <v>2066.34</v>
      </c>
      <c r="Z16" s="1"/>
      <c r="AA16" s="1"/>
      <c r="AB16" s="1"/>
      <c r="AC16" s="1"/>
      <c r="AD16" s="1"/>
      <c r="AE16" s="1"/>
      <c r="AF16" s="1"/>
      <c r="AG16" s="1"/>
      <c r="AH16" s="1"/>
      <c r="AI16" s="1"/>
      <c r="AJ16" s="1"/>
      <c r="AK16" s="1"/>
      <c r="AL16" s="1"/>
      <c r="AM16" s="1"/>
      <c r="AN16" s="1"/>
      <c r="AO16" s="1"/>
    </row>
    <row r="17" spans="1:41">
      <c r="A17" t="s">
        <v>45</v>
      </c>
      <c r="B17" s="7">
        <v>5788</v>
      </c>
      <c r="C17" s="1">
        <f>1105+766</f>
        <v>1871</v>
      </c>
      <c r="D17" s="1">
        <v>240</v>
      </c>
      <c r="E17" s="1">
        <v>120</v>
      </c>
      <c r="F17" s="1">
        <v>50</v>
      </c>
      <c r="G17" s="1">
        <v>20</v>
      </c>
      <c r="H17" s="1">
        <v>96</v>
      </c>
      <c r="I17" s="1">
        <v>0</v>
      </c>
      <c r="J17" s="1">
        <v>0</v>
      </c>
      <c r="K17" s="1">
        <v>150</v>
      </c>
      <c r="L17" s="1">
        <v>300</v>
      </c>
      <c r="M17" s="1">
        <v>1050</v>
      </c>
      <c r="N17" s="1">
        <v>800</v>
      </c>
      <c r="O17" s="205">
        <v>12100</v>
      </c>
      <c r="P17" s="7">
        <f t="shared" si="0"/>
        <v>10485</v>
      </c>
      <c r="Q17" s="7">
        <f t="shared" si="1"/>
        <v>22585</v>
      </c>
      <c r="R17" s="11"/>
      <c r="S17" s="1">
        <v>5788</v>
      </c>
      <c r="T17" s="9">
        <f t="shared" si="2"/>
        <v>0</v>
      </c>
      <c r="U17" s="1">
        <v>5788</v>
      </c>
      <c r="V17" s="8">
        <f t="shared" si="3"/>
        <v>0</v>
      </c>
      <c r="X17" s="1">
        <f t="shared" si="4"/>
        <v>2826</v>
      </c>
      <c r="Z17" s="1"/>
      <c r="AA17" s="1"/>
      <c r="AB17" s="1"/>
      <c r="AC17" s="1"/>
      <c r="AD17" s="1"/>
      <c r="AE17" s="1"/>
      <c r="AF17" s="1"/>
      <c r="AG17" s="1"/>
      <c r="AH17" s="1"/>
      <c r="AI17" s="1"/>
      <c r="AJ17" s="1"/>
      <c r="AK17" s="1"/>
      <c r="AL17" s="1"/>
      <c r="AM17" s="1"/>
      <c r="AN17" s="1"/>
      <c r="AO17" s="1"/>
    </row>
    <row r="18" spans="1:41">
      <c r="A18" t="s">
        <v>26</v>
      </c>
      <c r="B18" s="7">
        <v>6090.38</v>
      </c>
      <c r="C18" s="1">
        <f>339.1+375</f>
        <v>714.1</v>
      </c>
      <c r="D18" s="1">
        <v>240</v>
      </c>
      <c r="E18" s="1">
        <v>138</v>
      </c>
      <c r="F18" s="1">
        <v>0</v>
      </c>
      <c r="G18" s="1">
        <v>150</v>
      </c>
      <c r="H18" s="1">
        <v>96</v>
      </c>
      <c r="I18" s="1">
        <v>0</v>
      </c>
      <c r="J18" s="1">
        <v>0</v>
      </c>
      <c r="K18" s="1">
        <v>0</v>
      </c>
      <c r="L18" s="1">
        <v>0</v>
      </c>
      <c r="M18" s="1">
        <v>1934.6</v>
      </c>
      <c r="N18" s="1">
        <v>465.92</v>
      </c>
      <c r="O18" s="205">
        <v>4836</v>
      </c>
      <c r="P18" s="7">
        <f t="shared" si="0"/>
        <v>9829</v>
      </c>
      <c r="Q18" s="7">
        <f t="shared" si="1"/>
        <v>14665</v>
      </c>
      <c r="R18" s="11"/>
      <c r="S18" s="1">
        <v>6090.38</v>
      </c>
      <c r="T18" s="9">
        <f t="shared" si="2"/>
        <v>0</v>
      </c>
      <c r="U18" s="1">
        <v>6090.38</v>
      </c>
      <c r="V18" s="8">
        <f t="shared" si="3"/>
        <v>0</v>
      </c>
      <c r="X18" s="1">
        <f t="shared" si="4"/>
        <v>3024.52</v>
      </c>
      <c r="Z18" s="1"/>
      <c r="AA18" s="1"/>
      <c r="AB18" s="1"/>
      <c r="AC18" s="1"/>
      <c r="AD18" s="1"/>
      <c r="AE18" s="1"/>
      <c r="AF18" s="1"/>
      <c r="AG18" s="1"/>
      <c r="AH18" s="1"/>
      <c r="AI18" s="1"/>
      <c r="AJ18" s="1"/>
      <c r="AK18" s="1"/>
      <c r="AL18" s="1"/>
      <c r="AM18" s="1"/>
      <c r="AN18" s="1"/>
      <c r="AO18" s="1"/>
    </row>
    <row r="19" spans="1:41">
      <c r="A19" s="130" t="s">
        <v>21</v>
      </c>
      <c r="B19" s="250"/>
      <c r="C19" s="131"/>
      <c r="D19" s="131"/>
      <c r="E19" s="131"/>
      <c r="F19" s="131"/>
      <c r="G19" s="131"/>
      <c r="H19" s="131"/>
      <c r="I19" s="131"/>
      <c r="J19" s="131"/>
      <c r="K19" s="131"/>
      <c r="L19" s="131"/>
      <c r="M19" s="131"/>
      <c r="N19" s="131"/>
      <c r="O19" s="206"/>
      <c r="P19" s="250"/>
      <c r="Q19" s="250"/>
      <c r="R19" s="135"/>
      <c r="S19" s="131"/>
      <c r="T19" s="132"/>
      <c r="U19" s="131"/>
      <c r="V19" s="133"/>
      <c r="W19" s="134"/>
      <c r="X19" s="134"/>
      <c r="Z19" s="1"/>
      <c r="AA19" s="1"/>
      <c r="AB19" s="1"/>
      <c r="AC19" s="1"/>
      <c r="AD19" s="1"/>
      <c r="AE19" s="1"/>
      <c r="AF19" s="1"/>
      <c r="AG19" s="1"/>
      <c r="AH19" s="1"/>
      <c r="AI19" s="1"/>
      <c r="AJ19" s="1"/>
      <c r="AK19" s="1"/>
      <c r="AL19" s="1"/>
      <c r="AM19" s="1"/>
      <c r="AN19" s="1"/>
      <c r="AO19" s="1"/>
    </row>
    <row r="20" spans="1:41">
      <c r="A20" t="s">
        <v>217</v>
      </c>
      <c r="B20" s="7">
        <v>7462.98</v>
      </c>
      <c r="C20" s="1">
        <v>574.87</v>
      </c>
      <c r="D20" s="1">
        <v>490</v>
      </c>
      <c r="E20" s="1">
        <v>160</v>
      </c>
      <c r="F20" s="1">
        <v>0</v>
      </c>
      <c r="G20" s="1">
        <v>0</v>
      </c>
      <c r="H20" s="1">
        <v>96</v>
      </c>
      <c r="I20" s="1">
        <v>0</v>
      </c>
      <c r="J20" s="1">
        <v>0</v>
      </c>
      <c r="K20" s="1">
        <v>150</v>
      </c>
      <c r="L20" s="1">
        <v>0</v>
      </c>
      <c r="M20" s="1">
        <v>3100.9</v>
      </c>
      <c r="N20" s="1">
        <v>276.25</v>
      </c>
      <c r="O20" s="205">
        <v>16677</v>
      </c>
      <c r="P20" s="7">
        <f t="shared" ref="P20:P34" si="17">SUM(B20:N20)</f>
        <v>12310.999999999998</v>
      </c>
      <c r="Q20" s="7">
        <f>SUM(O20:P20)</f>
        <v>28988</v>
      </c>
      <c r="R20" s="11"/>
      <c r="S20" s="1">
        <v>7462.98</v>
      </c>
      <c r="T20" s="9">
        <f t="shared" ref="T20:T34" si="18">S20-B20</f>
        <v>0</v>
      </c>
      <c r="U20" s="1">
        <v>7462.98</v>
      </c>
      <c r="V20" s="8">
        <f t="shared" ref="V20:V34" si="19">U20-S20</f>
        <v>0</v>
      </c>
      <c r="X20" s="1">
        <f t="shared" ref="X20:X34" si="20">SUM(D20:N20)</f>
        <v>4273.1499999999996</v>
      </c>
      <c r="Z20" s="1"/>
      <c r="AA20" s="1"/>
      <c r="AB20" s="1"/>
      <c r="AC20" s="1"/>
      <c r="AD20" s="1"/>
      <c r="AE20" s="1"/>
      <c r="AF20" s="1"/>
      <c r="AG20" s="1"/>
      <c r="AH20" s="1"/>
      <c r="AI20" s="1"/>
      <c r="AJ20" s="1"/>
      <c r="AK20" s="1"/>
      <c r="AL20" s="1"/>
      <c r="AM20" s="1"/>
      <c r="AN20" s="1"/>
      <c r="AO20" s="1"/>
    </row>
    <row r="21" spans="1:41">
      <c r="A21" t="s">
        <v>218</v>
      </c>
      <c r="B21" s="7">
        <v>7462.98</v>
      </c>
      <c r="C21" s="1">
        <v>574.87</v>
      </c>
      <c r="D21" s="1">
        <v>490</v>
      </c>
      <c r="E21" s="1">
        <v>160</v>
      </c>
      <c r="F21" s="1">
        <v>0</v>
      </c>
      <c r="G21" s="1">
        <v>0</v>
      </c>
      <c r="H21" s="1">
        <v>96</v>
      </c>
      <c r="I21" s="1">
        <v>0</v>
      </c>
      <c r="J21" s="1">
        <v>0</v>
      </c>
      <c r="K21" s="1">
        <v>150</v>
      </c>
      <c r="L21" s="1">
        <v>0</v>
      </c>
      <c r="M21" s="1">
        <v>3340.9</v>
      </c>
      <c r="N21" s="1">
        <v>276.25</v>
      </c>
      <c r="O21" s="205">
        <v>16677</v>
      </c>
      <c r="P21" s="7">
        <f t="shared" si="17"/>
        <v>12550.999999999998</v>
      </c>
      <c r="Q21" s="7">
        <f t="shared" ref="Q21:Q22" si="21">SUM(O21:P21)</f>
        <v>29228</v>
      </c>
      <c r="R21" s="11"/>
      <c r="S21" s="1">
        <v>7462.98</v>
      </c>
      <c r="T21" s="9">
        <f t="shared" si="18"/>
        <v>0</v>
      </c>
      <c r="U21" s="1">
        <v>7462.98</v>
      </c>
      <c r="V21" s="8">
        <f t="shared" ref="V21:V22" si="22">U21-S21</f>
        <v>0</v>
      </c>
      <c r="X21" s="1"/>
      <c r="Z21" s="1"/>
      <c r="AA21" s="1"/>
      <c r="AB21" s="1"/>
      <c r="AC21" s="1"/>
      <c r="AD21" s="1"/>
      <c r="AE21" s="1"/>
      <c r="AF21" s="1"/>
      <c r="AG21" s="1"/>
      <c r="AH21" s="1"/>
      <c r="AI21" s="1"/>
      <c r="AJ21" s="1"/>
      <c r="AK21" s="1"/>
      <c r="AL21" s="1"/>
      <c r="AM21" s="1"/>
      <c r="AN21" s="1"/>
      <c r="AO21" s="1"/>
    </row>
    <row r="22" spans="1:41" ht="16.5">
      <c r="A22" t="s">
        <v>436</v>
      </c>
      <c r="B22" s="7">
        <f>7462.98+240</f>
        <v>7702.98</v>
      </c>
      <c r="C22" s="1">
        <v>574.87</v>
      </c>
      <c r="D22" s="1">
        <v>490</v>
      </c>
      <c r="E22" s="1">
        <v>160</v>
      </c>
      <c r="F22" s="1">
        <v>0</v>
      </c>
      <c r="G22" s="1">
        <v>0</v>
      </c>
      <c r="H22" s="1">
        <v>96</v>
      </c>
      <c r="I22" s="1">
        <v>0</v>
      </c>
      <c r="J22" s="1">
        <v>0</v>
      </c>
      <c r="K22" s="1">
        <v>150</v>
      </c>
      <c r="L22" s="1">
        <v>0</v>
      </c>
      <c r="M22" s="1">
        <v>3100.9</v>
      </c>
      <c r="N22" s="1">
        <v>276.25</v>
      </c>
      <c r="O22" s="205">
        <v>16677</v>
      </c>
      <c r="P22" s="7">
        <f t="shared" si="17"/>
        <v>12551</v>
      </c>
      <c r="Q22" s="7">
        <f t="shared" si="21"/>
        <v>29228</v>
      </c>
      <c r="R22" s="11"/>
      <c r="S22" s="1">
        <v>7462.98</v>
      </c>
      <c r="T22" s="9">
        <f t="shared" si="18"/>
        <v>-240</v>
      </c>
      <c r="U22" s="1">
        <v>7462.98</v>
      </c>
      <c r="V22" s="8">
        <f t="shared" si="22"/>
        <v>0</v>
      </c>
      <c r="X22" s="1"/>
      <c r="Z22" s="1"/>
      <c r="AA22" s="1"/>
      <c r="AB22" s="1"/>
      <c r="AC22" s="1"/>
      <c r="AD22" s="1"/>
      <c r="AE22" s="1"/>
      <c r="AF22" s="1"/>
      <c r="AG22" s="1"/>
      <c r="AH22" s="1"/>
      <c r="AI22" s="1"/>
      <c r="AJ22" s="1"/>
      <c r="AK22" s="1"/>
      <c r="AL22" s="1"/>
      <c r="AM22" s="1"/>
      <c r="AN22" s="1"/>
      <c r="AO22" s="1"/>
    </row>
    <row r="23" spans="1:41">
      <c r="A23" t="s">
        <v>24</v>
      </c>
      <c r="B23" s="7">
        <v>5522.4</v>
      </c>
      <c r="C23" s="1">
        <v>260</v>
      </c>
      <c r="D23" s="1">
        <v>400.08000000000004</v>
      </c>
      <c r="E23" s="1">
        <v>96</v>
      </c>
      <c r="F23" s="1">
        <v>0</v>
      </c>
      <c r="G23" s="1">
        <v>0</v>
      </c>
      <c r="H23" s="1">
        <v>96</v>
      </c>
      <c r="I23" s="1">
        <v>0</v>
      </c>
      <c r="J23" s="1">
        <v>0</v>
      </c>
      <c r="K23" s="1">
        <v>150</v>
      </c>
      <c r="L23" s="1">
        <v>60</v>
      </c>
      <c r="M23" s="1">
        <v>317.03999999999996</v>
      </c>
      <c r="N23" s="1">
        <v>743.52</v>
      </c>
      <c r="O23" s="205">
        <v>13154.16</v>
      </c>
      <c r="P23" s="7">
        <f t="shared" si="17"/>
        <v>7645.0399999999991</v>
      </c>
      <c r="Q23" s="7">
        <f t="shared" ref="Q23:Q34" si="23">SUM(O23:P23)</f>
        <v>20799.199999999997</v>
      </c>
      <c r="R23" s="11"/>
      <c r="S23" s="138">
        <v>5372.29</v>
      </c>
      <c r="T23" s="9">
        <f t="shared" si="18"/>
        <v>-150.10999999999967</v>
      </c>
      <c r="U23" s="1">
        <v>5372.29</v>
      </c>
      <c r="V23" s="8">
        <f t="shared" si="19"/>
        <v>0</v>
      </c>
      <c r="X23" s="1">
        <f t="shared" si="20"/>
        <v>1862.6399999999999</v>
      </c>
      <c r="Z23" s="1"/>
      <c r="AA23" s="1"/>
      <c r="AB23" s="1"/>
      <c r="AC23" s="1"/>
      <c r="AD23" s="1"/>
      <c r="AE23" s="1"/>
      <c r="AF23" s="1"/>
      <c r="AG23" s="1"/>
      <c r="AH23" s="1"/>
      <c r="AI23" s="1"/>
      <c r="AJ23" s="1"/>
      <c r="AK23" s="1"/>
      <c r="AL23" s="1"/>
      <c r="AM23" s="1"/>
      <c r="AN23" s="1"/>
      <c r="AO23" s="1"/>
    </row>
    <row r="24" spans="1:41">
      <c r="A24" t="s">
        <v>23</v>
      </c>
      <c r="B24" s="7">
        <v>4894.08</v>
      </c>
      <c r="C24" s="1">
        <v>196.32</v>
      </c>
      <c r="D24" s="1">
        <v>240</v>
      </c>
      <c r="E24" s="1">
        <v>108</v>
      </c>
      <c r="F24" s="1">
        <v>0</v>
      </c>
      <c r="G24" s="1">
        <v>96</v>
      </c>
      <c r="H24" s="1">
        <v>0</v>
      </c>
      <c r="I24" s="1">
        <v>0</v>
      </c>
      <c r="J24" s="1">
        <v>0</v>
      </c>
      <c r="K24" s="1">
        <v>150</v>
      </c>
      <c r="L24" s="1">
        <v>76.8</v>
      </c>
      <c r="M24" s="1">
        <v>534</v>
      </c>
      <c r="N24" s="1">
        <v>679</v>
      </c>
      <c r="O24" s="205">
        <v>7265.76</v>
      </c>
      <c r="P24" s="7">
        <f t="shared" si="17"/>
        <v>6974.2</v>
      </c>
      <c r="Q24" s="7">
        <f t="shared" si="23"/>
        <v>14239.96</v>
      </c>
      <c r="R24" s="11"/>
      <c r="S24" s="138">
        <v>4894.08</v>
      </c>
      <c r="T24" s="9">
        <f t="shared" si="18"/>
        <v>0</v>
      </c>
      <c r="U24" s="1">
        <v>4894.08</v>
      </c>
      <c r="V24" s="8">
        <f t="shared" si="19"/>
        <v>0</v>
      </c>
      <c r="X24" s="1">
        <f t="shared" si="20"/>
        <v>1883.8</v>
      </c>
      <c r="Z24" s="1"/>
      <c r="AA24" s="1"/>
      <c r="AB24" s="1"/>
      <c r="AC24" s="1"/>
      <c r="AD24" s="1"/>
      <c r="AE24" s="1"/>
      <c r="AF24" s="1"/>
      <c r="AG24" s="1"/>
      <c r="AH24" s="1"/>
      <c r="AI24" s="1"/>
      <c r="AJ24" s="1"/>
      <c r="AK24" s="1"/>
      <c r="AL24" s="1"/>
      <c r="AM24" s="1"/>
      <c r="AN24" s="1"/>
      <c r="AO24" s="1"/>
    </row>
    <row r="25" spans="1:41" ht="16.5">
      <c r="A25" t="s">
        <v>437</v>
      </c>
      <c r="B25" s="7">
        <f>4894.08+244.8</f>
        <v>5138.88</v>
      </c>
      <c r="C25" s="1">
        <v>206.16</v>
      </c>
      <c r="D25" s="1">
        <v>252</v>
      </c>
      <c r="E25" s="1">
        <v>113.52</v>
      </c>
      <c r="F25" s="1">
        <v>0</v>
      </c>
      <c r="G25" s="1">
        <v>96</v>
      </c>
      <c r="H25" s="1">
        <v>0</v>
      </c>
      <c r="I25" s="1">
        <v>0</v>
      </c>
      <c r="J25" s="1">
        <v>0</v>
      </c>
      <c r="K25" s="1">
        <v>150</v>
      </c>
      <c r="L25" s="1">
        <v>76.8</v>
      </c>
      <c r="M25" s="1">
        <v>555.6</v>
      </c>
      <c r="N25" s="1">
        <v>679</v>
      </c>
      <c r="O25" s="205">
        <v>7629.12</v>
      </c>
      <c r="P25" s="7">
        <f t="shared" si="17"/>
        <v>7267.9600000000009</v>
      </c>
      <c r="Q25" s="7">
        <f t="shared" ref="Q25" si="24">SUM(O25:P25)</f>
        <v>14897.080000000002</v>
      </c>
      <c r="R25" s="11"/>
      <c r="S25" s="138">
        <v>4894.08</v>
      </c>
      <c r="T25" s="9">
        <f t="shared" si="18"/>
        <v>-244.80000000000018</v>
      </c>
      <c r="U25" s="1">
        <v>4894.08</v>
      </c>
      <c r="V25" s="8">
        <f t="shared" ref="V25" si="25">U25-S25</f>
        <v>0</v>
      </c>
      <c r="X25" s="1">
        <f t="shared" ref="X25" si="26">SUM(D25:N25)</f>
        <v>1922.92</v>
      </c>
      <c r="Z25" s="1"/>
      <c r="AA25" s="1"/>
      <c r="AB25" s="1"/>
      <c r="AC25" s="1"/>
      <c r="AD25" s="1"/>
      <c r="AE25" s="1"/>
      <c r="AF25" s="1"/>
      <c r="AG25" s="1"/>
      <c r="AH25" s="1"/>
      <c r="AI25" s="1"/>
      <c r="AJ25" s="1"/>
      <c r="AK25" s="1"/>
      <c r="AL25" s="1"/>
      <c r="AM25" s="1"/>
      <c r="AN25" s="1"/>
      <c r="AO25" s="1"/>
    </row>
    <row r="26" spans="1:41">
      <c r="A26" t="s">
        <v>25</v>
      </c>
      <c r="B26" s="7">
        <v>2710.64</v>
      </c>
      <c r="C26" s="1">
        <v>157</v>
      </c>
      <c r="D26" s="1">
        <v>240</v>
      </c>
      <c r="E26" s="1">
        <v>78</v>
      </c>
      <c r="F26" s="1">
        <v>0</v>
      </c>
      <c r="G26" s="1">
        <v>0</v>
      </c>
      <c r="H26" s="1">
        <v>96</v>
      </c>
      <c r="I26" s="1">
        <v>0</v>
      </c>
      <c r="J26" s="1">
        <v>0</v>
      </c>
      <c r="K26" s="1">
        <v>150</v>
      </c>
      <c r="L26" s="1">
        <v>180</v>
      </c>
      <c r="M26" s="1">
        <v>824</v>
      </c>
      <c r="N26" s="1">
        <v>432</v>
      </c>
      <c r="O26" s="205">
        <v>5364</v>
      </c>
      <c r="P26" s="7">
        <f t="shared" si="17"/>
        <v>4867.6399999999994</v>
      </c>
      <c r="Q26" s="7">
        <f t="shared" si="23"/>
        <v>10231.64</v>
      </c>
      <c r="R26" s="11"/>
      <c r="S26" s="138">
        <v>2710.64</v>
      </c>
      <c r="T26" s="9">
        <f t="shared" si="18"/>
        <v>0</v>
      </c>
      <c r="U26" s="1">
        <v>2710.64</v>
      </c>
      <c r="V26" s="8">
        <f t="shared" si="19"/>
        <v>0</v>
      </c>
      <c r="X26" s="1">
        <f>SUM(D26:N26)</f>
        <v>2000</v>
      </c>
      <c r="Z26" s="1"/>
      <c r="AA26" s="1"/>
      <c r="AB26" s="1"/>
      <c r="AC26" s="1"/>
      <c r="AD26" s="1"/>
      <c r="AE26" s="1"/>
      <c r="AF26" s="1"/>
      <c r="AG26" s="1"/>
      <c r="AH26" s="1"/>
      <c r="AI26" s="1"/>
      <c r="AJ26" s="1"/>
      <c r="AK26" s="1"/>
      <c r="AL26" s="1"/>
      <c r="AM26" s="1"/>
      <c r="AN26" s="1"/>
      <c r="AO26" s="1"/>
    </row>
    <row r="27" spans="1:41" ht="16.5">
      <c r="A27" t="s">
        <v>438</v>
      </c>
      <c r="B27" s="7">
        <f>2710.64+143.4</f>
        <v>2854.04</v>
      </c>
      <c r="C27" s="1">
        <v>157</v>
      </c>
      <c r="D27" s="1">
        <v>240</v>
      </c>
      <c r="E27" s="1">
        <v>78</v>
      </c>
      <c r="F27" s="1">
        <v>0</v>
      </c>
      <c r="G27" s="1">
        <v>0</v>
      </c>
      <c r="H27" s="1">
        <v>96</v>
      </c>
      <c r="I27" s="1">
        <v>0</v>
      </c>
      <c r="J27" s="1">
        <v>0</v>
      </c>
      <c r="K27" s="1">
        <v>150</v>
      </c>
      <c r="L27" s="1">
        <v>180</v>
      </c>
      <c r="M27" s="1">
        <v>824</v>
      </c>
      <c r="N27" s="1">
        <v>432</v>
      </c>
      <c r="O27" s="205">
        <v>5364</v>
      </c>
      <c r="P27" s="7">
        <f t="shared" si="17"/>
        <v>5011.04</v>
      </c>
      <c r="Q27" s="7">
        <f t="shared" ref="Q27" si="27">SUM(O27:P27)</f>
        <v>10375.040000000001</v>
      </c>
      <c r="R27" s="11"/>
      <c r="S27" s="138">
        <v>2710.64</v>
      </c>
      <c r="T27" s="9">
        <f t="shared" si="18"/>
        <v>-143.40000000000009</v>
      </c>
      <c r="U27" s="1">
        <v>2710.64</v>
      </c>
      <c r="V27" s="8">
        <f t="shared" ref="V27" si="28">U27-S27</f>
        <v>0</v>
      </c>
      <c r="X27" s="1">
        <f>SUM(D27:N27)</f>
        <v>2000</v>
      </c>
      <c r="Z27" s="1"/>
      <c r="AA27" s="1"/>
      <c r="AB27" s="1"/>
      <c r="AC27" s="1"/>
      <c r="AD27" s="1"/>
      <c r="AE27" s="1"/>
      <c r="AF27" s="1"/>
      <c r="AG27" s="1"/>
      <c r="AH27" s="1"/>
      <c r="AI27" s="1"/>
      <c r="AJ27" s="1"/>
      <c r="AK27" s="1"/>
      <c r="AL27" s="1"/>
      <c r="AM27" s="1"/>
      <c r="AN27" s="1"/>
      <c r="AO27" s="1"/>
    </row>
    <row r="28" spans="1:41">
      <c r="A28" t="s">
        <v>27</v>
      </c>
      <c r="B28" s="7">
        <v>7673.2</v>
      </c>
      <c r="C28" s="1">
        <v>303.35000000000002</v>
      </c>
      <c r="D28" s="1">
        <v>240</v>
      </c>
      <c r="E28" s="1">
        <v>140</v>
      </c>
      <c r="F28" s="1">
        <v>0</v>
      </c>
      <c r="G28" s="1">
        <v>0</v>
      </c>
      <c r="H28" s="1">
        <v>96</v>
      </c>
      <c r="I28" s="1">
        <v>0</v>
      </c>
      <c r="J28" s="1">
        <v>0</v>
      </c>
      <c r="K28" s="1">
        <v>120</v>
      </c>
      <c r="L28" s="1">
        <v>0</v>
      </c>
      <c r="M28" s="1">
        <v>460</v>
      </c>
      <c r="N28" s="1">
        <v>0</v>
      </c>
      <c r="O28" s="205">
        <v>9596</v>
      </c>
      <c r="P28" s="7">
        <f t="shared" si="17"/>
        <v>9032.5499999999993</v>
      </c>
      <c r="Q28" s="7">
        <f t="shared" si="23"/>
        <v>18628.55</v>
      </c>
      <c r="R28" s="11"/>
      <c r="S28" s="1">
        <v>7673.2</v>
      </c>
      <c r="T28" s="9">
        <f t="shared" si="18"/>
        <v>0</v>
      </c>
      <c r="U28" s="1">
        <v>7673.2</v>
      </c>
      <c r="V28" s="8">
        <f t="shared" si="19"/>
        <v>0</v>
      </c>
      <c r="X28" s="1">
        <f t="shared" si="20"/>
        <v>1056</v>
      </c>
      <c r="Z28" s="1"/>
      <c r="AA28" s="1"/>
      <c r="AB28" s="1"/>
      <c r="AC28" s="1"/>
      <c r="AD28" s="1"/>
      <c r="AE28" s="1"/>
      <c r="AF28" s="1"/>
      <c r="AG28" s="1"/>
      <c r="AH28" s="1"/>
      <c r="AI28" s="1"/>
      <c r="AJ28" s="1"/>
      <c r="AK28" s="1"/>
      <c r="AL28" s="1"/>
      <c r="AM28" s="1"/>
      <c r="AN28" s="1"/>
      <c r="AO28" s="1"/>
    </row>
    <row r="29" spans="1:41">
      <c r="A29" t="s">
        <v>28</v>
      </c>
      <c r="B29" s="7">
        <v>5611.5</v>
      </c>
      <c r="C29" s="1">
        <v>290.8</v>
      </c>
      <c r="D29" s="1">
        <v>240</v>
      </c>
      <c r="E29" s="1">
        <v>104</v>
      </c>
      <c r="F29" s="1">
        <v>0</v>
      </c>
      <c r="G29" s="1">
        <v>0</v>
      </c>
      <c r="H29" s="1">
        <v>96</v>
      </c>
      <c r="I29" s="1">
        <v>0</v>
      </c>
      <c r="J29" s="1">
        <v>0</v>
      </c>
      <c r="K29" s="1">
        <v>150</v>
      </c>
      <c r="L29" s="1">
        <v>0</v>
      </c>
      <c r="M29" s="1">
        <v>2537</v>
      </c>
      <c r="N29" s="1">
        <v>0</v>
      </c>
      <c r="O29" s="205">
        <v>6782.26</v>
      </c>
      <c r="P29" s="7">
        <f t="shared" si="17"/>
        <v>9029.2999999999993</v>
      </c>
      <c r="Q29" s="7">
        <f t="shared" si="23"/>
        <v>15811.56</v>
      </c>
      <c r="R29" s="11"/>
      <c r="S29" s="1">
        <v>5612</v>
      </c>
      <c r="T29" s="9">
        <f t="shared" si="18"/>
        <v>0.5</v>
      </c>
      <c r="U29" s="1">
        <v>5612</v>
      </c>
      <c r="V29" s="8">
        <f t="shared" si="19"/>
        <v>0</v>
      </c>
      <c r="X29" s="1">
        <f t="shared" si="20"/>
        <v>3127</v>
      </c>
      <c r="Z29" s="1"/>
      <c r="AA29" s="1"/>
      <c r="AB29" s="1"/>
      <c r="AC29" s="1"/>
      <c r="AD29" s="1"/>
      <c r="AE29" s="1"/>
      <c r="AF29" s="1"/>
      <c r="AG29" s="1"/>
      <c r="AH29" s="1"/>
      <c r="AI29" s="1"/>
      <c r="AJ29" s="1"/>
      <c r="AK29" s="1"/>
      <c r="AL29" s="1"/>
      <c r="AM29" s="1"/>
      <c r="AN29" s="1"/>
      <c r="AO29" s="1"/>
    </row>
    <row r="30" spans="1:41">
      <c r="A30" t="s">
        <v>431</v>
      </c>
      <c r="B30" s="7">
        <v>5902.3</v>
      </c>
      <c r="C30" s="1">
        <v>0</v>
      </c>
      <c r="D30" s="1">
        <v>490</v>
      </c>
      <c r="E30" s="1">
        <v>104</v>
      </c>
      <c r="F30" s="1">
        <v>0</v>
      </c>
      <c r="G30" s="1">
        <v>0</v>
      </c>
      <c r="H30" s="1">
        <v>96</v>
      </c>
      <c r="I30" s="1">
        <v>2077</v>
      </c>
      <c r="J30" s="1">
        <v>0</v>
      </c>
      <c r="K30" s="1">
        <v>150</v>
      </c>
      <c r="L30" s="1">
        <v>0</v>
      </c>
      <c r="M30" s="1">
        <v>1306.1500000000001</v>
      </c>
      <c r="N30" s="1">
        <v>0</v>
      </c>
      <c r="O30" s="205">
        <v>6782.26</v>
      </c>
      <c r="P30" s="7">
        <f t="shared" ref="P30" si="29">SUM(B30:N30)</f>
        <v>10125.449999999999</v>
      </c>
      <c r="Q30" s="7">
        <f t="shared" ref="Q30" si="30">SUM(O30:P30)</f>
        <v>16907.71</v>
      </c>
      <c r="R30" s="11"/>
      <c r="S30" s="1"/>
      <c r="T30" s="9">
        <f t="shared" si="18"/>
        <v>-5902.3</v>
      </c>
      <c r="U30" s="1"/>
      <c r="V30" s="8">
        <f t="shared" si="19"/>
        <v>0</v>
      </c>
      <c r="X30" s="1">
        <f t="shared" si="20"/>
        <v>4223.1499999999996</v>
      </c>
      <c r="Z30" s="1"/>
      <c r="AA30" s="1"/>
      <c r="AB30" s="1"/>
      <c r="AC30" s="1"/>
      <c r="AD30" s="1"/>
      <c r="AE30" s="1"/>
      <c r="AF30" s="1"/>
      <c r="AG30" s="1"/>
      <c r="AH30" s="1"/>
      <c r="AI30" s="1"/>
      <c r="AJ30" s="1"/>
      <c r="AK30" s="1"/>
      <c r="AL30" s="1"/>
      <c r="AM30" s="1"/>
      <c r="AN30" s="1"/>
      <c r="AO30" s="1"/>
    </row>
    <row r="31" spans="1:41">
      <c r="A31" t="s">
        <v>29</v>
      </c>
      <c r="B31" s="7">
        <v>5517</v>
      </c>
      <c r="C31" s="1">
        <v>290</v>
      </c>
      <c r="D31" s="1">
        <v>240</v>
      </c>
      <c r="E31" s="1">
        <v>102</v>
      </c>
      <c r="F31" s="1">
        <v>0</v>
      </c>
      <c r="G31" s="1">
        <v>0</v>
      </c>
      <c r="H31" s="1">
        <v>96</v>
      </c>
      <c r="I31" s="1">
        <v>0</v>
      </c>
      <c r="J31" s="1">
        <v>0</v>
      </c>
      <c r="K31" s="1">
        <v>120</v>
      </c>
      <c r="L31" s="1">
        <v>0</v>
      </c>
      <c r="M31" s="1">
        <v>3980</v>
      </c>
      <c r="N31" s="1">
        <v>0</v>
      </c>
      <c r="O31" s="205">
        <v>5978</v>
      </c>
      <c r="P31" s="7">
        <f t="shared" si="17"/>
        <v>10345</v>
      </c>
      <c r="Q31" s="7">
        <f t="shared" si="23"/>
        <v>16323</v>
      </c>
      <c r="R31" s="11"/>
      <c r="S31" s="1">
        <v>5517</v>
      </c>
      <c r="T31" s="9">
        <f t="shared" si="18"/>
        <v>0</v>
      </c>
      <c r="U31" s="1">
        <v>5517</v>
      </c>
      <c r="V31" s="8">
        <f t="shared" si="19"/>
        <v>0</v>
      </c>
      <c r="X31" s="1">
        <f t="shared" si="20"/>
        <v>4538</v>
      </c>
      <c r="Z31" s="1"/>
      <c r="AA31" s="1"/>
      <c r="AB31" s="1"/>
      <c r="AC31" s="1"/>
      <c r="AD31" s="1"/>
      <c r="AE31" s="1"/>
      <c r="AF31" s="1"/>
      <c r="AG31" s="1"/>
      <c r="AH31" s="1"/>
      <c r="AI31" s="1"/>
      <c r="AJ31" s="1"/>
      <c r="AK31" s="1"/>
      <c r="AL31" s="1"/>
      <c r="AM31" s="1"/>
      <c r="AN31" s="1"/>
      <c r="AO31" s="1"/>
    </row>
    <row r="32" spans="1:41" s="137" customFormat="1">
      <c r="A32" s="137" t="s">
        <v>30</v>
      </c>
      <c r="B32" s="251">
        <v>4987.26</v>
      </c>
      <c r="C32" s="138">
        <v>289.23</v>
      </c>
      <c r="D32" s="138">
        <v>240</v>
      </c>
      <c r="E32" s="138">
        <v>94</v>
      </c>
      <c r="F32" s="138">
        <v>0</v>
      </c>
      <c r="G32" s="138">
        <v>0</v>
      </c>
      <c r="H32" s="138">
        <v>96</v>
      </c>
      <c r="I32" s="138">
        <v>0</v>
      </c>
      <c r="J32" s="138">
        <v>0</v>
      </c>
      <c r="K32" s="138">
        <v>120</v>
      </c>
      <c r="L32" s="138">
        <v>0</v>
      </c>
      <c r="M32" s="138">
        <v>483</v>
      </c>
      <c r="N32" s="138">
        <v>0</v>
      </c>
      <c r="O32" s="205">
        <v>5525.4</v>
      </c>
      <c r="P32" s="251">
        <f t="shared" si="17"/>
        <v>6309.49</v>
      </c>
      <c r="Q32" s="251">
        <f t="shared" si="23"/>
        <v>11834.89</v>
      </c>
      <c r="R32" s="139"/>
      <c r="S32" s="138">
        <v>4987.2000000000007</v>
      </c>
      <c r="T32" s="140">
        <f t="shared" si="18"/>
        <v>-5.9999999999490683E-2</v>
      </c>
      <c r="U32" s="138">
        <v>4987.2000000000007</v>
      </c>
      <c r="V32" s="141">
        <f t="shared" si="19"/>
        <v>0</v>
      </c>
      <c r="X32" s="138">
        <f t="shared" si="20"/>
        <v>1033</v>
      </c>
      <c r="Z32" s="138"/>
      <c r="AA32" s="138"/>
      <c r="AB32" s="138"/>
      <c r="AC32" s="138"/>
      <c r="AD32" s="138"/>
      <c r="AE32" s="138"/>
      <c r="AF32" s="138"/>
      <c r="AG32" s="138"/>
      <c r="AH32" s="138"/>
      <c r="AI32" s="138"/>
      <c r="AJ32" s="138"/>
      <c r="AK32" s="138"/>
      <c r="AL32" s="138"/>
      <c r="AM32" s="138"/>
      <c r="AN32" s="138"/>
      <c r="AO32" s="138"/>
    </row>
    <row r="33" spans="1:41" s="137" customFormat="1" ht="16.5">
      <c r="A33" s="137" t="s">
        <v>134</v>
      </c>
      <c r="B33" s="251">
        <v>11400</v>
      </c>
      <c r="C33" s="138">
        <v>0</v>
      </c>
      <c r="D33" s="138">
        <v>0</v>
      </c>
      <c r="E33" s="138">
        <v>0</v>
      </c>
      <c r="F33" s="138">
        <v>0</v>
      </c>
      <c r="G33" s="138">
        <v>0</v>
      </c>
      <c r="H33" s="138">
        <v>0</v>
      </c>
      <c r="I33" s="138">
        <v>0</v>
      </c>
      <c r="J33" s="138">
        <v>0</v>
      </c>
      <c r="K33" s="138">
        <v>0</v>
      </c>
      <c r="L33" s="138">
        <v>0</v>
      </c>
      <c r="M33" s="138">
        <v>0</v>
      </c>
      <c r="N33" s="138">
        <v>0</v>
      </c>
      <c r="O33" s="205">
        <v>0</v>
      </c>
      <c r="P33" s="251">
        <f t="shared" si="17"/>
        <v>11400</v>
      </c>
      <c r="Q33" s="251">
        <f t="shared" ref="Q33" si="31">SUM(O33:P33)</f>
        <v>11400</v>
      </c>
      <c r="R33" s="139"/>
      <c r="S33" s="138"/>
      <c r="T33" s="140">
        <f t="shared" si="18"/>
        <v>-11400</v>
      </c>
      <c r="U33" s="138">
        <v>8858</v>
      </c>
      <c r="V33" s="141">
        <f>U33-S33</f>
        <v>8858</v>
      </c>
      <c r="X33" s="138">
        <f t="shared" si="20"/>
        <v>0</v>
      </c>
      <c r="Z33" s="1"/>
      <c r="AA33" s="1"/>
      <c r="AB33" s="1"/>
      <c r="AC33" s="1"/>
      <c r="AD33" s="1"/>
      <c r="AE33" s="1"/>
      <c r="AF33" s="1"/>
      <c r="AG33" s="1"/>
      <c r="AH33" s="1"/>
      <c r="AI33" s="1"/>
      <c r="AJ33" s="1"/>
      <c r="AK33" s="1"/>
      <c r="AL33" s="1"/>
      <c r="AM33" s="1"/>
      <c r="AN33" s="1"/>
      <c r="AO33" s="1"/>
    </row>
    <row r="34" spans="1:41">
      <c r="A34" t="s">
        <v>31</v>
      </c>
      <c r="B34" s="251">
        <v>7541.68</v>
      </c>
      <c r="C34" s="138">
        <v>213.08</v>
      </c>
      <c r="D34" s="138">
        <v>252</v>
      </c>
      <c r="E34" s="138">
        <v>153.30000000000001</v>
      </c>
      <c r="F34" s="1">
        <v>0</v>
      </c>
      <c r="G34" s="1">
        <v>0</v>
      </c>
      <c r="H34" s="1">
        <v>0</v>
      </c>
      <c r="I34" s="1">
        <v>0</v>
      </c>
      <c r="J34" s="1">
        <v>0</v>
      </c>
      <c r="K34" s="1">
        <v>126</v>
      </c>
      <c r="L34" s="1">
        <v>0</v>
      </c>
      <c r="M34" s="1">
        <v>0</v>
      </c>
      <c r="N34" s="1">
        <v>277.20999999999998</v>
      </c>
      <c r="O34" s="205">
        <v>9131.86</v>
      </c>
      <c r="P34" s="7">
        <f t="shared" si="17"/>
        <v>8563.27</v>
      </c>
      <c r="Q34" s="7">
        <f t="shared" si="23"/>
        <v>17695.13</v>
      </c>
      <c r="R34" s="11"/>
      <c r="S34" s="1"/>
      <c r="T34" s="9">
        <f t="shared" si="18"/>
        <v>-7541.68</v>
      </c>
      <c r="U34" s="1">
        <v>7182.5</v>
      </c>
      <c r="V34" s="8">
        <f t="shared" si="19"/>
        <v>7182.5</v>
      </c>
      <c r="X34" s="1">
        <f t="shared" si="20"/>
        <v>808.51</v>
      </c>
      <c r="Z34" s="1"/>
      <c r="AA34" s="1"/>
      <c r="AB34" s="1"/>
      <c r="AC34" s="1"/>
      <c r="AD34" s="1"/>
      <c r="AE34" s="1"/>
      <c r="AF34" s="1"/>
      <c r="AG34" s="1"/>
      <c r="AH34" s="1"/>
      <c r="AI34" s="1"/>
      <c r="AJ34" s="1"/>
      <c r="AK34" s="1"/>
      <c r="AL34" s="1"/>
      <c r="AM34" s="1"/>
      <c r="AN34" s="1"/>
      <c r="AO34" s="1"/>
    </row>
    <row r="35" spans="1:41">
      <c r="A35" s="130" t="s">
        <v>32</v>
      </c>
      <c r="B35" s="250"/>
      <c r="C35" s="131"/>
      <c r="D35" s="131"/>
      <c r="E35" s="131"/>
      <c r="F35" s="131"/>
      <c r="G35" s="131"/>
      <c r="H35" s="131"/>
      <c r="I35" s="131"/>
      <c r="J35" s="131"/>
      <c r="K35" s="131"/>
      <c r="L35" s="131"/>
      <c r="M35" s="131"/>
      <c r="N35" s="131"/>
      <c r="O35" s="206"/>
      <c r="P35" s="250"/>
      <c r="Q35" s="250"/>
      <c r="R35" s="135"/>
      <c r="S35" s="131"/>
      <c r="T35" s="132"/>
      <c r="U35" s="131"/>
      <c r="V35" s="133"/>
      <c r="W35" s="134"/>
      <c r="X35" s="134"/>
      <c r="Z35" s="1"/>
      <c r="AA35" s="1"/>
      <c r="AB35" s="1"/>
      <c r="AC35" s="1"/>
      <c r="AD35" s="1"/>
      <c r="AE35" s="1"/>
      <c r="AF35" s="1"/>
      <c r="AG35" s="1"/>
      <c r="AH35" s="1"/>
      <c r="AI35" s="1"/>
      <c r="AJ35" s="1"/>
      <c r="AK35" s="1"/>
      <c r="AL35" s="1"/>
      <c r="AM35" s="1"/>
      <c r="AN35" s="1"/>
      <c r="AO35" s="1"/>
    </row>
    <row r="36" spans="1:41" ht="16.5">
      <c r="A36" t="s">
        <v>154</v>
      </c>
      <c r="B36" s="7">
        <v>4973</v>
      </c>
      <c r="C36" s="1">
        <v>204</v>
      </c>
      <c r="D36" s="1">
        <v>240</v>
      </c>
      <c r="E36" s="1">
        <v>124</v>
      </c>
      <c r="F36" s="1">
        <v>50</v>
      </c>
      <c r="G36" s="1">
        <v>30.72</v>
      </c>
      <c r="H36" s="1">
        <v>65.28</v>
      </c>
      <c r="I36" s="1">
        <v>636</v>
      </c>
      <c r="J36" s="1">
        <v>0</v>
      </c>
      <c r="K36" s="1">
        <v>120</v>
      </c>
      <c r="L36" s="1">
        <v>96</v>
      </c>
      <c r="M36" s="1">
        <v>2247</v>
      </c>
      <c r="N36" s="1">
        <v>1173</v>
      </c>
      <c r="O36" s="205">
        <v>7350</v>
      </c>
      <c r="P36" s="7">
        <f>SUM(B36:N36)</f>
        <v>9959</v>
      </c>
      <c r="Q36" s="7">
        <f t="shared" ref="Q36" si="32">SUM(O36:P36)</f>
        <v>17309</v>
      </c>
      <c r="R36" s="11"/>
      <c r="S36" s="1">
        <v>4973</v>
      </c>
      <c r="T36" s="9">
        <f>S36-B36</f>
        <v>0</v>
      </c>
      <c r="U36" s="1">
        <v>4973</v>
      </c>
      <c r="V36" s="8">
        <f>U36-S36</f>
        <v>0</v>
      </c>
      <c r="X36" s="1">
        <f>SUM(D36:N36)</f>
        <v>4782</v>
      </c>
      <c r="Z36" s="1"/>
      <c r="AA36" s="1"/>
      <c r="AB36" s="1"/>
      <c r="AC36" s="1"/>
      <c r="AD36" s="1"/>
      <c r="AE36" s="1"/>
      <c r="AF36" s="1"/>
      <c r="AG36" s="1"/>
      <c r="AH36" s="1"/>
      <c r="AI36" s="1"/>
      <c r="AJ36" s="1"/>
      <c r="AK36" s="1"/>
      <c r="AL36" s="1"/>
      <c r="AM36" s="1"/>
      <c r="AN36" s="1"/>
      <c r="AO36" s="1"/>
    </row>
    <row r="37" spans="1:41" ht="16.5">
      <c r="A37" t="s">
        <v>159</v>
      </c>
      <c r="B37" s="7">
        <v>4484</v>
      </c>
      <c r="C37" s="1">
        <v>0</v>
      </c>
      <c r="D37" s="1">
        <v>240</v>
      </c>
      <c r="E37" s="1">
        <v>108</v>
      </c>
      <c r="F37" s="1">
        <v>80</v>
      </c>
      <c r="G37" s="1">
        <v>96</v>
      </c>
      <c r="H37" s="1">
        <v>441</v>
      </c>
      <c r="I37" s="1">
        <v>0</v>
      </c>
      <c r="J37" s="1">
        <v>0</v>
      </c>
      <c r="K37" s="1">
        <v>200</v>
      </c>
      <c r="L37" s="1">
        <v>96</v>
      </c>
      <c r="M37" s="1">
        <v>2658</v>
      </c>
      <c r="N37" s="1">
        <v>726</v>
      </c>
      <c r="O37" s="205">
        <v>8900</v>
      </c>
      <c r="P37" s="7">
        <f>SUM(B37:N37)</f>
        <v>9129</v>
      </c>
      <c r="Q37" s="7">
        <f>SUM(O37:P37)</f>
        <v>18029</v>
      </c>
      <c r="R37" s="11"/>
      <c r="S37" s="1">
        <v>4484</v>
      </c>
      <c r="T37" s="9">
        <f>S37-B37</f>
        <v>0</v>
      </c>
      <c r="U37" s="1">
        <v>4482</v>
      </c>
      <c r="V37" s="8">
        <f>U37-S37</f>
        <v>-2</v>
      </c>
      <c r="X37" s="1">
        <f>SUM(D37:N37)</f>
        <v>4645</v>
      </c>
      <c r="Z37" s="1"/>
      <c r="AA37" s="1"/>
      <c r="AB37" s="1"/>
      <c r="AC37" s="1"/>
      <c r="AD37" s="1"/>
      <c r="AE37" s="1"/>
      <c r="AF37" s="1"/>
      <c r="AG37" s="1"/>
      <c r="AH37" s="1"/>
      <c r="AI37" s="1"/>
      <c r="AJ37" s="1"/>
      <c r="AK37" s="1"/>
      <c r="AL37" s="1"/>
      <c r="AM37" s="1"/>
      <c r="AN37" s="1"/>
      <c r="AO37" s="1"/>
    </row>
    <row r="38" spans="1:41">
      <c r="A38" t="s">
        <v>33</v>
      </c>
      <c r="B38" s="7">
        <v>2618</v>
      </c>
      <c r="C38" s="1">
        <v>0</v>
      </c>
      <c r="D38" s="1">
        <v>240</v>
      </c>
      <c r="E38" s="1">
        <v>0</v>
      </c>
      <c r="F38" s="1">
        <v>50</v>
      </c>
      <c r="G38" s="1">
        <v>48</v>
      </c>
      <c r="H38" s="1">
        <v>48</v>
      </c>
      <c r="I38" s="1">
        <v>0</v>
      </c>
      <c r="J38" s="1">
        <v>0</v>
      </c>
      <c r="K38" s="1">
        <v>150</v>
      </c>
      <c r="L38" s="1">
        <v>96</v>
      </c>
      <c r="M38" s="1">
        <v>731.5</v>
      </c>
      <c r="N38" s="1">
        <v>398</v>
      </c>
      <c r="O38" s="205">
        <v>3300</v>
      </c>
      <c r="P38" s="7">
        <f>SUM(B38:N38)</f>
        <v>4379.5</v>
      </c>
      <c r="Q38" s="7">
        <f>SUM(O38:P38)</f>
        <v>7679.5</v>
      </c>
      <c r="R38" s="11"/>
      <c r="S38" s="1">
        <v>2618</v>
      </c>
      <c r="T38" s="9">
        <f>S38-B38</f>
        <v>0</v>
      </c>
      <c r="U38" s="1">
        <v>2618</v>
      </c>
      <c r="V38" s="8">
        <f>U38-S38</f>
        <v>0</v>
      </c>
      <c r="X38" s="1">
        <f>SUM(D38:N38)</f>
        <v>1761.5</v>
      </c>
      <c r="Z38" s="1"/>
      <c r="AA38" s="1"/>
      <c r="AB38" s="1"/>
      <c r="AC38" s="1"/>
      <c r="AD38" s="1"/>
      <c r="AE38" s="1"/>
      <c r="AF38" s="1"/>
      <c r="AG38" s="1"/>
      <c r="AH38" s="1"/>
      <c r="AI38" s="1"/>
      <c r="AJ38" s="1"/>
      <c r="AK38" s="1"/>
      <c r="AL38" s="1"/>
      <c r="AM38" s="1"/>
      <c r="AN38" s="1"/>
      <c r="AO38" s="1"/>
    </row>
    <row r="39" spans="1:41">
      <c r="A39" s="130" t="s">
        <v>34</v>
      </c>
      <c r="B39" s="250"/>
      <c r="C39" s="131"/>
      <c r="D39" s="131"/>
      <c r="E39" s="131"/>
      <c r="F39" s="131"/>
      <c r="G39" s="131"/>
      <c r="H39" s="131"/>
      <c r="I39" s="131"/>
      <c r="J39" s="131"/>
      <c r="K39" s="131"/>
      <c r="L39" s="131"/>
      <c r="M39" s="131"/>
      <c r="N39" s="131"/>
      <c r="O39" s="206"/>
      <c r="P39" s="250"/>
      <c r="Q39" s="250"/>
      <c r="R39" s="135"/>
      <c r="S39" s="131"/>
      <c r="T39" s="132"/>
      <c r="U39" s="131"/>
      <c r="V39" s="133"/>
      <c r="W39" s="134"/>
      <c r="X39" s="134"/>
      <c r="Z39" s="1"/>
      <c r="AA39" s="1"/>
      <c r="AB39" s="1"/>
      <c r="AC39" s="1"/>
      <c r="AD39" s="1"/>
      <c r="AE39" s="1"/>
      <c r="AF39" s="1"/>
      <c r="AG39" s="1"/>
      <c r="AH39" s="1"/>
      <c r="AI39" s="1"/>
      <c r="AJ39" s="1"/>
      <c r="AK39" s="1"/>
      <c r="AL39" s="1"/>
      <c r="AM39" s="1"/>
      <c r="AN39" s="1"/>
      <c r="AO39" s="1"/>
    </row>
    <row r="40" spans="1:41">
      <c r="A40" t="s">
        <v>35</v>
      </c>
      <c r="B40" s="7">
        <v>3857.5</v>
      </c>
      <c r="C40" s="1">
        <v>311.3</v>
      </c>
      <c r="D40" s="1">
        <v>210</v>
      </c>
      <c r="E40" s="1">
        <v>90</v>
      </c>
      <c r="F40" s="1">
        <v>0</v>
      </c>
      <c r="G40" s="1">
        <v>0</v>
      </c>
      <c r="H40" s="1">
        <v>120</v>
      </c>
      <c r="I40" s="1">
        <v>210</v>
      </c>
      <c r="J40" s="1">
        <v>150</v>
      </c>
      <c r="K40" s="1">
        <v>150</v>
      </c>
      <c r="L40" s="1">
        <v>0</v>
      </c>
      <c r="M40" s="1">
        <v>100</v>
      </c>
      <c r="N40" s="1">
        <v>240</v>
      </c>
      <c r="O40" s="205">
        <v>0</v>
      </c>
      <c r="P40" s="7">
        <f t="shared" ref="P40:P51" si="33">SUM(B40:N40)</f>
        <v>5438.8</v>
      </c>
      <c r="Q40" s="7">
        <f t="shared" ref="Q40:Q51" si="34">SUM(O40:P40)</f>
        <v>5438.8</v>
      </c>
      <c r="R40" s="11"/>
      <c r="S40" s="1">
        <v>3086.08</v>
      </c>
      <c r="T40" s="9">
        <f t="shared" ref="T40:T51" si="35">S40-B40</f>
        <v>-771.42000000000007</v>
      </c>
      <c r="U40" s="1">
        <v>3086.08</v>
      </c>
      <c r="V40" s="8">
        <f t="shared" ref="V40:V51" si="36">U40-S40</f>
        <v>0</v>
      </c>
      <c r="X40" s="1">
        <f t="shared" ref="X40:X51" si="37">SUM(D40:N40)</f>
        <v>1270</v>
      </c>
      <c r="Z40" s="1"/>
      <c r="AA40" s="1"/>
      <c r="AB40" s="1"/>
      <c r="AC40" s="1"/>
      <c r="AD40" s="1"/>
      <c r="AE40" s="1"/>
      <c r="AF40" s="1"/>
      <c r="AG40" s="1"/>
      <c r="AH40" s="1"/>
      <c r="AI40" s="1"/>
      <c r="AJ40" s="1"/>
      <c r="AK40" s="1"/>
      <c r="AL40" s="1"/>
      <c r="AM40" s="1"/>
      <c r="AN40" s="1"/>
      <c r="AO40" s="1"/>
    </row>
    <row r="41" spans="1:41">
      <c r="A41" t="s">
        <v>36</v>
      </c>
      <c r="B41" s="7">
        <v>4017.6000000000004</v>
      </c>
      <c r="C41" s="138">
        <v>151.19999999999999</v>
      </c>
      <c r="D41" s="1">
        <v>168</v>
      </c>
      <c r="E41" s="1">
        <v>72</v>
      </c>
      <c r="F41" s="1">
        <v>0</v>
      </c>
      <c r="G41" s="1">
        <v>0</v>
      </c>
      <c r="H41" s="1">
        <v>96</v>
      </c>
      <c r="I41" s="1">
        <v>210</v>
      </c>
      <c r="J41" s="1">
        <v>150</v>
      </c>
      <c r="K41" s="1">
        <v>120</v>
      </c>
      <c r="L41" s="1">
        <v>0</v>
      </c>
      <c r="M41" s="138">
        <v>150</v>
      </c>
      <c r="N41" s="1">
        <v>254</v>
      </c>
      <c r="O41" s="205">
        <v>0</v>
      </c>
      <c r="P41" s="7">
        <f t="shared" si="33"/>
        <v>5388.8</v>
      </c>
      <c r="Q41" s="7">
        <f t="shared" si="34"/>
        <v>5388.8</v>
      </c>
      <c r="R41" s="11"/>
      <c r="S41" s="1">
        <v>3214.15</v>
      </c>
      <c r="T41" s="9">
        <f t="shared" si="35"/>
        <v>-803.45000000000027</v>
      </c>
      <c r="U41" s="1">
        <v>3214.15</v>
      </c>
      <c r="V41" s="8">
        <f t="shared" si="36"/>
        <v>0</v>
      </c>
      <c r="X41" s="1">
        <f t="shared" si="37"/>
        <v>1220</v>
      </c>
      <c r="Z41" s="1"/>
      <c r="AA41" s="1"/>
      <c r="AB41" s="1"/>
      <c r="AC41" s="1"/>
      <c r="AD41" s="1"/>
      <c r="AE41" s="1"/>
      <c r="AF41" s="1"/>
      <c r="AG41" s="1"/>
      <c r="AH41" s="1"/>
      <c r="AI41" s="1"/>
      <c r="AJ41" s="1"/>
      <c r="AK41" s="1"/>
      <c r="AL41" s="1"/>
      <c r="AM41" s="1"/>
      <c r="AN41" s="1"/>
      <c r="AO41" s="1"/>
    </row>
    <row r="42" spans="1:41">
      <c r="A42" t="s">
        <v>37</v>
      </c>
      <c r="B42" s="7">
        <v>4017.9</v>
      </c>
      <c r="C42" s="1">
        <v>150.9</v>
      </c>
      <c r="D42" s="1">
        <v>168</v>
      </c>
      <c r="E42" s="1">
        <v>72</v>
      </c>
      <c r="F42" s="1">
        <v>0</v>
      </c>
      <c r="G42" s="1">
        <v>0</v>
      </c>
      <c r="H42" s="1">
        <v>96</v>
      </c>
      <c r="I42" s="1">
        <v>210</v>
      </c>
      <c r="J42" s="1">
        <v>150</v>
      </c>
      <c r="K42" s="1">
        <v>120</v>
      </c>
      <c r="L42" s="1">
        <v>0</v>
      </c>
      <c r="M42" s="1">
        <v>150</v>
      </c>
      <c r="N42" s="1">
        <v>194</v>
      </c>
      <c r="O42" s="205">
        <v>0</v>
      </c>
      <c r="P42" s="7">
        <f t="shared" si="33"/>
        <v>5328.8</v>
      </c>
      <c r="Q42" s="7">
        <f t="shared" si="34"/>
        <v>5328.8</v>
      </c>
      <c r="R42" s="11"/>
      <c r="S42" s="1">
        <v>3214.15</v>
      </c>
      <c r="T42" s="9">
        <f t="shared" si="35"/>
        <v>-803.75</v>
      </c>
      <c r="U42" s="1">
        <v>3214.15</v>
      </c>
      <c r="V42" s="8">
        <f t="shared" si="36"/>
        <v>0</v>
      </c>
      <c r="X42" s="1">
        <f t="shared" si="37"/>
        <v>1160</v>
      </c>
      <c r="Z42" s="1"/>
      <c r="AA42" s="1"/>
      <c r="AB42" s="1"/>
      <c r="AC42" s="1"/>
      <c r="AD42" s="1"/>
      <c r="AE42" s="1"/>
      <c r="AF42" s="1"/>
      <c r="AG42" s="1"/>
      <c r="AH42" s="1"/>
      <c r="AI42" s="1"/>
      <c r="AJ42" s="1"/>
      <c r="AK42" s="1"/>
      <c r="AL42" s="1"/>
      <c r="AM42" s="1"/>
      <c r="AN42" s="1"/>
      <c r="AO42" s="1"/>
    </row>
    <row r="43" spans="1:41">
      <c r="A43" t="s">
        <v>38</v>
      </c>
      <c r="B43" s="7">
        <v>4017.6</v>
      </c>
      <c r="C43" s="1">
        <v>151.19999999999999</v>
      </c>
      <c r="D43" s="1">
        <v>168</v>
      </c>
      <c r="E43" s="1">
        <v>72</v>
      </c>
      <c r="F43" s="1">
        <v>0</v>
      </c>
      <c r="G43" s="1">
        <v>0</v>
      </c>
      <c r="H43" s="1">
        <v>96</v>
      </c>
      <c r="I43" s="1">
        <v>210</v>
      </c>
      <c r="J43" s="1">
        <v>150</v>
      </c>
      <c r="K43" s="1">
        <v>120</v>
      </c>
      <c r="L43" s="1">
        <v>0</v>
      </c>
      <c r="M43" s="1">
        <v>100</v>
      </c>
      <c r="N43" s="1">
        <v>40</v>
      </c>
      <c r="O43" s="205">
        <v>0</v>
      </c>
      <c r="P43" s="7">
        <f t="shared" si="33"/>
        <v>5124.8</v>
      </c>
      <c r="Q43" s="7">
        <f t="shared" si="34"/>
        <v>5124.8</v>
      </c>
      <c r="R43" s="11"/>
      <c r="S43" s="1">
        <v>3214.15</v>
      </c>
      <c r="T43" s="9">
        <f t="shared" si="35"/>
        <v>-803.44999999999982</v>
      </c>
      <c r="U43" s="1">
        <v>3214.15</v>
      </c>
      <c r="V43" s="8">
        <f t="shared" si="36"/>
        <v>0</v>
      </c>
      <c r="X43" s="1">
        <f t="shared" si="37"/>
        <v>956</v>
      </c>
      <c r="Z43" s="1"/>
      <c r="AA43" s="1"/>
      <c r="AB43" s="1"/>
      <c r="AC43" s="1"/>
      <c r="AD43" s="1"/>
      <c r="AE43" s="1"/>
      <c r="AF43" s="1"/>
      <c r="AG43" s="1"/>
      <c r="AH43" s="1"/>
      <c r="AI43" s="1"/>
      <c r="AJ43" s="1"/>
      <c r="AK43" s="1"/>
      <c r="AL43" s="1"/>
      <c r="AM43" s="1"/>
      <c r="AN43" s="1"/>
      <c r="AO43" s="1"/>
    </row>
    <row r="44" spans="1:41">
      <c r="A44" t="s">
        <v>39</v>
      </c>
      <c r="B44" s="7">
        <v>4017.6</v>
      </c>
      <c r="C44" s="1">
        <v>151.19999999999999</v>
      </c>
      <c r="D44" s="1">
        <v>168.2</v>
      </c>
      <c r="E44" s="1">
        <v>72</v>
      </c>
      <c r="F44" s="1">
        <v>0</v>
      </c>
      <c r="G44" s="1">
        <v>0</v>
      </c>
      <c r="H44" s="1">
        <v>96</v>
      </c>
      <c r="I44" s="1">
        <v>210</v>
      </c>
      <c r="J44" s="1">
        <v>150</v>
      </c>
      <c r="K44" s="1">
        <v>120</v>
      </c>
      <c r="L44" s="1">
        <v>0</v>
      </c>
      <c r="M44" s="1">
        <v>40</v>
      </c>
      <c r="N44" s="1">
        <v>80</v>
      </c>
      <c r="O44" s="205">
        <v>0</v>
      </c>
      <c r="P44" s="7">
        <f t="shared" si="33"/>
        <v>5105</v>
      </c>
      <c r="Q44" s="7">
        <f t="shared" si="34"/>
        <v>5105</v>
      </c>
      <c r="R44" s="11"/>
      <c r="S44" s="1">
        <v>3214.15</v>
      </c>
      <c r="T44" s="9">
        <f t="shared" si="35"/>
        <v>-803.44999999999982</v>
      </c>
      <c r="U44" s="1">
        <v>3214.15</v>
      </c>
      <c r="V44" s="8">
        <f t="shared" si="36"/>
        <v>0</v>
      </c>
      <c r="X44" s="1">
        <f t="shared" si="37"/>
        <v>936.2</v>
      </c>
      <c r="Z44" s="1"/>
      <c r="AA44" s="1"/>
      <c r="AB44" s="1"/>
      <c r="AC44" s="1"/>
      <c r="AD44" s="1"/>
      <c r="AE44" s="1"/>
      <c r="AF44" s="1"/>
      <c r="AG44" s="1"/>
      <c r="AH44" s="1"/>
      <c r="AI44" s="1"/>
      <c r="AJ44" s="1"/>
      <c r="AK44" s="1"/>
      <c r="AL44" s="1"/>
      <c r="AM44" s="1"/>
      <c r="AN44" s="1"/>
      <c r="AO44" s="1"/>
    </row>
    <row r="45" spans="1:41">
      <c r="A45" t="s">
        <v>40</v>
      </c>
      <c r="B45" s="7">
        <v>4017.8</v>
      </c>
      <c r="C45" s="1">
        <v>151</v>
      </c>
      <c r="D45" s="1">
        <v>168</v>
      </c>
      <c r="E45" s="1">
        <v>72</v>
      </c>
      <c r="F45" s="1">
        <v>0</v>
      </c>
      <c r="G45" s="1">
        <v>0</v>
      </c>
      <c r="H45" s="1">
        <v>96</v>
      </c>
      <c r="I45" s="1">
        <v>210</v>
      </c>
      <c r="J45" s="1">
        <v>150</v>
      </c>
      <c r="K45" s="1">
        <v>120</v>
      </c>
      <c r="L45" s="1">
        <v>0</v>
      </c>
      <c r="M45" s="1">
        <v>80</v>
      </c>
      <c r="N45" s="1">
        <v>114</v>
      </c>
      <c r="O45" s="205">
        <v>0</v>
      </c>
      <c r="P45" s="7">
        <f t="shared" si="33"/>
        <v>5178.8</v>
      </c>
      <c r="Q45" s="7">
        <f t="shared" si="34"/>
        <v>5178.8</v>
      </c>
      <c r="R45" s="11"/>
      <c r="S45" s="1">
        <v>3214.15</v>
      </c>
      <c r="T45" s="9">
        <f t="shared" si="35"/>
        <v>-803.65000000000009</v>
      </c>
      <c r="U45" s="1">
        <v>3214.15</v>
      </c>
      <c r="V45" s="8">
        <f t="shared" si="36"/>
        <v>0</v>
      </c>
      <c r="X45" s="1">
        <f t="shared" si="37"/>
        <v>1010</v>
      </c>
      <c r="Z45" s="1"/>
      <c r="AA45" s="1"/>
      <c r="AB45" s="1"/>
      <c r="AC45" s="1"/>
      <c r="AD45" s="1"/>
      <c r="AE45" s="1"/>
      <c r="AF45" s="1"/>
      <c r="AG45" s="1"/>
      <c r="AH45" s="1"/>
      <c r="AI45" s="1"/>
      <c r="AJ45" s="1"/>
      <c r="AK45" s="1"/>
      <c r="AL45" s="1"/>
      <c r="AM45" s="1"/>
      <c r="AN45" s="1"/>
      <c r="AO45" s="1"/>
    </row>
    <row r="46" spans="1:41">
      <c r="A46" t="s">
        <v>58</v>
      </c>
      <c r="B46" s="7">
        <v>4017.5999999999995</v>
      </c>
      <c r="C46" s="1">
        <v>151.19999999999999</v>
      </c>
      <c r="D46" s="1">
        <v>168</v>
      </c>
      <c r="E46" s="1">
        <v>72</v>
      </c>
      <c r="F46" s="1">
        <v>0</v>
      </c>
      <c r="G46" s="1">
        <v>0</v>
      </c>
      <c r="H46" s="1">
        <v>96</v>
      </c>
      <c r="I46" s="1">
        <v>210</v>
      </c>
      <c r="J46" s="1">
        <v>150</v>
      </c>
      <c r="K46" s="1">
        <v>120</v>
      </c>
      <c r="L46" s="1">
        <v>0</v>
      </c>
      <c r="M46" s="1">
        <v>100</v>
      </c>
      <c r="N46" s="1">
        <v>120</v>
      </c>
      <c r="O46" s="205">
        <v>0</v>
      </c>
      <c r="P46" s="7">
        <f t="shared" si="33"/>
        <v>5204.7999999999993</v>
      </c>
      <c r="Q46" s="7">
        <f t="shared" si="34"/>
        <v>5204.7999999999993</v>
      </c>
      <c r="R46" s="11"/>
      <c r="S46" s="1">
        <v>3214.15</v>
      </c>
      <c r="T46" s="9">
        <f t="shared" si="35"/>
        <v>-803.44999999999936</v>
      </c>
      <c r="U46" s="1">
        <v>3214.15</v>
      </c>
      <c r="V46" s="8">
        <f t="shared" si="36"/>
        <v>0</v>
      </c>
      <c r="X46" s="1">
        <f t="shared" si="37"/>
        <v>1036</v>
      </c>
      <c r="Z46" s="1"/>
      <c r="AA46" s="1"/>
      <c r="AB46" s="1"/>
      <c r="AC46" s="1"/>
      <c r="AD46" s="1"/>
      <c r="AE46" s="1"/>
      <c r="AF46" s="1"/>
      <c r="AG46" s="1"/>
      <c r="AH46" s="1"/>
      <c r="AI46" s="1"/>
      <c r="AJ46" s="1"/>
      <c r="AK46" s="1"/>
      <c r="AL46" s="1"/>
      <c r="AM46" s="1"/>
      <c r="AN46" s="1"/>
      <c r="AO46" s="1"/>
    </row>
    <row r="47" spans="1:41">
      <c r="A47" t="s">
        <v>41</v>
      </c>
      <c r="B47" s="7">
        <v>4017.6</v>
      </c>
      <c r="C47" s="1">
        <v>151.19999999999999</v>
      </c>
      <c r="D47" s="1">
        <v>168</v>
      </c>
      <c r="E47" s="1">
        <v>72</v>
      </c>
      <c r="F47" s="1">
        <v>0</v>
      </c>
      <c r="G47" s="1">
        <v>0</v>
      </c>
      <c r="H47" s="1">
        <v>96</v>
      </c>
      <c r="I47" s="1">
        <v>210</v>
      </c>
      <c r="J47" s="1">
        <v>150</v>
      </c>
      <c r="K47" s="1">
        <v>120</v>
      </c>
      <c r="L47" s="1">
        <v>0</v>
      </c>
      <c r="M47" s="1">
        <v>100</v>
      </c>
      <c r="N47" s="1">
        <v>30</v>
      </c>
      <c r="O47" s="205">
        <v>0</v>
      </c>
      <c r="P47" s="7">
        <f t="shared" si="33"/>
        <v>5114.8</v>
      </c>
      <c r="Q47" s="7">
        <f t="shared" si="34"/>
        <v>5114.8</v>
      </c>
      <c r="R47" s="11"/>
      <c r="S47" s="1">
        <v>3214.15</v>
      </c>
      <c r="T47" s="9">
        <f t="shared" si="35"/>
        <v>-803.44999999999982</v>
      </c>
      <c r="U47" s="1">
        <v>3214.15</v>
      </c>
      <c r="V47" s="8">
        <f t="shared" si="36"/>
        <v>0</v>
      </c>
      <c r="X47" s="1">
        <f t="shared" si="37"/>
        <v>946</v>
      </c>
      <c r="Z47" s="1"/>
      <c r="AA47" s="1"/>
      <c r="AB47" s="1"/>
      <c r="AC47" s="1"/>
      <c r="AD47" s="1"/>
      <c r="AE47" s="1"/>
      <c r="AF47" s="1"/>
      <c r="AG47" s="1"/>
      <c r="AH47" s="1"/>
      <c r="AI47" s="1"/>
      <c r="AJ47" s="1"/>
      <c r="AK47" s="1"/>
      <c r="AL47" s="1"/>
      <c r="AM47" s="1"/>
      <c r="AN47" s="1"/>
      <c r="AO47" s="1"/>
    </row>
    <row r="48" spans="1:41" s="207" customFormat="1">
      <c r="A48" s="137" t="s">
        <v>42</v>
      </c>
      <c r="B48" s="251">
        <v>4017.9</v>
      </c>
      <c r="C48" s="138">
        <v>150.9</v>
      </c>
      <c r="D48" s="138">
        <v>168</v>
      </c>
      <c r="E48" s="138">
        <v>72</v>
      </c>
      <c r="F48" s="138">
        <v>0</v>
      </c>
      <c r="G48" s="138">
        <v>0</v>
      </c>
      <c r="H48" s="138">
        <v>96</v>
      </c>
      <c r="I48" s="138">
        <v>210</v>
      </c>
      <c r="J48" s="138">
        <v>150</v>
      </c>
      <c r="K48" s="138">
        <v>120</v>
      </c>
      <c r="L48" s="138">
        <v>0</v>
      </c>
      <c r="M48" s="138">
        <v>100</v>
      </c>
      <c r="N48" s="138">
        <v>195</v>
      </c>
      <c r="O48" s="205">
        <v>0</v>
      </c>
      <c r="P48" s="7">
        <f t="shared" si="33"/>
        <v>5279.8</v>
      </c>
      <c r="Q48" s="251">
        <f t="shared" si="34"/>
        <v>5279.8</v>
      </c>
      <c r="R48" s="139"/>
      <c r="S48" s="138">
        <v>3214.15</v>
      </c>
      <c r="T48" s="140">
        <f t="shared" si="35"/>
        <v>-803.75</v>
      </c>
      <c r="U48" s="138">
        <v>3214.15</v>
      </c>
      <c r="V48" s="141">
        <f t="shared" si="36"/>
        <v>0</v>
      </c>
      <c r="X48" s="208">
        <f t="shared" si="37"/>
        <v>1111</v>
      </c>
      <c r="Z48" s="208"/>
      <c r="AA48" s="208"/>
      <c r="AB48" s="208"/>
      <c r="AC48" s="208"/>
      <c r="AD48" s="208"/>
      <c r="AE48" s="208"/>
      <c r="AF48" s="208"/>
      <c r="AG48" s="208"/>
      <c r="AH48" s="208"/>
      <c r="AI48" s="208"/>
      <c r="AJ48" s="208"/>
      <c r="AK48" s="208"/>
      <c r="AL48" s="208"/>
      <c r="AM48" s="208"/>
      <c r="AN48" s="208"/>
      <c r="AO48" s="208"/>
    </row>
    <row r="49" spans="1:41">
      <c r="A49" t="s">
        <v>43</v>
      </c>
      <c r="B49" s="7">
        <v>4017.9</v>
      </c>
      <c r="C49" s="1">
        <v>150.9</v>
      </c>
      <c r="D49" s="1">
        <v>168</v>
      </c>
      <c r="E49" s="1">
        <v>72</v>
      </c>
      <c r="F49" s="1">
        <v>0</v>
      </c>
      <c r="G49" s="1">
        <v>0</v>
      </c>
      <c r="H49" s="1">
        <v>96</v>
      </c>
      <c r="I49" s="1">
        <v>210</v>
      </c>
      <c r="J49" s="1">
        <v>150</v>
      </c>
      <c r="K49" s="1">
        <v>120</v>
      </c>
      <c r="L49" s="1">
        <v>0</v>
      </c>
      <c r="M49" s="1">
        <v>150</v>
      </c>
      <c r="N49" s="1">
        <v>106</v>
      </c>
      <c r="O49" s="205">
        <v>0</v>
      </c>
      <c r="P49" s="7">
        <f t="shared" si="33"/>
        <v>5240.8</v>
      </c>
      <c r="Q49" s="7">
        <f t="shared" si="34"/>
        <v>5240.8</v>
      </c>
      <c r="R49" s="11"/>
      <c r="S49" s="1">
        <v>3214.15</v>
      </c>
      <c r="T49" s="9">
        <f t="shared" si="35"/>
        <v>-803.75</v>
      </c>
      <c r="U49" s="1">
        <v>3214.15</v>
      </c>
      <c r="V49" s="8">
        <f t="shared" si="36"/>
        <v>0</v>
      </c>
      <c r="X49" s="1">
        <f t="shared" si="37"/>
        <v>1072</v>
      </c>
      <c r="Z49" s="1"/>
      <c r="AA49" s="1"/>
      <c r="AB49" s="1"/>
      <c r="AC49" s="1"/>
      <c r="AD49" s="1"/>
      <c r="AE49" s="1"/>
      <c r="AF49" s="1"/>
      <c r="AG49" s="1"/>
      <c r="AH49" s="1"/>
      <c r="AI49" s="1"/>
      <c r="AJ49" s="1"/>
      <c r="AK49" s="1"/>
      <c r="AL49" s="1"/>
      <c r="AM49" s="1"/>
      <c r="AN49" s="1"/>
      <c r="AO49" s="1"/>
    </row>
    <row r="50" spans="1:41">
      <c r="A50" t="s">
        <v>69</v>
      </c>
      <c r="B50" s="7">
        <v>4017.6</v>
      </c>
      <c r="C50" s="1">
        <v>151.19999999999999</v>
      </c>
      <c r="D50" s="1">
        <v>168</v>
      </c>
      <c r="E50" s="1">
        <v>72</v>
      </c>
      <c r="F50" s="1">
        <v>0</v>
      </c>
      <c r="G50" s="1">
        <v>0</v>
      </c>
      <c r="H50" s="1">
        <v>96</v>
      </c>
      <c r="I50" s="1">
        <v>210</v>
      </c>
      <c r="J50" s="1">
        <v>150</v>
      </c>
      <c r="K50" s="1">
        <v>120</v>
      </c>
      <c r="L50" s="1">
        <v>0</v>
      </c>
      <c r="M50" s="1">
        <v>100</v>
      </c>
      <c r="N50" s="1">
        <v>30</v>
      </c>
      <c r="O50" s="205">
        <v>0</v>
      </c>
      <c r="P50" s="7">
        <f t="shared" si="33"/>
        <v>5114.8</v>
      </c>
      <c r="Q50" s="7">
        <f t="shared" si="34"/>
        <v>5114.8</v>
      </c>
      <c r="R50" s="11"/>
      <c r="S50" s="1">
        <v>3214.15</v>
      </c>
      <c r="T50" s="9">
        <f t="shared" si="35"/>
        <v>-803.44999999999982</v>
      </c>
      <c r="U50" s="1">
        <v>3214.15</v>
      </c>
      <c r="V50" s="8">
        <f t="shared" si="36"/>
        <v>0</v>
      </c>
      <c r="X50" s="1">
        <f t="shared" si="37"/>
        <v>946</v>
      </c>
      <c r="Z50" s="1"/>
      <c r="AA50" s="1"/>
      <c r="AB50" s="1"/>
      <c r="AC50" s="1"/>
      <c r="AD50" s="1"/>
      <c r="AE50" s="1"/>
      <c r="AF50" s="1"/>
      <c r="AG50" s="1"/>
      <c r="AH50" s="1"/>
      <c r="AI50" s="1"/>
      <c r="AJ50" s="1"/>
      <c r="AK50" s="1"/>
      <c r="AL50" s="1"/>
      <c r="AM50" s="1"/>
      <c r="AN50" s="1"/>
      <c r="AO50" s="1"/>
    </row>
    <row r="51" spans="1:41">
      <c r="A51" t="s">
        <v>130</v>
      </c>
      <c r="B51" s="7">
        <v>4017.9</v>
      </c>
      <c r="C51" s="1">
        <v>150.9</v>
      </c>
      <c r="D51" s="1">
        <v>168</v>
      </c>
      <c r="E51" s="1">
        <v>72</v>
      </c>
      <c r="F51" s="1">
        <v>0</v>
      </c>
      <c r="G51" s="1">
        <v>0</v>
      </c>
      <c r="H51" s="1">
        <v>96</v>
      </c>
      <c r="I51" s="1">
        <v>210</v>
      </c>
      <c r="J51" s="1">
        <v>150</v>
      </c>
      <c r="K51" s="1">
        <v>120</v>
      </c>
      <c r="L51" s="1">
        <v>0</v>
      </c>
      <c r="M51" s="1">
        <v>100</v>
      </c>
      <c r="N51" s="1">
        <v>20</v>
      </c>
      <c r="O51" s="205">
        <v>0</v>
      </c>
      <c r="P51" s="7">
        <f t="shared" si="33"/>
        <v>5104.8</v>
      </c>
      <c r="Q51" s="7">
        <f t="shared" si="34"/>
        <v>5104.8</v>
      </c>
      <c r="R51" s="11"/>
      <c r="S51" s="1">
        <v>3214.15</v>
      </c>
      <c r="T51" s="9">
        <f t="shared" si="35"/>
        <v>-803.75</v>
      </c>
      <c r="U51" s="1">
        <v>3214.15</v>
      </c>
      <c r="V51" s="8">
        <f t="shared" si="36"/>
        <v>0</v>
      </c>
      <c r="X51" s="1">
        <f t="shared" si="37"/>
        <v>936</v>
      </c>
      <c r="Z51" s="1"/>
      <c r="AA51" s="1"/>
      <c r="AB51" s="1"/>
      <c r="AC51" s="1"/>
      <c r="AD51" s="1"/>
      <c r="AE51" s="1"/>
      <c r="AF51" s="1"/>
      <c r="AG51" s="1"/>
      <c r="AH51" s="1"/>
      <c r="AI51" s="1"/>
      <c r="AJ51" s="1"/>
      <c r="AK51" s="1"/>
      <c r="AL51" s="1"/>
      <c r="AM51" s="1"/>
      <c r="AN51" s="1"/>
      <c r="AO51" s="1"/>
    </row>
    <row r="53" spans="1:41" ht="60.75" customHeight="1">
      <c r="A53" s="262" t="s">
        <v>185</v>
      </c>
      <c r="B53" s="262"/>
      <c r="C53" s="262"/>
      <c r="D53" s="262"/>
      <c r="E53" s="262"/>
      <c r="F53" s="262"/>
      <c r="G53" s="262"/>
      <c r="H53" s="262"/>
      <c r="I53" s="262"/>
      <c r="J53" s="262"/>
      <c r="K53" s="262"/>
      <c r="L53" s="262"/>
      <c r="M53" s="262"/>
      <c r="N53" s="262"/>
      <c r="O53" s="262"/>
      <c r="P53" s="262"/>
      <c r="Q53" s="262"/>
      <c r="R53" s="262"/>
      <c r="S53" s="7"/>
      <c r="U53" s="7"/>
    </row>
    <row r="55" spans="1:41">
      <c r="A55" s="144" t="s">
        <v>171</v>
      </c>
    </row>
    <row r="56" spans="1:41">
      <c r="A56" s="144" t="s">
        <v>157</v>
      </c>
    </row>
    <row r="57" spans="1:41">
      <c r="A57" s="144" t="s">
        <v>158</v>
      </c>
    </row>
    <row r="58" spans="1:41">
      <c r="A58" s="144" t="s">
        <v>440</v>
      </c>
    </row>
  </sheetData>
  <mergeCells count="1">
    <mergeCell ref="A53:R53"/>
  </mergeCells>
  <phoneticPr fontId="2" type="noConversion"/>
  <pageMargins left="0.7" right="0.7" top="0.75" bottom="0.75" header="0.3" footer="0.3"/>
  <pageSetup paperSize="5" scale="61" fitToHeight="0" orientation="landscape" r:id="rId1"/>
  <ignoredErrors>
    <ignoredError sqref="P17 P35:P39 P31:P32 P19 P8:P10 P12:P13 P15 P23:P24 P26 P28:P29"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I54"/>
  <sheetViews>
    <sheetView zoomScaleNormal="100" workbookViewId="0">
      <pane xSplit="1" ySplit="4" topLeftCell="B11" activePane="bottomRight" state="frozen"/>
      <selection activeCell="A2" sqref="A2"/>
      <selection pane="topRight" activeCell="A2" sqref="A2"/>
      <selection pane="bottomLeft" activeCell="A2" sqref="A2"/>
      <selection pane="bottomRight" activeCell="F23" sqref="F23"/>
    </sheetView>
  </sheetViews>
  <sheetFormatPr defaultRowHeight="14.5"/>
  <cols>
    <col min="1" max="1" width="32.7265625" customWidth="1"/>
    <col min="2" max="2" width="10.81640625" style="7" customWidth="1"/>
    <col min="3" max="3" width="10.81640625" style="1" customWidth="1"/>
    <col min="4" max="4" width="10.54296875" style="1" customWidth="1"/>
    <col min="5" max="5" width="11.453125" style="1" customWidth="1"/>
    <col min="6" max="6" width="13.453125" style="1" customWidth="1"/>
    <col min="7" max="9" width="10.1796875" style="1" customWidth="1"/>
    <col min="10" max="10" width="12.1796875" style="1" customWidth="1"/>
    <col min="11" max="11" width="10.81640625" style="1" customWidth="1"/>
    <col min="12" max="12" width="10.453125" style="1" customWidth="1"/>
    <col min="13" max="14" width="11.81640625" style="1" customWidth="1"/>
    <col min="15" max="15" width="11" style="1" customWidth="1"/>
    <col min="16" max="17" width="10.1796875" style="7" bestFit="1" customWidth="1"/>
    <col min="18" max="18" width="2.81640625" style="1" customWidth="1"/>
  </cols>
  <sheetData>
    <row r="1" spans="1:35" s="5" customFormat="1">
      <c r="A1" s="5" t="s">
        <v>201</v>
      </c>
      <c r="B1" s="81"/>
      <c r="C1" s="6"/>
      <c r="D1" s="6"/>
      <c r="E1" s="6"/>
      <c r="F1" s="6"/>
      <c r="G1" s="6"/>
      <c r="H1" s="6"/>
      <c r="I1" s="6"/>
      <c r="J1" s="6"/>
      <c r="K1" s="6"/>
      <c r="L1" s="6"/>
      <c r="M1" s="6"/>
      <c r="N1" s="6"/>
      <c r="O1" s="6"/>
      <c r="P1" s="81"/>
      <c r="Q1" s="81"/>
      <c r="R1" s="6"/>
    </row>
    <row r="2" spans="1:35" s="5" customFormat="1">
      <c r="A2" s="5" t="s">
        <v>63</v>
      </c>
      <c r="B2" s="81"/>
      <c r="C2" s="6"/>
      <c r="D2" s="6"/>
      <c r="E2" s="6"/>
      <c r="F2" s="6"/>
      <c r="G2" s="6"/>
      <c r="H2" s="6"/>
      <c r="I2" s="6"/>
      <c r="J2" s="6"/>
      <c r="K2" s="6"/>
      <c r="L2" s="6"/>
      <c r="M2" s="6"/>
      <c r="N2" s="6"/>
      <c r="O2" s="6"/>
      <c r="P2" s="81"/>
      <c r="Q2" s="81"/>
      <c r="R2" s="6"/>
    </row>
    <row r="4" spans="1:35" s="4" customFormat="1" ht="72.5">
      <c r="A4" s="2" t="s">
        <v>0</v>
      </c>
      <c r="B4" s="249" t="s">
        <v>1</v>
      </c>
      <c r="C4" s="3" t="s">
        <v>139</v>
      </c>
      <c r="D4" s="3" t="s">
        <v>2</v>
      </c>
      <c r="E4" s="3" t="s">
        <v>3</v>
      </c>
      <c r="F4" s="3" t="s">
        <v>124</v>
      </c>
      <c r="G4" s="3" t="s">
        <v>5</v>
      </c>
      <c r="H4" s="3" t="s">
        <v>140</v>
      </c>
      <c r="I4" s="3" t="s">
        <v>125</v>
      </c>
      <c r="J4" s="3" t="s">
        <v>6</v>
      </c>
      <c r="K4" s="3" t="s">
        <v>7</v>
      </c>
      <c r="L4" s="3" t="s">
        <v>8</v>
      </c>
      <c r="M4" s="3" t="s">
        <v>9</v>
      </c>
      <c r="N4" s="3" t="s">
        <v>59</v>
      </c>
      <c r="O4" s="203" t="s">
        <v>10</v>
      </c>
      <c r="P4" s="249" t="s">
        <v>19</v>
      </c>
      <c r="Q4" s="249" t="s">
        <v>20</v>
      </c>
      <c r="R4" s="3"/>
      <c r="T4" s="3"/>
      <c r="U4" s="3"/>
      <c r="V4" s="3"/>
      <c r="W4" s="3"/>
      <c r="X4" s="3"/>
      <c r="Y4" s="3"/>
      <c r="Z4" s="3"/>
      <c r="AA4" s="3"/>
      <c r="AB4" s="3"/>
      <c r="AC4" s="3"/>
      <c r="AD4" s="3"/>
      <c r="AE4" s="3"/>
      <c r="AF4" s="3"/>
      <c r="AG4" s="3"/>
      <c r="AH4" s="3"/>
      <c r="AI4" s="3"/>
    </row>
    <row r="5" spans="1:35" s="125" customFormat="1">
      <c r="A5" s="209" t="s">
        <v>22</v>
      </c>
      <c r="B5" s="252"/>
      <c r="C5" s="210"/>
      <c r="D5" s="210"/>
      <c r="E5" s="210"/>
      <c r="F5" s="210"/>
      <c r="G5" s="210"/>
      <c r="H5" s="210"/>
      <c r="I5" s="210"/>
      <c r="J5" s="210"/>
      <c r="K5" s="210"/>
      <c r="L5" s="210"/>
      <c r="M5" s="210"/>
      <c r="N5" s="210"/>
      <c r="O5" s="211"/>
      <c r="P5" s="252"/>
      <c r="Q5" s="252"/>
      <c r="R5" s="126"/>
    </row>
    <row r="6" spans="1:35">
      <c r="A6" t="s">
        <v>12</v>
      </c>
      <c r="B6" s="7">
        <v>5365.5</v>
      </c>
      <c r="C6" s="1">
        <v>406.76</v>
      </c>
      <c r="D6" s="1">
        <v>186.3</v>
      </c>
      <c r="E6" s="1">
        <v>102.6</v>
      </c>
      <c r="F6" s="1">
        <v>51.76</v>
      </c>
      <c r="G6" s="1">
        <v>22.78</v>
      </c>
      <c r="H6" s="1">
        <v>74.52</v>
      </c>
      <c r="I6" s="1">
        <v>0</v>
      </c>
      <c r="J6" s="1">
        <v>93.6</v>
      </c>
      <c r="K6" s="1">
        <v>187.2</v>
      </c>
      <c r="L6" s="1">
        <v>422.28</v>
      </c>
      <c r="M6" s="1">
        <v>840.42</v>
      </c>
      <c r="N6" s="1">
        <v>0</v>
      </c>
      <c r="O6" s="205">
        <v>9023</v>
      </c>
      <c r="P6" s="7">
        <f t="shared" ref="P6:P16" si="0">SUM(B6:N6)</f>
        <v>7753.7200000000012</v>
      </c>
      <c r="Q6" s="7">
        <f>SUM(O6:P6)</f>
        <v>16776.72</v>
      </c>
      <c r="T6" s="1"/>
      <c r="U6" s="1"/>
      <c r="V6" s="1"/>
      <c r="W6" s="1"/>
      <c r="X6" s="1"/>
      <c r="Y6" s="1"/>
      <c r="Z6" s="1"/>
      <c r="AA6" s="1"/>
      <c r="AB6" s="1"/>
      <c r="AC6" s="1"/>
      <c r="AD6" s="1"/>
      <c r="AE6" s="1"/>
      <c r="AF6" s="1"/>
      <c r="AG6" s="1"/>
      <c r="AH6" s="1"/>
      <c r="AI6" s="1"/>
    </row>
    <row r="7" spans="1:35">
      <c r="A7" t="s">
        <v>13</v>
      </c>
      <c r="B7" s="7">
        <f>4806+120</f>
        <v>4926</v>
      </c>
      <c r="C7" s="1">
        <v>1840.68</v>
      </c>
      <c r="D7" s="1">
        <v>180</v>
      </c>
      <c r="E7" s="1">
        <v>105</v>
      </c>
      <c r="F7" s="1">
        <v>30</v>
      </c>
      <c r="G7" s="1">
        <v>37</v>
      </c>
      <c r="H7" s="1">
        <v>72</v>
      </c>
      <c r="I7" s="1">
        <v>0</v>
      </c>
      <c r="J7" s="1">
        <v>90</v>
      </c>
      <c r="K7" s="1">
        <v>180</v>
      </c>
      <c r="L7" s="1">
        <v>860.22</v>
      </c>
      <c r="M7" s="1">
        <v>273.60000000000002</v>
      </c>
      <c r="N7" s="1">
        <v>0</v>
      </c>
      <c r="O7" s="205">
        <v>4731</v>
      </c>
      <c r="P7" s="7">
        <f t="shared" si="0"/>
        <v>8594.5</v>
      </c>
      <c r="Q7" s="7">
        <f t="shared" ref="Q7:Q16" si="1">SUM(O7:P7)</f>
        <v>13325.5</v>
      </c>
      <c r="T7" s="1"/>
      <c r="U7" s="1"/>
      <c r="V7" s="1"/>
      <c r="W7" s="1"/>
      <c r="X7" s="1"/>
      <c r="Y7" s="1"/>
      <c r="Z7" s="1"/>
      <c r="AA7" s="1"/>
      <c r="AB7" s="1"/>
      <c r="AC7" s="1"/>
      <c r="AD7" s="1"/>
      <c r="AE7" s="1"/>
      <c r="AF7" s="1"/>
      <c r="AG7" s="1"/>
      <c r="AH7" s="1"/>
      <c r="AI7" s="1"/>
    </row>
    <row r="8" spans="1:35">
      <c r="A8" t="s">
        <v>14</v>
      </c>
      <c r="B8" s="7">
        <v>5702.74</v>
      </c>
      <c r="C8" s="1">
        <v>1598.9199999999998</v>
      </c>
      <c r="D8" s="1">
        <v>180</v>
      </c>
      <c r="E8" s="1">
        <v>118</v>
      </c>
      <c r="F8" s="1">
        <v>25</v>
      </c>
      <c r="G8" s="1">
        <v>20</v>
      </c>
      <c r="H8" s="1">
        <v>96</v>
      </c>
      <c r="I8" s="1">
        <v>0</v>
      </c>
      <c r="J8" s="1">
        <v>90</v>
      </c>
      <c r="K8" s="1">
        <v>180</v>
      </c>
      <c r="L8" s="1">
        <v>240</v>
      </c>
      <c r="M8" s="1">
        <v>827.4</v>
      </c>
      <c r="N8" s="1">
        <v>0</v>
      </c>
      <c r="O8" s="205">
        <v>2000</v>
      </c>
      <c r="P8" s="7">
        <f t="shared" si="0"/>
        <v>9078.06</v>
      </c>
      <c r="Q8" s="7">
        <f t="shared" si="1"/>
        <v>11078.06</v>
      </c>
      <c r="T8" s="1"/>
      <c r="U8" s="1"/>
      <c r="V8" s="1"/>
      <c r="W8" s="1"/>
      <c r="X8" s="1"/>
      <c r="Y8" s="1"/>
      <c r="Z8" s="1"/>
      <c r="AA8" s="1"/>
      <c r="AB8" s="1"/>
      <c r="AC8" s="1"/>
      <c r="AD8" s="1"/>
      <c r="AE8" s="1"/>
      <c r="AF8" s="1"/>
      <c r="AG8" s="1"/>
      <c r="AH8" s="1"/>
      <c r="AI8" s="1"/>
    </row>
    <row r="9" spans="1:35">
      <c r="A9" t="s">
        <v>15</v>
      </c>
      <c r="B9" s="7">
        <v>5685.6</v>
      </c>
      <c r="C9" s="1">
        <v>1211.94</v>
      </c>
      <c r="D9" s="1">
        <v>180</v>
      </c>
      <c r="E9" s="1">
        <v>90</v>
      </c>
      <c r="F9" s="1">
        <v>50</v>
      </c>
      <c r="G9" s="1">
        <v>20</v>
      </c>
      <c r="H9" s="1">
        <v>96</v>
      </c>
      <c r="I9" s="1">
        <v>0</v>
      </c>
      <c r="J9" s="1">
        <v>90</v>
      </c>
      <c r="K9" s="1">
        <v>117</v>
      </c>
      <c r="L9" s="1">
        <v>414.2</v>
      </c>
      <c r="M9" s="1">
        <v>895</v>
      </c>
      <c r="N9" s="1">
        <v>0</v>
      </c>
      <c r="O9" s="205">
        <v>1093.2</v>
      </c>
      <c r="P9" s="7">
        <f t="shared" si="0"/>
        <v>8849.7400000000016</v>
      </c>
      <c r="Q9" s="7">
        <f t="shared" si="1"/>
        <v>9942.9400000000023</v>
      </c>
      <c r="T9" s="1"/>
      <c r="U9" s="1"/>
      <c r="V9" s="1"/>
      <c r="W9" s="1"/>
      <c r="X9" s="1"/>
      <c r="Y9" s="1"/>
      <c r="Z9" s="1"/>
      <c r="AA9" s="1"/>
      <c r="AB9" s="1"/>
      <c r="AC9" s="1"/>
      <c r="AD9" s="1"/>
      <c r="AE9" s="1"/>
      <c r="AF9" s="1"/>
      <c r="AG9" s="1"/>
      <c r="AH9" s="1"/>
      <c r="AI9" s="1"/>
    </row>
    <row r="10" spans="1:35">
      <c r="A10" t="s">
        <v>16</v>
      </c>
      <c r="B10" s="7">
        <v>5738</v>
      </c>
      <c r="C10" s="1">
        <f>2024+576</f>
        <v>2600</v>
      </c>
      <c r="D10" s="1">
        <v>180</v>
      </c>
      <c r="E10" s="1">
        <v>124</v>
      </c>
      <c r="F10" s="1">
        <v>50</v>
      </c>
      <c r="G10" s="1">
        <v>20</v>
      </c>
      <c r="H10" s="1">
        <v>96</v>
      </c>
      <c r="I10" s="1">
        <v>210</v>
      </c>
      <c r="J10" s="1">
        <v>90</v>
      </c>
      <c r="K10" s="1">
        <v>0</v>
      </c>
      <c r="L10" s="1">
        <v>596</v>
      </c>
      <c r="M10" s="1">
        <v>578</v>
      </c>
      <c r="N10" s="1">
        <v>0</v>
      </c>
      <c r="O10" s="205">
        <v>10788</v>
      </c>
      <c r="P10" s="7">
        <f t="shared" si="0"/>
        <v>10282</v>
      </c>
      <c r="Q10" s="7">
        <f t="shared" si="1"/>
        <v>21070</v>
      </c>
      <c r="T10" s="1"/>
      <c r="U10" s="1"/>
      <c r="V10" s="1"/>
      <c r="W10" s="1"/>
      <c r="X10" s="1"/>
      <c r="Y10" s="1"/>
      <c r="Z10" s="1"/>
      <c r="AA10" s="1"/>
      <c r="AB10" s="1"/>
      <c r="AC10" s="1"/>
      <c r="AD10" s="1"/>
      <c r="AE10" s="1"/>
      <c r="AF10" s="1"/>
      <c r="AG10" s="1"/>
      <c r="AH10" s="1"/>
      <c r="AI10" s="1"/>
    </row>
    <row r="11" spans="1:35">
      <c r="A11" t="s">
        <v>17</v>
      </c>
      <c r="B11" s="7">
        <v>6684</v>
      </c>
      <c r="C11" s="1">
        <f>490+180</f>
        <v>670</v>
      </c>
      <c r="D11" s="1">
        <v>180</v>
      </c>
      <c r="E11" s="1">
        <v>115</v>
      </c>
      <c r="F11" s="1">
        <v>50</v>
      </c>
      <c r="G11" s="1">
        <v>20</v>
      </c>
      <c r="H11" s="1">
        <v>72</v>
      </c>
      <c r="I11" s="1">
        <v>0</v>
      </c>
      <c r="J11" s="1">
        <v>90</v>
      </c>
      <c r="K11" s="1">
        <v>180</v>
      </c>
      <c r="L11" s="1">
        <v>1130</v>
      </c>
      <c r="M11" s="1">
        <v>519</v>
      </c>
      <c r="N11" s="1">
        <v>0</v>
      </c>
      <c r="O11" s="205">
        <v>12478</v>
      </c>
      <c r="P11" s="7">
        <f t="shared" si="0"/>
        <v>9710</v>
      </c>
      <c r="Q11" s="7">
        <f t="shared" si="1"/>
        <v>22188</v>
      </c>
      <c r="T11" s="1"/>
      <c r="U11" s="1"/>
      <c r="V11" s="1"/>
      <c r="W11" s="1"/>
      <c r="X11" s="1"/>
      <c r="Y11" s="1"/>
      <c r="Z11" s="1"/>
      <c r="AA11" s="1"/>
      <c r="AB11" s="1"/>
      <c r="AC11" s="1"/>
      <c r="AD11" s="1"/>
      <c r="AE11" s="1"/>
      <c r="AF11" s="1"/>
      <c r="AG11" s="1"/>
      <c r="AH11" s="1"/>
      <c r="AI11" s="1"/>
    </row>
    <row r="12" spans="1:35">
      <c r="A12" t="s">
        <v>18</v>
      </c>
      <c r="B12" s="7">
        <f>5510.52+305.46</f>
        <v>5815.9800000000005</v>
      </c>
      <c r="C12" s="1">
        <v>3226.4</v>
      </c>
      <c r="D12" s="1">
        <v>180</v>
      </c>
      <c r="E12" s="1">
        <v>91.8</v>
      </c>
      <c r="F12" s="1">
        <v>50</v>
      </c>
      <c r="G12" s="1">
        <v>20</v>
      </c>
      <c r="H12" s="1">
        <v>72</v>
      </c>
      <c r="I12" s="1">
        <v>0</v>
      </c>
      <c r="J12" s="1">
        <v>90</v>
      </c>
      <c r="K12" s="1">
        <v>180</v>
      </c>
      <c r="L12" s="1">
        <v>749.94</v>
      </c>
      <c r="M12" s="1">
        <v>725.88</v>
      </c>
      <c r="N12" s="1">
        <v>0</v>
      </c>
      <c r="O12" s="205">
        <v>13728</v>
      </c>
      <c r="P12" s="7">
        <f t="shared" si="0"/>
        <v>11202</v>
      </c>
      <c r="Q12" s="7">
        <f t="shared" si="1"/>
        <v>24930</v>
      </c>
      <c r="T12" s="1"/>
      <c r="U12" s="1"/>
      <c r="V12" s="1"/>
      <c r="W12" s="1"/>
      <c r="X12" s="1"/>
      <c r="Y12" s="1"/>
      <c r="Z12" s="1"/>
      <c r="AA12" s="1"/>
      <c r="AB12" s="1"/>
      <c r="AC12" s="1"/>
      <c r="AD12" s="1"/>
      <c r="AE12" s="1"/>
      <c r="AF12" s="1"/>
      <c r="AG12" s="1"/>
      <c r="AH12" s="1"/>
      <c r="AI12" s="1"/>
    </row>
    <row r="13" spans="1:35">
      <c r="A13" t="s">
        <v>45</v>
      </c>
      <c r="B13" s="7">
        <v>6489</v>
      </c>
      <c r="C13" s="1">
        <f>794+752</f>
        <v>1546</v>
      </c>
      <c r="D13" s="1">
        <v>180</v>
      </c>
      <c r="E13" s="1">
        <v>90</v>
      </c>
      <c r="F13" s="1">
        <v>50</v>
      </c>
      <c r="G13" s="1">
        <v>20</v>
      </c>
      <c r="H13" s="1">
        <v>72</v>
      </c>
      <c r="I13" s="1">
        <v>0</v>
      </c>
      <c r="J13" s="1">
        <v>90</v>
      </c>
      <c r="K13" s="1">
        <v>180</v>
      </c>
      <c r="L13" s="1">
        <v>834</v>
      </c>
      <c r="M13" s="1">
        <v>740</v>
      </c>
      <c r="N13" s="1">
        <v>0</v>
      </c>
      <c r="O13" s="205">
        <v>12100</v>
      </c>
      <c r="P13" s="7">
        <f t="shared" si="0"/>
        <v>10291</v>
      </c>
      <c r="Q13" s="7">
        <f t="shared" si="1"/>
        <v>22391</v>
      </c>
      <c r="T13" s="1"/>
      <c r="U13" s="1"/>
      <c r="V13" s="1"/>
      <c r="W13" s="1"/>
      <c r="X13" s="1"/>
      <c r="Y13" s="1"/>
      <c r="Z13" s="1"/>
      <c r="AA13" s="1"/>
      <c r="AB13" s="1"/>
      <c r="AC13" s="1"/>
      <c r="AD13" s="1"/>
      <c r="AE13" s="1"/>
      <c r="AF13" s="1"/>
      <c r="AG13" s="1"/>
      <c r="AH13" s="1"/>
      <c r="AI13" s="1"/>
    </row>
    <row r="14" spans="1:35">
      <c r="A14" t="s">
        <v>122</v>
      </c>
      <c r="B14" s="7">
        <v>6489</v>
      </c>
      <c r="C14" s="1">
        <f t="shared" ref="C14:C15" si="2">794+752</f>
        <v>1546</v>
      </c>
      <c r="D14" s="1">
        <v>180</v>
      </c>
      <c r="E14" s="1">
        <v>90</v>
      </c>
      <c r="F14" s="1">
        <v>50</v>
      </c>
      <c r="G14" s="1">
        <v>20</v>
      </c>
      <c r="H14" s="1">
        <v>72</v>
      </c>
      <c r="I14" s="1">
        <v>0</v>
      </c>
      <c r="J14" s="1">
        <v>90</v>
      </c>
      <c r="K14" s="1">
        <v>180</v>
      </c>
      <c r="L14" s="1">
        <v>834</v>
      </c>
      <c r="M14" s="1">
        <v>740</v>
      </c>
      <c r="N14" s="1">
        <v>1500</v>
      </c>
      <c r="O14" s="205">
        <v>12100</v>
      </c>
      <c r="P14" s="7">
        <f t="shared" si="0"/>
        <v>11791</v>
      </c>
      <c r="Q14" s="7">
        <f t="shared" si="1"/>
        <v>23891</v>
      </c>
      <c r="T14" s="1"/>
      <c r="U14" s="1"/>
      <c r="V14" s="1"/>
      <c r="W14" s="1"/>
      <c r="X14" s="1"/>
      <c r="Y14" s="1"/>
      <c r="Z14" s="1"/>
      <c r="AA14" s="1"/>
      <c r="AB14" s="1"/>
      <c r="AC14" s="1"/>
      <c r="AD14" s="1"/>
      <c r="AE14" s="1"/>
      <c r="AF14" s="1"/>
      <c r="AG14" s="1"/>
      <c r="AH14" s="1"/>
      <c r="AI14" s="1"/>
    </row>
    <row r="15" spans="1:35" s="137" customFormat="1">
      <c r="A15" s="137" t="s">
        <v>191</v>
      </c>
      <c r="B15" s="251">
        <v>6489</v>
      </c>
      <c r="C15" s="1">
        <f t="shared" si="2"/>
        <v>1546</v>
      </c>
      <c r="D15" s="138">
        <v>180</v>
      </c>
      <c r="E15" s="138">
        <v>90</v>
      </c>
      <c r="F15" s="138">
        <v>50</v>
      </c>
      <c r="G15" s="138">
        <v>20</v>
      </c>
      <c r="H15" s="138">
        <v>72</v>
      </c>
      <c r="I15" s="138">
        <v>0</v>
      </c>
      <c r="J15" s="138">
        <v>90</v>
      </c>
      <c r="K15" s="138">
        <v>180</v>
      </c>
      <c r="L15" s="138">
        <v>834</v>
      </c>
      <c r="M15" s="138">
        <v>740</v>
      </c>
      <c r="N15" s="138">
        <v>8000</v>
      </c>
      <c r="O15" s="138">
        <v>12100</v>
      </c>
      <c r="P15" s="251">
        <f t="shared" si="0"/>
        <v>18291</v>
      </c>
      <c r="Q15" s="251">
        <f t="shared" ref="Q15" si="3">SUM(O15:P15)</f>
        <v>30391</v>
      </c>
      <c r="R15" s="138"/>
      <c r="T15" s="138"/>
      <c r="U15" s="138"/>
      <c r="V15" s="138"/>
      <c r="W15" s="138"/>
      <c r="X15" s="138"/>
      <c r="Y15" s="138"/>
      <c r="Z15" s="138"/>
      <c r="AA15" s="138"/>
      <c r="AB15" s="138"/>
      <c r="AC15" s="138"/>
      <c r="AD15" s="138"/>
      <c r="AE15" s="138"/>
      <c r="AF15" s="138"/>
      <c r="AG15" s="138"/>
      <c r="AH15" s="138"/>
      <c r="AI15" s="138"/>
    </row>
    <row r="16" spans="1:35">
      <c r="A16" t="s">
        <v>26</v>
      </c>
      <c r="B16" s="7">
        <v>6090.38</v>
      </c>
      <c r="C16" s="1">
        <f>420.7+225</f>
        <v>645.70000000000005</v>
      </c>
      <c r="D16" s="1">
        <v>180</v>
      </c>
      <c r="E16" s="1">
        <v>138</v>
      </c>
      <c r="F16" s="1">
        <v>594</v>
      </c>
      <c r="G16" s="1">
        <v>150</v>
      </c>
      <c r="H16" s="1">
        <v>96</v>
      </c>
      <c r="I16" s="1">
        <v>0</v>
      </c>
      <c r="J16" s="1">
        <v>0</v>
      </c>
      <c r="K16" s="1">
        <v>0</v>
      </c>
      <c r="L16" s="1">
        <v>1030.5999999999999</v>
      </c>
      <c r="M16" s="1">
        <v>408.32</v>
      </c>
      <c r="N16" s="1">
        <v>0</v>
      </c>
      <c r="O16" s="205">
        <v>4570</v>
      </c>
      <c r="P16" s="7">
        <f t="shared" si="0"/>
        <v>9333</v>
      </c>
      <c r="Q16" s="7">
        <f t="shared" si="1"/>
        <v>13903</v>
      </c>
      <c r="T16" s="1"/>
      <c r="U16" s="1"/>
      <c r="V16" s="1"/>
      <c r="W16" s="1"/>
      <c r="X16" s="1"/>
      <c r="Y16" s="1"/>
      <c r="Z16" s="1"/>
      <c r="AA16" s="1"/>
      <c r="AB16" s="1"/>
      <c r="AC16" s="1"/>
      <c r="AD16" s="1"/>
      <c r="AE16" s="1"/>
      <c r="AF16" s="1"/>
      <c r="AG16" s="1"/>
      <c r="AH16" s="1"/>
      <c r="AI16" s="1"/>
    </row>
    <row r="17" spans="1:35">
      <c r="A17" s="212" t="s">
        <v>21</v>
      </c>
      <c r="B17" s="253"/>
      <c r="C17" s="213"/>
      <c r="D17" s="213"/>
      <c r="E17" s="213"/>
      <c r="F17" s="213"/>
      <c r="G17" s="213"/>
      <c r="H17" s="213"/>
      <c r="I17" s="213"/>
      <c r="J17" s="213"/>
      <c r="K17" s="213"/>
      <c r="L17" s="213"/>
      <c r="M17" s="213"/>
      <c r="N17" s="213"/>
      <c r="O17" s="214"/>
      <c r="P17" s="252"/>
      <c r="Q17" s="253"/>
      <c r="T17" s="1"/>
      <c r="U17" s="1"/>
      <c r="V17" s="1"/>
      <c r="W17" s="1"/>
      <c r="X17" s="1"/>
      <c r="Y17" s="1"/>
      <c r="Z17" s="1"/>
      <c r="AA17" s="1"/>
      <c r="AB17" s="1"/>
      <c r="AC17" s="1"/>
      <c r="AD17" s="1"/>
      <c r="AE17" s="1"/>
      <c r="AF17" s="1"/>
      <c r="AG17" s="1"/>
      <c r="AH17" s="1"/>
      <c r="AI17" s="1"/>
    </row>
    <row r="18" spans="1:35">
      <c r="A18" t="s">
        <v>219</v>
      </c>
      <c r="B18" s="7">
        <v>8727.85</v>
      </c>
      <c r="C18" s="1">
        <v>0</v>
      </c>
      <c r="D18" s="1">
        <v>430</v>
      </c>
      <c r="E18" s="1">
        <v>160</v>
      </c>
      <c r="F18" s="1">
        <v>0</v>
      </c>
      <c r="G18" s="1">
        <v>0</v>
      </c>
      <c r="H18" s="1">
        <v>96</v>
      </c>
      <c r="I18" s="1">
        <v>0</v>
      </c>
      <c r="J18" s="1">
        <v>90</v>
      </c>
      <c r="K18" s="1">
        <v>0</v>
      </c>
      <c r="L18" s="1">
        <v>2985.1</v>
      </c>
      <c r="M18" s="1">
        <v>285.25</v>
      </c>
      <c r="N18" s="1">
        <v>0</v>
      </c>
      <c r="O18" s="205">
        <v>16915</v>
      </c>
      <c r="P18" s="7">
        <f t="shared" ref="P18:P44" si="4">SUM(B18:N18)</f>
        <v>12774.2</v>
      </c>
      <c r="Q18" s="7">
        <f>SUM(O18:P18)</f>
        <v>29689.200000000001</v>
      </c>
      <c r="T18" s="1"/>
      <c r="U18" s="1"/>
      <c r="V18" s="1"/>
      <c r="W18" s="1"/>
      <c r="X18" s="1"/>
      <c r="Y18" s="1"/>
      <c r="Z18" s="1"/>
      <c r="AA18" s="1"/>
      <c r="AB18" s="1"/>
      <c r="AC18" s="1"/>
      <c r="AD18" s="1"/>
      <c r="AE18" s="1"/>
      <c r="AF18" s="1"/>
      <c r="AG18" s="1"/>
      <c r="AH18" s="1"/>
      <c r="AI18" s="1"/>
    </row>
    <row r="19" spans="1:35" ht="16.5">
      <c r="A19" t="s">
        <v>442</v>
      </c>
      <c r="B19" s="7">
        <f>8727.85+161.1</f>
        <v>8888.9500000000007</v>
      </c>
      <c r="C19" s="1">
        <v>0</v>
      </c>
      <c r="D19" s="1">
        <v>430</v>
      </c>
      <c r="E19" s="1">
        <v>160</v>
      </c>
      <c r="F19" s="1">
        <v>0</v>
      </c>
      <c r="G19" s="1">
        <v>0</v>
      </c>
      <c r="H19" s="1">
        <v>96</v>
      </c>
      <c r="I19" s="1">
        <v>0</v>
      </c>
      <c r="J19" s="1">
        <v>90</v>
      </c>
      <c r="K19" s="1">
        <v>0</v>
      </c>
      <c r="L19" s="1">
        <v>2985.1</v>
      </c>
      <c r="M19" s="1">
        <v>285.25</v>
      </c>
      <c r="N19" s="1">
        <v>0</v>
      </c>
      <c r="O19" s="205">
        <v>16915</v>
      </c>
      <c r="P19" s="7">
        <f t="shared" si="4"/>
        <v>12935.300000000001</v>
      </c>
      <c r="Q19" s="7">
        <f>SUM(O19:P19)</f>
        <v>29850.300000000003</v>
      </c>
      <c r="T19" s="1"/>
      <c r="U19" s="1"/>
      <c r="V19" s="1"/>
      <c r="W19" s="1"/>
      <c r="X19" s="1"/>
      <c r="Y19" s="1"/>
      <c r="Z19" s="1"/>
      <c r="AA19" s="1"/>
      <c r="AB19" s="1"/>
      <c r="AC19" s="1"/>
      <c r="AD19" s="1"/>
      <c r="AE19" s="1"/>
      <c r="AF19" s="1"/>
      <c r="AG19" s="1"/>
      <c r="AH19" s="1"/>
      <c r="AI19" s="1"/>
    </row>
    <row r="20" spans="1:35">
      <c r="A20" t="s">
        <v>47</v>
      </c>
      <c r="N20" s="1">
        <v>0</v>
      </c>
      <c r="O20" s="205"/>
      <c r="P20" s="7">
        <f t="shared" si="4"/>
        <v>0</v>
      </c>
      <c r="Q20" s="7">
        <f t="shared" ref="Q20:Q44" si="5">SUM(O20:P20)</f>
        <v>0</v>
      </c>
      <c r="T20" s="1"/>
      <c r="U20" s="1"/>
      <c r="V20" s="1"/>
      <c r="W20" s="1"/>
      <c r="X20" s="1"/>
      <c r="Y20" s="1"/>
      <c r="Z20" s="1"/>
      <c r="AA20" s="1"/>
      <c r="AB20" s="1"/>
      <c r="AC20" s="1"/>
      <c r="AD20" s="1"/>
      <c r="AE20" s="1"/>
      <c r="AF20" s="1"/>
      <c r="AG20" s="1"/>
      <c r="AH20" s="1"/>
      <c r="AI20" s="1"/>
    </row>
    <row r="21" spans="1:35">
      <c r="A21" t="s">
        <v>128</v>
      </c>
      <c r="B21" s="7">
        <v>15676.5</v>
      </c>
      <c r="C21" s="1">
        <v>0</v>
      </c>
      <c r="D21" s="1">
        <v>180</v>
      </c>
      <c r="E21" s="1">
        <v>328.5</v>
      </c>
      <c r="F21" s="1">
        <v>0</v>
      </c>
      <c r="G21" s="1">
        <v>72</v>
      </c>
      <c r="H21" s="1">
        <v>0</v>
      </c>
      <c r="I21" s="1">
        <v>0</v>
      </c>
      <c r="J21" s="1">
        <v>90</v>
      </c>
      <c r="K21" s="1">
        <v>0</v>
      </c>
      <c r="L21" s="1">
        <v>1602.5</v>
      </c>
      <c r="M21" s="1">
        <v>20</v>
      </c>
      <c r="N21" s="1">
        <v>0</v>
      </c>
      <c r="O21" s="205">
        <v>11580</v>
      </c>
      <c r="P21" s="7">
        <f t="shared" si="4"/>
        <v>17969.5</v>
      </c>
      <c r="Q21" s="7">
        <f t="shared" si="5"/>
        <v>29549.5</v>
      </c>
      <c r="T21" s="1"/>
      <c r="U21" s="1"/>
      <c r="V21" s="1"/>
      <c r="W21" s="1"/>
      <c r="X21" s="1"/>
      <c r="Y21" s="1"/>
      <c r="Z21" s="1"/>
      <c r="AA21" s="1"/>
      <c r="AB21" s="1"/>
      <c r="AC21" s="1"/>
      <c r="AD21" s="1"/>
      <c r="AE21" s="1"/>
      <c r="AF21" s="1"/>
      <c r="AG21" s="1"/>
      <c r="AH21" s="1"/>
      <c r="AI21" s="1"/>
    </row>
    <row r="22" spans="1:35">
      <c r="A22" t="s">
        <v>24</v>
      </c>
      <c r="B22" s="7">
        <v>6195.9600000000009</v>
      </c>
      <c r="C22" s="1">
        <v>0</v>
      </c>
      <c r="D22" s="1">
        <v>180</v>
      </c>
      <c r="E22" s="1">
        <v>90</v>
      </c>
      <c r="F22" s="1">
        <v>0</v>
      </c>
      <c r="G22" s="1">
        <v>0</v>
      </c>
      <c r="H22" s="1">
        <v>72</v>
      </c>
      <c r="I22" s="1">
        <v>0</v>
      </c>
      <c r="J22" s="1">
        <v>90</v>
      </c>
      <c r="K22" s="1">
        <v>36</v>
      </c>
      <c r="L22" s="1">
        <v>215.28000000000003</v>
      </c>
      <c r="M22" s="1">
        <v>559.43999999999994</v>
      </c>
      <c r="N22" s="1">
        <v>0</v>
      </c>
      <c r="O22" s="205">
        <v>12497.22</v>
      </c>
      <c r="P22" s="7">
        <f t="shared" si="4"/>
        <v>7438.68</v>
      </c>
      <c r="Q22" s="7">
        <f t="shared" si="5"/>
        <v>19935.900000000001</v>
      </c>
      <c r="T22" s="1"/>
      <c r="U22" s="1"/>
      <c r="V22" s="1"/>
      <c r="W22" s="1"/>
      <c r="X22" s="1"/>
      <c r="Y22" s="1"/>
      <c r="Z22" s="1"/>
      <c r="AA22" s="1"/>
      <c r="AB22" s="1"/>
      <c r="AC22" s="1"/>
      <c r="AD22" s="1"/>
      <c r="AE22" s="1"/>
      <c r="AF22" s="1"/>
      <c r="AG22" s="1"/>
      <c r="AH22" s="1"/>
      <c r="AI22" s="1"/>
    </row>
    <row r="23" spans="1:35">
      <c r="A23" t="s">
        <v>27</v>
      </c>
      <c r="B23" s="7">
        <v>9335</v>
      </c>
      <c r="C23" s="1">
        <v>0</v>
      </c>
      <c r="D23" s="1">
        <v>180</v>
      </c>
      <c r="E23" s="1">
        <v>166</v>
      </c>
      <c r="F23" s="1">
        <v>0</v>
      </c>
      <c r="G23" s="1">
        <v>0</v>
      </c>
      <c r="H23" s="1">
        <v>96</v>
      </c>
      <c r="I23" s="1">
        <v>0</v>
      </c>
      <c r="J23" s="1">
        <v>90</v>
      </c>
      <c r="K23" s="1">
        <v>0</v>
      </c>
      <c r="L23" s="1">
        <v>460</v>
      </c>
      <c r="M23" s="1">
        <v>0</v>
      </c>
      <c r="N23" s="1">
        <v>0</v>
      </c>
      <c r="O23" s="205">
        <v>10077</v>
      </c>
      <c r="P23" s="7">
        <f t="shared" si="4"/>
        <v>10327</v>
      </c>
      <c r="Q23" s="7">
        <f t="shared" si="5"/>
        <v>20404</v>
      </c>
      <c r="T23" s="1"/>
      <c r="U23" s="1"/>
      <c r="V23" s="1"/>
      <c r="W23" s="1"/>
      <c r="X23" s="1"/>
      <c r="Y23" s="1"/>
      <c r="Z23" s="1"/>
      <c r="AA23" s="1"/>
      <c r="AB23" s="1"/>
      <c r="AC23" s="1"/>
      <c r="AD23" s="1"/>
      <c r="AE23" s="1"/>
      <c r="AF23" s="1"/>
      <c r="AG23" s="1"/>
      <c r="AH23" s="1"/>
      <c r="AI23" s="1"/>
    </row>
    <row r="24" spans="1:35" s="137" customFormat="1">
      <c r="A24" s="137" t="s">
        <v>135</v>
      </c>
      <c r="B24" s="251">
        <v>9335</v>
      </c>
      <c r="C24" s="138">
        <v>0</v>
      </c>
      <c r="D24" s="138">
        <v>180</v>
      </c>
      <c r="E24" s="138">
        <v>166</v>
      </c>
      <c r="F24" s="138">
        <v>0</v>
      </c>
      <c r="G24" s="138">
        <v>0</v>
      </c>
      <c r="H24" s="138">
        <v>96</v>
      </c>
      <c r="I24" s="138">
        <v>0</v>
      </c>
      <c r="J24" s="138">
        <v>90</v>
      </c>
      <c r="K24" s="138">
        <v>0</v>
      </c>
      <c r="L24" s="138">
        <v>3370</v>
      </c>
      <c r="M24" s="138">
        <v>0</v>
      </c>
      <c r="N24" s="138">
        <v>0</v>
      </c>
      <c r="O24" s="138">
        <v>10077</v>
      </c>
      <c r="P24" s="251">
        <f t="shared" si="4"/>
        <v>13237</v>
      </c>
      <c r="Q24" s="251">
        <f>SUM(O24:P24)</f>
        <v>23314</v>
      </c>
      <c r="R24" s="138"/>
      <c r="T24" s="1"/>
      <c r="U24" s="1"/>
      <c r="V24" s="1"/>
      <c r="W24" s="1"/>
      <c r="X24" s="1"/>
      <c r="Y24" s="1"/>
      <c r="Z24" s="1"/>
      <c r="AA24" s="1"/>
      <c r="AB24" s="1"/>
      <c r="AC24" s="1"/>
      <c r="AD24" s="1"/>
      <c r="AE24" s="1"/>
      <c r="AF24" s="1"/>
      <c r="AG24" s="1"/>
      <c r="AH24" s="1"/>
      <c r="AI24" s="1"/>
    </row>
    <row r="25" spans="1:35">
      <c r="A25" t="s">
        <v>28</v>
      </c>
      <c r="B25" s="7">
        <v>7168.4</v>
      </c>
      <c r="C25" s="1">
        <v>0</v>
      </c>
      <c r="D25" s="1">
        <v>180</v>
      </c>
      <c r="E25" s="1">
        <v>128</v>
      </c>
      <c r="F25" s="1">
        <v>0</v>
      </c>
      <c r="G25" s="1">
        <v>0</v>
      </c>
      <c r="H25" s="1">
        <v>96</v>
      </c>
      <c r="I25" s="1">
        <v>0</v>
      </c>
      <c r="J25" s="1">
        <v>90</v>
      </c>
      <c r="K25" s="1">
        <v>0</v>
      </c>
      <c r="L25" s="1">
        <v>2896</v>
      </c>
      <c r="M25" s="1">
        <v>0</v>
      </c>
      <c r="N25" s="1">
        <v>0</v>
      </c>
      <c r="O25" s="205">
        <v>9279.4</v>
      </c>
      <c r="P25" s="7">
        <f t="shared" si="4"/>
        <v>10558.4</v>
      </c>
      <c r="Q25" s="7">
        <f t="shared" si="5"/>
        <v>19837.8</v>
      </c>
      <c r="T25" s="1"/>
      <c r="U25" s="1"/>
      <c r="V25" s="1"/>
      <c r="W25" s="1"/>
      <c r="X25" s="1"/>
      <c r="Y25" s="1"/>
      <c r="Z25" s="1"/>
      <c r="AA25" s="1"/>
      <c r="AB25" s="1"/>
      <c r="AC25" s="1"/>
      <c r="AD25" s="1"/>
      <c r="AE25" s="1"/>
      <c r="AF25" s="1"/>
      <c r="AG25" s="1"/>
      <c r="AH25" s="1"/>
      <c r="AI25" s="1"/>
    </row>
    <row r="26" spans="1:35" s="137" customFormat="1">
      <c r="A26" s="137" t="s">
        <v>175</v>
      </c>
      <c r="B26" s="251">
        <v>16423.2</v>
      </c>
      <c r="C26" s="138">
        <v>0</v>
      </c>
      <c r="D26" s="138">
        <v>180</v>
      </c>
      <c r="E26" s="138">
        <v>271</v>
      </c>
      <c r="F26" s="138">
        <v>0</v>
      </c>
      <c r="G26" s="138">
        <v>0</v>
      </c>
      <c r="H26" s="138">
        <v>96</v>
      </c>
      <c r="I26" s="138">
        <v>0</v>
      </c>
      <c r="J26" s="138">
        <v>90</v>
      </c>
      <c r="K26" s="138">
        <v>0</v>
      </c>
      <c r="L26" s="138">
        <v>7650</v>
      </c>
      <c r="M26" s="138">
        <v>0</v>
      </c>
      <c r="N26" s="1">
        <v>0</v>
      </c>
      <c r="O26" s="205">
        <v>13082</v>
      </c>
      <c r="P26" s="251">
        <f t="shared" si="4"/>
        <v>24710.2</v>
      </c>
      <c r="Q26" s="251">
        <f t="shared" si="5"/>
        <v>37792.199999999997</v>
      </c>
      <c r="R26" s="138"/>
      <c r="T26" s="1"/>
      <c r="U26" s="1"/>
      <c r="V26" s="1"/>
      <c r="W26" s="1"/>
      <c r="X26" s="1"/>
      <c r="Y26" s="1"/>
      <c r="Z26" s="1"/>
      <c r="AA26" s="1"/>
      <c r="AB26" s="1"/>
      <c r="AC26" s="1"/>
      <c r="AD26" s="1"/>
      <c r="AE26" s="1"/>
      <c r="AF26" s="1"/>
      <c r="AG26" s="1"/>
      <c r="AH26" s="1"/>
      <c r="AI26" s="1"/>
    </row>
    <row r="27" spans="1:35">
      <c r="A27" t="s">
        <v>62</v>
      </c>
      <c r="B27" s="7">
        <v>16423.2</v>
      </c>
      <c r="C27" s="1">
        <v>0</v>
      </c>
      <c r="D27" s="1">
        <v>180</v>
      </c>
      <c r="E27" s="1">
        <v>271</v>
      </c>
      <c r="F27" s="1">
        <v>0</v>
      </c>
      <c r="G27" s="1">
        <v>0</v>
      </c>
      <c r="H27" s="1">
        <v>96</v>
      </c>
      <c r="I27" s="1">
        <v>0</v>
      </c>
      <c r="J27" s="1">
        <v>90</v>
      </c>
      <c r="K27" s="1">
        <v>0</v>
      </c>
      <c r="L27" s="1">
        <v>450</v>
      </c>
      <c r="M27" s="1">
        <v>0</v>
      </c>
      <c r="N27" s="1">
        <v>0</v>
      </c>
      <c r="O27" s="205">
        <v>13082.18</v>
      </c>
      <c r="P27" s="7">
        <f t="shared" si="4"/>
        <v>17510.2</v>
      </c>
      <c r="Q27" s="7">
        <f t="shared" si="5"/>
        <v>30592.38</v>
      </c>
      <c r="T27" s="1"/>
      <c r="U27" s="1"/>
      <c r="V27" s="1"/>
      <c r="W27" s="1"/>
      <c r="X27" s="1"/>
      <c r="Y27" s="1"/>
      <c r="Z27" s="1"/>
      <c r="AA27" s="1"/>
      <c r="AB27" s="1"/>
      <c r="AC27" s="1"/>
      <c r="AD27" s="1"/>
      <c r="AE27" s="1"/>
      <c r="AF27" s="1"/>
      <c r="AG27" s="1"/>
      <c r="AH27" s="1"/>
      <c r="AI27" s="1"/>
    </row>
    <row r="28" spans="1:35">
      <c r="A28" t="s">
        <v>48</v>
      </c>
      <c r="B28" s="7">
        <v>6058.82</v>
      </c>
      <c r="C28" s="1">
        <v>0</v>
      </c>
      <c r="D28" s="1">
        <v>230</v>
      </c>
      <c r="E28" s="1">
        <v>107</v>
      </c>
      <c r="F28" s="1">
        <v>0</v>
      </c>
      <c r="G28" s="1">
        <v>0</v>
      </c>
      <c r="H28" s="1">
        <v>96</v>
      </c>
      <c r="I28" s="1">
        <v>0</v>
      </c>
      <c r="J28" s="1">
        <v>115</v>
      </c>
      <c r="K28" s="1">
        <v>0</v>
      </c>
      <c r="L28" s="1">
        <v>457</v>
      </c>
      <c r="M28" s="1">
        <v>0</v>
      </c>
      <c r="N28" s="1">
        <v>0</v>
      </c>
      <c r="O28" s="205">
        <v>8963.68</v>
      </c>
      <c r="P28" s="7">
        <f t="shared" si="4"/>
        <v>7063.82</v>
      </c>
      <c r="Q28" s="7">
        <f t="shared" si="5"/>
        <v>16027.5</v>
      </c>
      <c r="T28" s="1"/>
      <c r="U28" s="1"/>
      <c r="V28" s="1"/>
      <c r="W28" s="1"/>
      <c r="X28" s="1"/>
      <c r="Y28" s="1"/>
      <c r="Z28" s="1"/>
      <c r="AA28" s="1"/>
      <c r="AB28" s="1"/>
      <c r="AC28" s="1"/>
      <c r="AD28" s="1"/>
      <c r="AE28" s="1"/>
      <c r="AF28" s="1"/>
      <c r="AG28" s="1"/>
      <c r="AH28" s="1"/>
      <c r="AI28" s="1"/>
    </row>
    <row r="29" spans="1:35">
      <c r="A29" t="s">
        <v>49</v>
      </c>
      <c r="B29" s="7">
        <v>28418</v>
      </c>
      <c r="C29" s="1">
        <v>0</v>
      </c>
      <c r="D29" s="1">
        <v>300</v>
      </c>
      <c r="E29" s="1">
        <v>395</v>
      </c>
      <c r="F29" s="1">
        <v>0</v>
      </c>
      <c r="G29" s="1">
        <v>0</v>
      </c>
      <c r="H29" s="1">
        <v>120</v>
      </c>
      <c r="I29" s="1">
        <v>0</v>
      </c>
      <c r="J29" s="1">
        <v>150</v>
      </c>
      <c r="K29" s="1">
        <v>0</v>
      </c>
      <c r="L29" s="1">
        <v>5758</v>
      </c>
      <c r="M29" s="1">
        <v>0</v>
      </c>
      <c r="N29" s="1">
        <v>0</v>
      </c>
      <c r="O29" s="205">
        <v>28728</v>
      </c>
      <c r="P29" s="7">
        <f t="shared" si="4"/>
        <v>35141</v>
      </c>
      <c r="Q29" s="7">
        <f t="shared" si="5"/>
        <v>63869</v>
      </c>
      <c r="T29" s="1"/>
      <c r="U29" s="1"/>
      <c r="V29" s="1"/>
      <c r="W29" s="1"/>
      <c r="X29" s="1"/>
      <c r="Y29" s="1"/>
      <c r="Z29" s="1"/>
      <c r="AA29" s="1"/>
      <c r="AB29" s="1"/>
      <c r="AC29" s="1"/>
      <c r="AD29" s="1"/>
      <c r="AE29" s="1"/>
      <c r="AF29" s="1"/>
      <c r="AG29" s="1"/>
      <c r="AH29" s="1"/>
      <c r="AI29" s="1"/>
    </row>
    <row r="30" spans="1:35">
      <c r="A30" t="s">
        <v>50</v>
      </c>
      <c r="B30" s="7">
        <v>9335</v>
      </c>
      <c r="C30" s="1">
        <v>0</v>
      </c>
      <c r="D30" s="1">
        <v>180</v>
      </c>
      <c r="E30" s="1">
        <v>166</v>
      </c>
      <c r="F30" s="1">
        <v>0</v>
      </c>
      <c r="G30" s="1">
        <v>0</v>
      </c>
      <c r="H30" s="1">
        <v>96</v>
      </c>
      <c r="I30" s="1">
        <v>0</v>
      </c>
      <c r="J30" s="1">
        <v>90</v>
      </c>
      <c r="K30" s="1">
        <v>0</v>
      </c>
      <c r="L30" s="1">
        <v>460</v>
      </c>
      <c r="M30" s="1">
        <v>0</v>
      </c>
      <c r="N30" s="1">
        <v>0</v>
      </c>
      <c r="O30" s="205">
        <v>10091.459999999999</v>
      </c>
      <c r="P30" s="7">
        <f t="shared" si="4"/>
        <v>10327</v>
      </c>
      <c r="Q30" s="7">
        <f t="shared" si="5"/>
        <v>20418.46</v>
      </c>
      <c r="T30" s="1"/>
      <c r="U30" s="1"/>
      <c r="V30" s="1"/>
      <c r="W30" s="1"/>
      <c r="X30" s="1"/>
      <c r="Y30" s="1"/>
      <c r="Z30" s="1"/>
      <c r="AA30" s="1"/>
      <c r="AB30" s="1"/>
      <c r="AC30" s="1"/>
      <c r="AD30" s="1"/>
      <c r="AE30" s="1"/>
      <c r="AF30" s="1"/>
      <c r="AG30" s="1"/>
      <c r="AH30" s="1"/>
      <c r="AI30" s="1"/>
    </row>
    <row r="31" spans="1:35">
      <c r="A31" s="124" t="s">
        <v>61</v>
      </c>
      <c r="B31" s="7">
        <v>16814.400000000001</v>
      </c>
      <c r="C31" s="1">
        <v>0</v>
      </c>
      <c r="D31" s="1">
        <v>180</v>
      </c>
      <c r="E31" s="1">
        <v>166</v>
      </c>
      <c r="F31" s="1">
        <v>0</v>
      </c>
      <c r="G31" s="1">
        <v>0</v>
      </c>
      <c r="H31" s="1">
        <v>96</v>
      </c>
      <c r="I31" s="1">
        <v>0</v>
      </c>
      <c r="J31" s="1">
        <v>90</v>
      </c>
      <c r="K31" s="1">
        <v>0</v>
      </c>
      <c r="L31" s="1">
        <v>460</v>
      </c>
      <c r="M31" s="1">
        <v>0</v>
      </c>
      <c r="N31" s="1">
        <v>0</v>
      </c>
      <c r="O31" s="205">
        <v>17477.2</v>
      </c>
      <c r="P31" s="7">
        <f t="shared" si="4"/>
        <v>17806.400000000001</v>
      </c>
      <c r="Q31" s="7">
        <f t="shared" si="5"/>
        <v>35283.600000000006</v>
      </c>
      <c r="T31" s="1"/>
      <c r="U31" s="1"/>
      <c r="V31" s="1"/>
      <c r="W31" s="1"/>
      <c r="X31" s="1"/>
      <c r="Y31" s="1"/>
      <c r="Z31" s="1"/>
      <c r="AA31" s="1"/>
      <c r="AB31" s="1"/>
      <c r="AC31" s="1"/>
      <c r="AD31" s="1"/>
      <c r="AE31" s="1"/>
      <c r="AF31" s="1"/>
      <c r="AG31" s="1"/>
      <c r="AH31" s="1"/>
      <c r="AI31" s="1"/>
    </row>
    <row r="32" spans="1:35">
      <c r="A32" s="124" t="s">
        <v>51</v>
      </c>
      <c r="B32" s="7">
        <v>9335</v>
      </c>
      <c r="C32" s="1">
        <v>0</v>
      </c>
      <c r="D32" s="1">
        <v>180</v>
      </c>
      <c r="E32" s="1">
        <v>166</v>
      </c>
      <c r="F32" s="1">
        <v>0</v>
      </c>
      <c r="G32" s="1">
        <v>0</v>
      </c>
      <c r="H32" s="1">
        <v>96</v>
      </c>
      <c r="I32" s="1">
        <v>0</v>
      </c>
      <c r="J32" s="1">
        <v>90</v>
      </c>
      <c r="K32" s="1">
        <v>0</v>
      </c>
      <c r="L32" s="1">
        <v>660</v>
      </c>
      <c r="M32" s="1">
        <v>0</v>
      </c>
      <c r="N32" s="1">
        <v>0</v>
      </c>
      <c r="O32" s="205">
        <v>8401.5</v>
      </c>
      <c r="P32" s="7">
        <f t="shared" si="4"/>
        <v>10527</v>
      </c>
      <c r="Q32" s="7">
        <f t="shared" si="5"/>
        <v>18928.5</v>
      </c>
      <c r="T32" s="1"/>
      <c r="U32" s="1"/>
      <c r="V32" s="1"/>
      <c r="W32" s="1"/>
      <c r="X32" s="1"/>
      <c r="Y32" s="1"/>
      <c r="Z32" s="1"/>
      <c r="AA32" s="1"/>
      <c r="AB32" s="1"/>
      <c r="AC32" s="1"/>
      <c r="AD32" s="1"/>
      <c r="AE32" s="1"/>
      <c r="AF32" s="1"/>
      <c r="AG32" s="1"/>
      <c r="AH32" s="1"/>
      <c r="AI32" s="1"/>
    </row>
    <row r="33" spans="1:35">
      <c r="A33" s="124" t="s">
        <v>52</v>
      </c>
      <c r="B33" s="7">
        <v>8858.32</v>
      </c>
      <c r="C33" s="1">
        <v>0</v>
      </c>
      <c r="D33" s="1">
        <v>180</v>
      </c>
      <c r="E33" s="1">
        <v>166</v>
      </c>
      <c r="F33" s="1">
        <v>0</v>
      </c>
      <c r="G33" s="1">
        <v>0</v>
      </c>
      <c r="H33" s="1">
        <v>96</v>
      </c>
      <c r="I33" s="1">
        <v>0</v>
      </c>
      <c r="J33" s="1">
        <v>90</v>
      </c>
      <c r="K33" s="1">
        <v>0</v>
      </c>
      <c r="L33" s="1">
        <v>1260</v>
      </c>
      <c r="M33" s="1">
        <v>0</v>
      </c>
      <c r="N33" s="1">
        <v>0</v>
      </c>
      <c r="O33" s="205">
        <v>6643.74</v>
      </c>
      <c r="P33" s="7">
        <f t="shared" si="4"/>
        <v>10650.32</v>
      </c>
      <c r="Q33" s="7">
        <f t="shared" si="5"/>
        <v>17294.059999999998</v>
      </c>
      <c r="T33" s="1"/>
      <c r="U33" s="1"/>
      <c r="V33" s="1"/>
      <c r="W33" s="1"/>
      <c r="X33" s="1"/>
      <c r="Y33" s="1"/>
      <c r="Z33" s="1"/>
      <c r="AA33" s="1"/>
      <c r="AB33" s="1"/>
      <c r="AC33" s="1"/>
      <c r="AD33" s="1"/>
      <c r="AE33" s="1"/>
      <c r="AF33" s="1"/>
      <c r="AG33" s="1"/>
      <c r="AH33" s="1"/>
      <c r="AI33" s="1"/>
    </row>
    <row r="34" spans="1:35">
      <c r="A34" t="s">
        <v>53</v>
      </c>
      <c r="B34" s="7">
        <v>31375.45</v>
      </c>
      <c r="C34" s="1">
        <v>0</v>
      </c>
      <c r="D34" s="1">
        <v>300</v>
      </c>
      <c r="E34" s="1">
        <v>464</v>
      </c>
      <c r="F34" s="1">
        <v>0</v>
      </c>
      <c r="G34" s="1">
        <v>0</v>
      </c>
      <c r="H34" s="1">
        <v>120</v>
      </c>
      <c r="I34" s="1">
        <v>0</v>
      </c>
      <c r="J34" s="1">
        <v>150</v>
      </c>
      <c r="K34" s="1">
        <v>0</v>
      </c>
      <c r="L34" s="1">
        <v>527.5</v>
      </c>
      <c r="M34" s="1">
        <v>0</v>
      </c>
      <c r="N34" s="1">
        <v>0</v>
      </c>
      <c r="O34" s="205">
        <v>28177.34</v>
      </c>
      <c r="P34" s="7">
        <f t="shared" si="4"/>
        <v>32936.949999999997</v>
      </c>
      <c r="Q34" s="7">
        <f t="shared" si="5"/>
        <v>61114.289999999994</v>
      </c>
      <c r="T34" s="1"/>
      <c r="U34" s="1"/>
      <c r="V34" s="1"/>
      <c r="W34" s="1"/>
      <c r="X34" s="1"/>
      <c r="Y34" s="1"/>
      <c r="Z34" s="1"/>
      <c r="AA34" s="1"/>
      <c r="AB34" s="1"/>
      <c r="AC34" s="1"/>
      <c r="AD34" s="1"/>
      <c r="AE34" s="1"/>
      <c r="AF34" s="1"/>
      <c r="AG34" s="1"/>
      <c r="AH34" s="1"/>
      <c r="AI34" s="1"/>
    </row>
    <row r="35" spans="1:35">
      <c r="A35" t="s">
        <v>127</v>
      </c>
      <c r="B35" s="7">
        <v>14293.2</v>
      </c>
      <c r="C35" s="1">
        <v>0</v>
      </c>
      <c r="D35" s="1">
        <v>180</v>
      </c>
      <c r="E35" s="1">
        <v>166</v>
      </c>
      <c r="F35" s="1">
        <v>0</v>
      </c>
      <c r="G35" s="1">
        <v>0</v>
      </c>
      <c r="H35" s="1">
        <v>96</v>
      </c>
      <c r="I35" s="1">
        <v>0</v>
      </c>
      <c r="J35" s="1">
        <v>90</v>
      </c>
      <c r="K35" s="1">
        <v>0</v>
      </c>
      <c r="L35" s="1">
        <v>460</v>
      </c>
      <c r="M35" s="1">
        <v>0</v>
      </c>
      <c r="N35" s="1">
        <v>0</v>
      </c>
      <c r="O35" s="205">
        <v>15451.2</v>
      </c>
      <c r="P35" s="7">
        <f t="shared" si="4"/>
        <v>15285.2</v>
      </c>
      <c r="Q35" s="7">
        <f t="shared" si="5"/>
        <v>30736.400000000001</v>
      </c>
      <c r="T35" s="1"/>
      <c r="U35" s="1"/>
      <c r="V35" s="1"/>
      <c r="W35" s="1"/>
      <c r="X35" s="1"/>
      <c r="Y35" s="1"/>
      <c r="Z35" s="1"/>
      <c r="AA35" s="1"/>
      <c r="AB35" s="1"/>
      <c r="AC35" s="1"/>
      <c r="AD35" s="1"/>
      <c r="AE35" s="1"/>
      <c r="AF35" s="1"/>
      <c r="AG35" s="1"/>
      <c r="AH35" s="1"/>
      <c r="AI35" s="1"/>
    </row>
    <row r="36" spans="1:35">
      <c r="A36" t="s">
        <v>31</v>
      </c>
      <c r="B36" s="7">
        <v>10657.77</v>
      </c>
      <c r="C36" s="1">
        <v>0</v>
      </c>
      <c r="D36" s="1">
        <v>189</v>
      </c>
      <c r="E36" s="1">
        <v>153.30000000000001</v>
      </c>
      <c r="F36" s="1">
        <v>0</v>
      </c>
      <c r="G36" s="1">
        <v>0</v>
      </c>
      <c r="H36" s="1">
        <v>0</v>
      </c>
      <c r="I36" s="1">
        <v>0</v>
      </c>
      <c r="J36" s="1">
        <v>94.5</v>
      </c>
      <c r="K36" s="1">
        <v>0</v>
      </c>
      <c r="L36" s="1">
        <v>0</v>
      </c>
      <c r="M36" s="1">
        <v>487.21</v>
      </c>
      <c r="N36" s="1">
        <v>0</v>
      </c>
      <c r="O36" s="205">
        <v>11669.7</v>
      </c>
      <c r="P36" s="7">
        <f t="shared" si="4"/>
        <v>11581.779999999999</v>
      </c>
      <c r="Q36" s="7">
        <f t="shared" si="5"/>
        <v>23251.48</v>
      </c>
      <c r="T36" s="1"/>
      <c r="U36" s="1"/>
      <c r="V36" s="1"/>
      <c r="W36" s="1"/>
      <c r="X36" s="1"/>
      <c r="Y36" s="1"/>
      <c r="Z36" s="1"/>
      <c r="AA36" s="1"/>
      <c r="AB36" s="1"/>
      <c r="AC36" s="1"/>
      <c r="AD36" s="1"/>
      <c r="AE36" s="1"/>
      <c r="AF36" s="1"/>
      <c r="AG36" s="1"/>
      <c r="AH36" s="1"/>
      <c r="AI36" s="1"/>
    </row>
    <row r="37" spans="1:35" ht="29">
      <c r="A37" s="217" t="s">
        <v>151</v>
      </c>
      <c r="B37" s="7">
        <v>13806.46</v>
      </c>
      <c r="C37" s="1">
        <v>0</v>
      </c>
      <c r="D37" s="1">
        <v>189</v>
      </c>
      <c r="E37" s="1">
        <v>153.30000000000001</v>
      </c>
      <c r="F37" s="1">
        <v>0</v>
      </c>
      <c r="G37" s="1">
        <v>0</v>
      </c>
      <c r="H37" s="1">
        <v>0</v>
      </c>
      <c r="I37" s="1">
        <v>0</v>
      </c>
      <c r="J37" s="1">
        <v>94.5</v>
      </c>
      <c r="K37" s="1">
        <v>0</v>
      </c>
      <c r="L37" s="1">
        <v>0</v>
      </c>
      <c r="M37" s="1">
        <v>277.55</v>
      </c>
      <c r="N37" s="1">
        <v>0</v>
      </c>
      <c r="O37" s="205">
        <v>10355.1</v>
      </c>
      <c r="P37" s="7">
        <f t="shared" si="4"/>
        <v>14520.809999999998</v>
      </c>
      <c r="Q37" s="7">
        <f t="shared" ref="Q37" si="6">SUM(O37:P37)</f>
        <v>24875.909999999996</v>
      </c>
      <c r="T37" s="1"/>
      <c r="U37" s="1"/>
      <c r="V37" s="1"/>
      <c r="W37" s="1"/>
      <c r="X37" s="1"/>
      <c r="Y37" s="1"/>
      <c r="Z37" s="1"/>
      <c r="AA37" s="1"/>
      <c r="AB37" s="1"/>
      <c r="AC37" s="1"/>
      <c r="AD37" s="1"/>
      <c r="AE37" s="1"/>
      <c r="AF37" s="1"/>
      <c r="AG37" s="1"/>
      <c r="AH37" s="1"/>
      <c r="AI37" s="1"/>
    </row>
    <row r="38" spans="1:35">
      <c r="A38" t="s">
        <v>54</v>
      </c>
      <c r="B38" s="7">
        <v>15264.64</v>
      </c>
      <c r="C38" s="1">
        <v>0</v>
      </c>
      <c r="D38" s="1">
        <v>189</v>
      </c>
      <c r="E38" s="1">
        <v>153.30000000000001</v>
      </c>
      <c r="F38" s="1">
        <v>0</v>
      </c>
      <c r="G38" s="1">
        <v>0</v>
      </c>
      <c r="H38" s="1">
        <v>0</v>
      </c>
      <c r="I38" s="1">
        <v>0</v>
      </c>
      <c r="J38" s="1">
        <v>94.5</v>
      </c>
      <c r="K38" s="1">
        <v>0</v>
      </c>
      <c r="L38" s="1">
        <v>32.549999999999997</v>
      </c>
      <c r="M38" s="1">
        <v>277.20999999999998</v>
      </c>
      <c r="N38" s="1">
        <v>0</v>
      </c>
      <c r="O38" s="205">
        <v>9812.25</v>
      </c>
      <c r="P38" s="7">
        <f t="shared" si="4"/>
        <v>16011.199999999997</v>
      </c>
      <c r="Q38" s="7">
        <f t="shared" si="5"/>
        <v>25823.449999999997</v>
      </c>
      <c r="T38" s="1"/>
      <c r="U38" s="1"/>
      <c r="V38" s="1"/>
      <c r="W38" s="1"/>
      <c r="X38" s="1"/>
      <c r="Y38" s="1"/>
      <c r="Z38" s="1"/>
      <c r="AA38" s="1"/>
      <c r="AB38" s="1"/>
      <c r="AC38" s="1"/>
      <c r="AD38" s="1"/>
      <c r="AE38" s="1"/>
      <c r="AF38" s="1"/>
      <c r="AG38" s="1"/>
      <c r="AH38" s="1"/>
      <c r="AI38" s="1"/>
    </row>
    <row r="39" spans="1:35">
      <c r="A39" t="s">
        <v>55</v>
      </c>
      <c r="B39" s="7">
        <v>5453.18</v>
      </c>
      <c r="C39" s="1">
        <v>0</v>
      </c>
      <c r="D39" s="1">
        <v>0</v>
      </c>
      <c r="E39" s="1">
        <v>119.7</v>
      </c>
      <c r="F39" s="1">
        <v>0</v>
      </c>
      <c r="G39" s="1">
        <v>0</v>
      </c>
      <c r="H39" s="1">
        <v>0</v>
      </c>
      <c r="I39" s="1">
        <v>0</v>
      </c>
      <c r="J39" s="1">
        <v>0</v>
      </c>
      <c r="K39" s="1">
        <v>0</v>
      </c>
      <c r="L39" s="1">
        <v>0</v>
      </c>
      <c r="M39" s="1">
        <v>277.55</v>
      </c>
      <c r="N39" s="1">
        <v>0</v>
      </c>
      <c r="O39" s="205">
        <v>7909.12</v>
      </c>
      <c r="P39" s="7">
        <f t="shared" si="4"/>
        <v>5850.43</v>
      </c>
      <c r="Q39" s="7">
        <f t="shared" si="5"/>
        <v>13759.55</v>
      </c>
      <c r="T39" s="1"/>
      <c r="U39" s="1"/>
      <c r="V39" s="1"/>
      <c r="W39" s="1"/>
      <c r="X39" s="1"/>
      <c r="Y39" s="1"/>
      <c r="Z39" s="1"/>
      <c r="AA39" s="1"/>
      <c r="AB39" s="1"/>
      <c r="AC39" s="1"/>
      <c r="AD39" s="1"/>
      <c r="AE39" s="1"/>
      <c r="AF39" s="1"/>
      <c r="AG39" s="1"/>
      <c r="AH39" s="1"/>
      <c r="AI39" s="1"/>
    </row>
    <row r="40" spans="1:35">
      <c r="A40" s="137" t="s">
        <v>187</v>
      </c>
      <c r="B40" s="251">
        <v>10149.299999999999</v>
      </c>
      <c r="C40" s="138">
        <v>0</v>
      </c>
      <c r="D40" s="138">
        <v>0</v>
      </c>
      <c r="E40" s="138">
        <v>119.7</v>
      </c>
      <c r="F40" s="138">
        <v>0</v>
      </c>
      <c r="G40" s="138">
        <v>0</v>
      </c>
      <c r="H40" s="138">
        <v>0</v>
      </c>
      <c r="I40" s="138">
        <v>0</v>
      </c>
      <c r="J40" s="138">
        <v>0</v>
      </c>
      <c r="K40" s="138">
        <v>0</v>
      </c>
      <c r="L40" s="138">
        <v>84</v>
      </c>
      <c r="M40" s="138">
        <v>277.55</v>
      </c>
      <c r="N40" s="138">
        <v>0</v>
      </c>
      <c r="O40" s="205">
        <v>15750</v>
      </c>
      <c r="P40" s="251">
        <f t="shared" si="4"/>
        <v>10630.55</v>
      </c>
      <c r="Q40" s="251">
        <f t="shared" si="5"/>
        <v>26380.55</v>
      </c>
      <c r="T40" s="1"/>
      <c r="U40" s="1"/>
      <c r="V40" s="1"/>
      <c r="W40" s="1"/>
      <c r="X40" s="1"/>
      <c r="Y40" s="1"/>
      <c r="Z40" s="1"/>
      <c r="AA40" s="1"/>
      <c r="AB40" s="1"/>
      <c r="AC40" s="1"/>
      <c r="AD40" s="1"/>
      <c r="AE40" s="1"/>
      <c r="AF40" s="1"/>
      <c r="AG40" s="1"/>
      <c r="AH40" s="1"/>
      <c r="AI40" s="1"/>
    </row>
    <row r="41" spans="1:35">
      <c r="A41" t="s">
        <v>56</v>
      </c>
      <c r="B41" s="7">
        <v>30021.3</v>
      </c>
      <c r="C41" s="1">
        <v>0</v>
      </c>
      <c r="D41" s="1">
        <v>0</v>
      </c>
      <c r="E41" s="1">
        <v>422</v>
      </c>
      <c r="F41" s="1">
        <v>0</v>
      </c>
      <c r="G41" s="1">
        <v>0</v>
      </c>
      <c r="H41" s="1">
        <v>0</v>
      </c>
      <c r="I41" s="1">
        <v>0</v>
      </c>
      <c r="J41" s="1">
        <v>0</v>
      </c>
      <c r="K41" s="1">
        <v>0</v>
      </c>
      <c r="L41" s="1">
        <v>104.05</v>
      </c>
      <c r="M41" s="1">
        <v>293.05</v>
      </c>
      <c r="N41" s="1">
        <v>0</v>
      </c>
      <c r="O41" s="205">
        <v>33413.1</v>
      </c>
      <c r="P41" s="7">
        <f t="shared" si="4"/>
        <v>30840.399999999998</v>
      </c>
      <c r="Q41" s="7">
        <f t="shared" si="5"/>
        <v>64253.5</v>
      </c>
      <c r="T41" s="1"/>
      <c r="U41" s="1"/>
      <c r="V41" s="1"/>
      <c r="W41" s="1"/>
      <c r="X41" s="1"/>
      <c r="Y41" s="1"/>
      <c r="Z41" s="1"/>
      <c r="AA41" s="1"/>
      <c r="AB41" s="1"/>
      <c r="AC41" s="1"/>
      <c r="AD41" s="1"/>
      <c r="AE41" s="1"/>
      <c r="AF41" s="1"/>
      <c r="AG41" s="1"/>
      <c r="AH41" s="1"/>
      <c r="AI41" s="1"/>
    </row>
    <row r="42" spans="1:35">
      <c r="A42" s="137" t="s">
        <v>186</v>
      </c>
      <c r="B42" s="251">
        <v>13150.2</v>
      </c>
      <c r="C42" s="138">
        <v>0</v>
      </c>
      <c r="D42" s="138">
        <v>189</v>
      </c>
      <c r="E42" s="138">
        <v>153.30000000000001</v>
      </c>
      <c r="F42" s="138">
        <v>0</v>
      </c>
      <c r="G42" s="138">
        <v>0</v>
      </c>
      <c r="H42" s="138">
        <v>0</v>
      </c>
      <c r="I42" s="138">
        <v>0</v>
      </c>
      <c r="J42" s="138">
        <v>94.5</v>
      </c>
      <c r="K42" s="138">
        <v>0</v>
      </c>
      <c r="L42" s="138">
        <v>0</v>
      </c>
      <c r="M42" s="138">
        <v>277.20999999999998</v>
      </c>
      <c r="N42" s="138">
        <v>0</v>
      </c>
      <c r="O42" s="205">
        <v>9862.65</v>
      </c>
      <c r="P42" s="251">
        <f t="shared" si="4"/>
        <v>13864.21</v>
      </c>
      <c r="Q42" s="251">
        <f t="shared" ref="Q42:Q43" si="7">SUM(O42:P42)</f>
        <v>23726.86</v>
      </c>
      <c r="T42" s="1"/>
      <c r="U42" s="1"/>
      <c r="V42" s="1"/>
      <c r="W42" s="1"/>
      <c r="X42" s="1"/>
      <c r="Y42" s="1"/>
      <c r="Z42" s="1"/>
      <c r="AA42" s="1"/>
      <c r="AB42" s="1"/>
      <c r="AC42" s="1"/>
      <c r="AD42" s="1"/>
      <c r="AE42" s="1"/>
      <c r="AF42" s="1"/>
      <c r="AG42" s="1"/>
      <c r="AH42" s="1"/>
      <c r="AI42" s="1"/>
    </row>
    <row r="43" spans="1:35" s="192" customFormat="1" ht="29" hidden="1">
      <c r="A43" s="218" t="s">
        <v>190</v>
      </c>
      <c r="B43" s="251"/>
      <c r="C43" s="138"/>
      <c r="D43" s="138"/>
      <c r="E43" s="138"/>
      <c r="F43" s="138"/>
      <c r="G43" s="138"/>
      <c r="H43" s="138"/>
      <c r="I43" s="138"/>
      <c r="J43" s="138"/>
      <c r="K43" s="138"/>
      <c r="L43" s="138"/>
      <c r="M43" s="138"/>
      <c r="N43" s="138">
        <v>0</v>
      </c>
      <c r="O43" s="138"/>
      <c r="P43" s="251">
        <f t="shared" si="4"/>
        <v>0</v>
      </c>
      <c r="Q43" s="251">
        <f t="shared" si="7"/>
        <v>0</v>
      </c>
      <c r="R43" s="193"/>
      <c r="T43" s="193"/>
      <c r="U43" s="193"/>
      <c r="V43" s="193"/>
      <c r="W43" s="193"/>
      <c r="X43" s="193"/>
      <c r="Y43" s="193"/>
      <c r="Z43" s="193"/>
      <c r="AA43" s="193"/>
      <c r="AB43" s="193"/>
      <c r="AC43" s="193"/>
      <c r="AD43" s="193"/>
      <c r="AE43" s="193"/>
      <c r="AF43" s="193"/>
      <c r="AG43" s="193"/>
      <c r="AH43" s="193"/>
      <c r="AI43" s="193"/>
    </row>
    <row r="44" spans="1:35">
      <c r="A44" s="124" t="s">
        <v>57</v>
      </c>
      <c r="B44" s="7">
        <v>13143.369999999999</v>
      </c>
      <c r="C44" s="1">
        <v>0</v>
      </c>
      <c r="D44" s="1">
        <v>189</v>
      </c>
      <c r="E44" s="1">
        <v>153.30000000000001</v>
      </c>
      <c r="F44" s="1">
        <v>0</v>
      </c>
      <c r="G44" s="1">
        <v>0</v>
      </c>
      <c r="H44" s="1">
        <v>0</v>
      </c>
      <c r="I44" s="1">
        <v>0</v>
      </c>
      <c r="J44" s="1">
        <v>94.5</v>
      </c>
      <c r="K44" s="1">
        <v>0</v>
      </c>
      <c r="L44" s="1">
        <v>32.549999999999997</v>
      </c>
      <c r="M44" s="1">
        <v>277.20999999999998</v>
      </c>
      <c r="N44" s="1">
        <v>0</v>
      </c>
      <c r="O44" s="205">
        <v>10227</v>
      </c>
      <c r="P44" s="7">
        <f t="shared" si="4"/>
        <v>13889.929999999997</v>
      </c>
      <c r="Q44" s="7">
        <f t="shared" si="5"/>
        <v>24116.929999999997</v>
      </c>
      <c r="T44" s="1"/>
      <c r="U44" s="1"/>
      <c r="V44" s="1"/>
      <c r="W44" s="1"/>
      <c r="X44" s="1"/>
      <c r="Y44" s="1"/>
      <c r="Z44" s="1"/>
      <c r="AA44" s="1"/>
      <c r="AB44" s="1"/>
      <c r="AC44" s="1"/>
      <c r="AD44" s="1"/>
      <c r="AE44" s="1"/>
      <c r="AF44" s="1"/>
      <c r="AG44" s="1"/>
      <c r="AH44" s="1"/>
      <c r="AI44" s="1"/>
    </row>
    <row r="45" spans="1:35">
      <c r="A45" s="212" t="s">
        <v>32</v>
      </c>
      <c r="B45" s="253"/>
      <c r="C45" s="213"/>
      <c r="D45" s="213"/>
      <c r="E45" s="213"/>
      <c r="F45" s="213"/>
      <c r="G45" s="213"/>
      <c r="H45" s="213"/>
      <c r="I45" s="213"/>
      <c r="J45" s="213"/>
      <c r="K45" s="213"/>
      <c r="L45" s="213"/>
      <c r="M45" s="213"/>
      <c r="N45" s="213"/>
      <c r="O45" s="214"/>
      <c r="P45" s="252"/>
      <c r="Q45" s="253"/>
      <c r="T45" s="1"/>
      <c r="U45" s="1"/>
      <c r="V45" s="1"/>
      <c r="W45" s="1"/>
      <c r="X45" s="1"/>
      <c r="Y45" s="1"/>
      <c r="Z45" s="1"/>
      <c r="AA45" s="1"/>
      <c r="AB45" s="1"/>
      <c r="AC45" s="1"/>
      <c r="AD45" s="1"/>
      <c r="AE45" s="1"/>
      <c r="AF45" s="1"/>
      <c r="AG45" s="1"/>
      <c r="AH45" s="1"/>
      <c r="AI45" s="1"/>
    </row>
    <row r="46" spans="1:35" ht="16.5">
      <c r="A46" t="s">
        <v>176</v>
      </c>
      <c r="B46" s="7">
        <v>5336</v>
      </c>
      <c r="C46" s="1">
        <v>259</v>
      </c>
      <c r="D46" s="1">
        <v>180</v>
      </c>
      <c r="E46" s="1">
        <v>124</v>
      </c>
      <c r="F46" s="1">
        <v>50</v>
      </c>
      <c r="G46" s="1">
        <v>23.04</v>
      </c>
      <c r="H46" s="1">
        <v>48.96</v>
      </c>
      <c r="I46" s="1">
        <v>477</v>
      </c>
      <c r="J46" s="1">
        <v>90</v>
      </c>
      <c r="K46" s="1">
        <v>72</v>
      </c>
      <c r="L46" s="1">
        <v>2933</v>
      </c>
      <c r="M46" s="1">
        <v>1173</v>
      </c>
      <c r="N46" s="1">
        <v>0</v>
      </c>
      <c r="O46" s="205">
        <v>6446</v>
      </c>
      <c r="P46" s="7">
        <f>SUM(B46:N46)</f>
        <v>10766</v>
      </c>
      <c r="Q46" s="7">
        <f t="shared" ref="Q46:Q48" si="8">SUM(O46:P46)</f>
        <v>17212</v>
      </c>
      <c r="T46" s="1"/>
      <c r="U46" s="1"/>
      <c r="V46" s="1"/>
      <c r="W46" s="1"/>
      <c r="X46" s="1"/>
      <c r="Y46" s="1"/>
      <c r="Z46" s="1"/>
      <c r="AA46" s="1"/>
      <c r="AB46" s="1"/>
      <c r="AC46" s="1"/>
      <c r="AD46" s="1"/>
      <c r="AE46" s="1"/>
      <c r="AF46" s="1"/>
      <c r="AG46" s="1"/>
      <c r="AH46" s="1"/>
      <c r="AI46" s="1"/>
    </row>
    <row r="47" spans="1:35" ht="16.5">
      <c r="A47" t="s">
        <v>177</v>
      </c>
      <c r="B47" s="7">
        <v>6024</v>
      </c>
      <c r="C47" s="1">
        <v>0</v>
      </c>
      <c r="D47" s="1">
        <v>180</v>
      </c>
      <c r="E47" s="1">
        <v>136</v>
      </c>
      <c r="F47" s="1">
        <v>80</v>
      </c>
      <c r="G47" s="1">
        <v>72</v>
      </c>
      <c r="H47" s="1">
        <v>519</v>
      </c>
      <c r="I47" s="1">
        <v>0</v>
      </c>
      <c r="J47" s="1">
        <v>126</v>
      </c>
      <c r="K47" s="1">
        <v>72</v>
      </c>
      <c r="L47" s="1">
        <v>2968</v>
      </c>
      <c r="M47" s="1">
        <v>726</v>
      </c>
      <c r="N47" s="1">
        <v>0</v>
      </c>
      <c r="O47" s="205">
        <v>6942</v>
      </c>
      <c r="P47" s="7">
        <f>SUM(B47:N47)</f>
        <v>10903</v>
      </c>
      <c r="Q47" s="7">
        <f t="shared" si="8"/>
        <v>17845</v>
      </c>
      <c r="T47" s="1"/>
      <c r="U47" s="1"/>
      <c r="V47" s="1"/>
      <c r="W47" s="1"/>
      <c r="X47" s="1"/>
      <c r="Y47" s="1"/>
      <c r="Z47" s="1"/>
      <c r="AA47" s="1"/>
      <c r="AB47" s="1"/>
      <c r="AC47" s="1"/>
      <c r="AD47" s="1"/>
      <c r="AE47" s="1"/>
      <c r="AF47" s="1"/>
      <c r="AG47" s="1"/>
      <c r="AH47" s="1"/>
      <c r="AI47" s="1"/>
    </row>
    <row r="48" spans="1:35">
      <c r="A48" t="s">
        <v>193</v>
      </c>
      <c r="B48" s="7">
        <v>10484</v>
      </c>
      <c r="C48" s="1">
        <v>1596</v>
      </c>
      <c r="D48" s="1">
        <v>180</v>
      </c>
      <c r="E48" s="1">
        <v>172</v>
      </c>
      <c r="F48" s="1">
        <v>50</v>
      </c>
      <c r="G48" s="1">
        <v>20</v>
      </c>
      <c r="H48" s="1">
        <v>52</v>
      </c>
      <c r="I48" s="1">
        <v>0</v>
      </c>
      <c r="J48" s="1">
        <v>90</v>
      </c>
      <c r="K48" s="1">
        <v>72</v>
      </c>
      <c r="L48" s="1">
        <v>3301</v>
      </c>
      <c r="M48" s="1">
        <v>379</v>
      </c>
      <c r="N48" s="1">
        <v>0</v>
      </c>
      <c r="O48" s="205">
        <v>15000</v>
      </c>
      <c r="P48" s="7">
        <f>SUM(B48:N48)</f>
        <v>16396</v>
      </c>
      <c r="Q48" s="7">
        <f t="shared" si="8"/>
        <v>31396</v>
      </c>
      <c r="T48" s="1"/>
      <c r="U48" s="1"/>
      <c r="V48" s="1"/>
      <c r="W48" s="1"/>
      <c r="X48" s="1"/>
      <c r="Y48" s="1"/>
      <c r="Z48" s="1"/>
      <c r="AA48" s="1"/>
      <c r="AB48" s="1"/>
      <c r="AC48" s="1"/>
      <c r="AD48" s="1"/>
      <c r="AE48" s="1"/>
      <c r="AF48" s="1"/>
      <c r="AG48" s="1"/>
      <c r="AH48" s="1"/>
      <c r="AI48" s="1"/>
    </row>
    <row r="49" spans="1:17">
      <c r="A49" t="s">
        <v>194</v>
      </c>
      <c r="B49" s="7">
        <v>10484</v>
      </c>
      <c r="C49" s="1">
        <v>400</v>
      </c>
      <c r="D49" s="1">
        <v>180</v>
      </c>
      <c r="E49" s="1">
        <v>172</v>
      </c>
      <c r="F49" s="1">
        <v>50</v>
      </c>
      <c r="G49" s="1">
        <v>20</v>
      </c>
      <c r="H49" s="1">
        <v>52</v>
      </c>
      <c r="I49" s="1">
        <v>0</v>
      </c>
      <c r="J49" s="1">
        <v>90</v>
      </c>
      <c r="K49" s="1">
        <v>72</v>
      </c>
      <c r="L49" s="1">
        <v>3301</v>
      </c>
      <c r="M49" s="1">
        <v>379</v>
      </c>
      <c r="N49" s="1">
        <v>0</v>
      </c>
      <c r="O49" s="205">
        <v>15000</v>
      </c>
      <c r="P49" s="7">
        <f>SUM(B49:N49)</f>
        <v>15200</v>
      </c>
      <c r="Q49" s="7">
        <f t="shared" ref="Q49:Q50" si="9">SUM(O49:P49)</f>
        <v>30200</v>
      </c>
    </row>
    <row r="50" spans="1:17">
      <c r="A50" t="s">
        <v>195</v>
      </c>
      <c r="B50" s="7">
        <v>10484</v>
      </c>
      <c r="C50" s="1">
        <v>400</v>
      </c>
      <c r="D50" s="1">
        <v>180</v>
      </c>
      <c r="E50" s="1">
        <v>172</v>
      </c>
      <c r="F50" s="1">
        <v>50</v>
      </c>
      <c r="G50" s="1">
        <v>20</v>
      </c>
      <c r="H50" s="1">
        <v>52</v>
      </c>
      <c r="I50" s="1">
        <v>0</v>
      </c>
      <c r="J50" s="1">
        <v>90</v>
      </c>
      <c r="K50" s="1">
        <v>72</v>
      </c>
      <c r="L50" s="1">
        <v>3301</v>
      </c>
      <c r="M50" s="1">
        <v>379</v>
      </c>
      <c r="N50" s="1">
        <v>0</v>
      </c>
      <c r="O50" s="205">
        <v>15000</v>
      </c>
      <c r="P50" s="7">
        <f>SUM(B50:N50)</f>
        <v>15200</v>
      </c>
      <c r="Q50" s="7">
        <f t="shared" si="9"/>
        <v>30200</v>
      </c>
    </row>
    <row r="52" spans="1:17">
      <c r="A52" s="144" t="s">
        <v>173</v>
      </c>
    </row>
    <row r="53" spans="1:17">
      <c r="A53" s="144" t="s">
        <v>174</v>
      </c>
    </row>
    <row r="54" spans="1:17">
      <c r="A54" s="144" t="s">
        <v>441</v>
      </c>
    </row>
  </sheetData>
  <phoneticPr fontId="2" type="noConversion"/>
  <pageMargins left="0.7" right="0.7" top="0.75" bottom="0.75" header="0.3" footer="0.3"/>
  <pageSetup paperSize="5" scale="66" orientation="landscape" r:id="rId1"/>
  <ignoredErrors>
    <ignoredError sqref="P46:P47 P44 P24:P36 P16 P21:P22 P38:P39 P41 P6:P14"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H55"/>
  <sheetViews>
    <sheetView zoomScaleNormal="100" workbookViewId="0">
      <pane xSplit="1" ySplit="4" topLeftCell="B14" activePane="bottomRight" state="frozen"/>
      <selection activeCell="A2" sqref="A2"/>
      <selection pane="topRight" activeCell="A2" sqref="A2"/>
      <selection pane="bottomLeft" activeCell="A2" sqref="A2"/>
      <selection pane="bottomRight" activeCell="K22" sqref="K22"/>
    </sheetView>
  </sheetViews>
  <sheetFormatPr defaultRowHeight="14.5"/>
  <cols>
    <col min="1" max="1" width="32.7265625" customWidth="1"/>
    <col min="2" max="2" width="10.81640625" style="7" customWidth="1"/>
    <col min="3" max="3" width="10.81640625" style="1" customWidth="1"/>
    <col min="4" max="4" width="10.54296875" style="1" customWidth="1"/>
    <col min="5" max="5" width="11.453125" style="1" customWidth="1"/>
    <col min="6" max="6" width="13.453125" style="1" customWidth="1"/>
    <col min="7" max="9" width="10.1796875" style="1" customWidth="1"/>
    <col min="10" max="10" width="12.1796875" style="1" customWidth="1"/>
    <col min="11" max="11" width="10.81640625" style="1" customWidth="1"/>
    <col min="12" max="12" width="10.453125" style="1" customWidth="1"/>
    <col min="13" max="14" width="11.81640625" style="1" customWidth="1"/>
    <col min="15" max="15" width="11" style="1" customWidth="1"/>
    <col min="16" max="16" width="10.1796875" style="7" bestFit="1" customWidth="1"/>
    <col min="17" max="17" width="10.26953125" style="7" bestFit="1" customWidth="1"/>
    <col min="18" max="18" width="2.81640625" style="1" customWidth="1"/>
  </cols>
  <sheetData>
    <row r="1" spans="1:34" s="5" customFormat="1">
      <c r="A1" s="5" t="s">
        <v>201</v>
      </c>
      <c r="B1" s="81"/>
      <c r="C1" s="6"/>
      <c r="D1" s="6"/>
      <c r="E1" s="6"/>
      <c r="F1" s="6"/>
      <c r="G1" s="6"/>
      <c r="H1" s="6"/>
      <c r="I1" s="6"/>
      <c r="J1" s="6"/>
      <c r="K1" s="6"/>
      <c r="L1" s="6"/>
      <c r="M1" s="6"/>
      <c r="N1" s="6"/>
      <c r="O1" s="6"/>
      <c r="P1" s="81"/>
      <c r="Q1" s="81"/>
      <c r="R1" s="6"/>
    </row>
    <row r="2" spans="1:34" s="5" customFormat="1">
      <c r="A2" s="5" t="s">
        <v>64</v>
      </c>
      <c r="B2" s="81"/>
      <c r="C2" s="6"/>
      <c r="D2" s="6"/>
      <c r="E2" s="6"/>
      <c r="F2" s="6"/>
      <c r="G2" s="6"/>
      <c r="H2" s="6"/>
      <c r="I2" s="6"/>
      <c r="J2" s="6"/>
      <c r="K2" s="6"/>
      <c r="L2" s="6"/>
      <c r="M2" s="6"/>
      <c r="N2" s="6"/>
      <c r="O2" s="6"/>
      <c r="P2" s="81"/>
      <c r="Q2" s="81"/>
      <c r="R2" s="6"/>
    </row>
    <row r="4" spans="1:34" s="4" customFormat="1" ht="72.5">
      <c r="A4" s="2" t="s">
        <v>0</v>
      </c>
      <c r="B4" s="249" t="s">
        <v>1</v>
      </c>
      <c r="C4" s="3" t="s">
        <v>121</v>
      </c>
      <c r="D4" s="3" t="s">
        <v>2</v>
      </c>
      <c r="E4" s="3" t="s">
        <v>3</v>
      </c>
      <c r="F4" s="3" t="s">
        <v>124</v>
      </c>
      <c r="G4" s="3" t="s">
        <v>5</v>
      </c>
      <c r="H4" s="3" t="s">
        <v>67</v>
      </c>
      <c r="I4" s="3" t="s">
        <v>125</v>
      </c>
      <c r="J4" s="3" t="s">
        <v>6</v>
      </c>
      <c r="K4" s="3" t="s">
        <v>7</v>
      </c>
      <c r="L4" s="3" t="s">
        <v>8</v>
      </c>
      <c r="M4" s="3" t="s">
        <v>9</v>
      </c>
      <c r="N4" s="3" t="s">
        <v>59</v>
      </c>
      <c r="O4" s="203" t="s">
        <v>10</v>
      </c>
      <c r="P4" s="249" t="s">
        <v>19</v>
      </c>
      <c r="Q4" s="249" t="s">
        <v>20</v>
      </c>
      <c r="R4" s="3"/>
      <c r="S4" s="3"/>
      <c r="T4" s="3"/>
      <c r="U4" s="3"/>
      <c r="V4" s="3"/>
      <c r="W4" s="3"/>
      <c r="X4" s="3"/>
      <c r="Y4" s="3"/>
      <c r="Z4" s="3"/>
      <c r="AA4" s="3"/>
      <c r="AB4" s="3"/>
      <c r="AC4" s="3"/>
      <c r="AD4" s="3"/>
      <c r="AE4" s="3"/>
      <c r="AF4" s="3"/>
      <c r="AG4" s="3"/>
      <c r="AH4" s="3"/>
    </row>
    <row r="5" spans="1:34" s="125" customFormat="1">
      <c r="A5" s="209" t="s">
        <v>22</v>
      </c>
      <c r="B5" s="252"/>
      <c r="C5" s="210"/>
      <c r="D5" s="210"/>
      <c r="E5" s="210"/>
      <c r="F5" s="210"/>
      <c r="G5" s="210"/>
      <c r="H5" s="210"/>
      <c r="I5" s="210"/>
      <c r="J5" s="210"/>
      <c r="K5" s="210"/>
      <c r="L5" s="210"/>
      <c r="M5" s="210"/>
      <c r="N5" s="210"/>
      <c r="O5" s="211"/>
      <c r="P5" s="252"/>
      <c r="Q5" s="252"/>
      <c r="R5" s="126"/>
    </row>
    <row r="6" spans="1:34">
      <c r="A6" t="s">
        <v>12</v>
      </c>
      <c r="B6" s="7">
        <v>5365.5</v>
      </c>
      <c r="C6" s="1">
        <v>406.76</v>
      </c>
      <c r="D6" s="1">
        <v>207</v>
      </c>
      <c r="E6" s="1">
        <v>114</v>
      </c>
      <c r="F6" s="1">
        <v>51.76</v>
      </c>
      <c r="G6" s="1">
        <v>22.78</v>
      </c>
      <c r="H6" s="1">
        <v>82.8</v>
      </c>
      <c r="I6" s="1">
        <v>0</v>
      </c>
      <c r="J6" s="1">
        <v>104</v>
      </c>
      <c r="K6" s="1">
        <v>208</v>
      </c>
      <c r="L6" s="1">
        <v>422.28</v>
      </c>
      <c r="M6" s="1">
        <v>840.42</v>
      </c>
      <c r="N6" s="1">
        <v>0</v>
      </c>
      <c r="O6" s="205">
        <v>9023</v>
      </c>
      <c r="P6" s="7">
        <f t="shared" ref="P6:P17" si="0">SUM(B6:N6)</f>
        <v>7825.3</v>
      </c>
      <c r="Q6" s="7">
        <f t="shared" ref="Q6:Q17" si="1">SUM(O6:P6)</f>
        <v>16848.3</v>
      </c>
      <c r="S6" s="1"/>
      <c r="T6" s="1"/>
      <c r="U6" s="1"/>
      <c r="V6" s="1"/>
      <c r="W6" s="1"/>
      <c r="X6" s="1"/>
      <c r="Y6" s="1"/>
      <c r="Z6" s="1"/>
      <c r="AA6" s="1"/>
      <c r="AB6" s="1"/>
      <c r="AC6" s="1"/>
      <c r="AD6" s="1"/>
      <c r="AE6" s="1"/>
      <c r="AF6" s="1"/>
      <c r="AG6" s="1"/>
      <c r="AH6" s="1"/>
    </row>
    <row r="7" spans="1:34">
      <c r="A7" t="s">
        <v>13</v>
      </c>
      <c r="B7" s="7">
        <f>5136+130</f>
        <v>5266</v>
      </c>
      <c r="C7" s="1">
        <v>1929</v>
      </c>
      <c r="D7" s="1">
        <v>200</v>
      </c>
      <c r="E7" s="1">
        <v>115</v>
      </c>
      <c r="F7" s="1">
        <v>36.659999999999997</v>
      </c>
      <c r="G7" s="1">
        <v>37</v>
      </c>
      <c r="H7" s="1">
        <v>80</v>
      </c>
      <c r="I7" s="1">
        <v>0</v>
      </c>
      <c r="J7" s="1">
        <v>100</v>
      </c>
      <c r="K7" s="1">
        <v>200</v>
      </c>
      <c r="L7" s="1">
        <v>1051.3800000000001</v>
      </c>
      <c r="M7" s="1">
        <v>321.89999999999998</v>
      </c>
      <c r="N7" s="1">
        <v>0</v>
      </c>
      <c r="O7" s="205">
        <v>5405</v>
      </c>
      <c r="P7" s="7">
        <f t="shared" si="0"/>
        <v>9336.94</v>
      </c>
      <c r="Q7" s="7">
        <f t="shared" si="1"/>
        <v>14741.94</v>
      </c>
      <c r="S7" s="1"/>
      <c r="T7" s="1"/>
      <c r="U7" s="1"/>
      <c r="V7" s="1"/>
      <c r="W7" s="1"/>
      <c r="X7" s="1"/>
      <c r="Y7" s="1"/>
      <c r="Z7" s="1"/>
      <c r="AA7" s="1"/>
      <c r="AB7" s="1"/>
      <c r="AC7" s="1"/>
      <c r="AD7" s="1"/>
      <c r="AE7" s="1"/>
      <c r="AF7" s="1"/>
      <c r="AG7" s="1"/>
      <c r="AH7" s="1"/>
    </row>
    <row r="8" spans="1:34">
      <c r="A8" t="s">
        <v>14</v>
      </c>
      <c r="B8" s="7">
        <v>5702.74</v>
      </c>
      <c r="C8" s="1">
        <v>1692.76</v>
      </c>
      <c r="D8" s="1">
        <v>180</v>
      </c>
      <c r="E8" s="1">
        <v>118</v>
      </c>
      <c r="F8" s="1">
        <v>50</v>
      </c>
      <c r="G8" s="1">
        <v>20</v>
      </c>
      <c r="H8" s="1">
        <v>96</v>
      </c>
      <c r="I8" s="1">
        <v>0</v>
      </c>
      <c r="J8" s="1">
        <v>100</v>
      </c>
      <c r="K8" s="1">
        <v>200</v>
      </c>
      <c r="L8" s="1">
        <v>240</v>
      </c>
      <c r="M8" s="1">
        <v>854</v>
      </c>
      <c r="N8" s="1">
        <v>0</v>
      </c>
      <c r="O8" s="205">
        <v>2000</v>
      </c>
      <c r="P8" s="7">
        <f t="shared" si="0"/>
        <v>9253.5</v>
      </c>
      <c r="Q8" s="7">
        <f t="shared" si="1"/>
        <v>11253.5</v>
      </c>
      <c r="S8" s="1"/>
      <c r="T8" s="1"/>
      <c r="U8" s="1"/>
      <c r="V8" s="1"/>
      <c r="W8" s="1"/>
      <c r="X8" s="1"/>
      <c r="Y8" s="1"/>
      <c r="Z8" s="1"/>
      <c r="AA8" s="1"/>
      <c r="AB8" s="1"/>
      <c r="AC8" s="1"/>
      <c r="AD8" s="1"/>
      <c r="AE8" s="1"/>
      <c r="AF8" s="1"/>
      <c r="AG8" s="1"/>
      <c r="AH8" s="1"/>
    </row>
    <row r="9" spans="1:34">
      <c r="A9" t="s">
        <v>15</v>
      </c>
      <c r="B9" s="7">
        <v>5685.6</v>
      </c>
      <c r="C9" s="1">
        <f>1211.94+54.26</f>
        <v>1266.2</v>
      </c>
      <c r="D9" s="1">
        <v>200</v>
      </c>
      <c r="E9" s="1">
        <v>100</v>
      </c>
      <c r="F9" s="1">
        <v>50</v>
      </c>
      <c r="G9" s="1">
        <v>20</v>
      </c>
      <c r="H9" s="1">
        <v>96</v>
      </c>
      <c r="I9" s="1">
        <v>0</v>
      </c>
      <c r="J9" s="1">
        <v>100</v>
      </c>
      <c r="K9" s="1">
        <v>130</v>
      </c>
      <c r="L9" s="1">
        <v>414.2</v>
      </c>
      <c r="M9" s="1">
        <v>970</v>
      </c>
      <c r="N9" s="1">
        <v>0</v>
      </c>
      <c r="O9" s="205">
        <v>1093.2</v>
      </c>
      <c r="P9" s="7">
        <f t="shared" si="0"/>
        <v>9032</v>
      </c>
      <c r="Q9" s="7">
        <f t="shared" si="1"/>
        <v>10125.200000000001</v>
      </c>
      <c r="S9" s="1"/>
      <c r="T9" s="1"/>
      <c r="U9" s="1"/>
      <c r="V9" s="1"/>
      <c r="W9" s="1"/>
      <c r="X9" s="1"/>
      <c r="Y9" s="1"/>
      <c r="Z9" s="1"/>
      <c r="AA9" s="1"/>
      <c r="AB9" s="1"/>
      <c r="AC9" s="1"/>
      <c r="AD9" s="1"/>
      <c r="AE9" s="1"/>
      <c r="AF9" s="1"/>
      <c r="AG9" s="1"/>
      <c r="AH9" s="1"/>
    </row>
    <row r="10" spans="1:34">
      <c r="A10" t="s">
        <v>16</v>
      </c>
      <c r="B10" s="7">
        <v>5738</v>
      </c>
      <c r="C10" s="1">
        <f>2024+640</f>
        <v>2664</v>
      </c>
      <c r="D10" s="1">
        <v>200</v>
      </c>
      <c r="E10" s="1">
        <v>124</v>
      </c>
      <c r="F10" s="1">
        <v>50</v>
      </c>
      <c r="G10" s="1">
        <v>20</v>
      </c>
      <c r="H10" s="1">
        <v>96</v>
      </c>
      <c r="I10" s="1">
        <v>210</v>
      </c>
      <c r="J10" s="1">
        <v>100</v>
      </c>
      <c r="K10" s="1">
        <v>0</v>
      </c>
      <c r="L10" s="1">
        <v>596</v>
      </c>
      <c r="M10" s="1">
        <v>608</v>
      </c>
      <c r="N10" s="1">
        <v>0</v>
      </c>
      <c r="O10" s="205">
        <v>10788</v>
      </c>
      <c r="P10" s="7">
        <f t="shared" si="0"/>
        <v>10406</v>
      </c>
      <c r="Q10" s="7">
        <f t="shared" si="1"/>
        <v>21194</v>
      </c>
      <c r="S10" s="1"/>
      <c r="T10" s="1"/>
      <c r="U10" s="1"/>
      <c r="V10" s="1"/>
      <c r="W10" s="1"/>
      <c r="X10" s="1"/>
      <c r="Y10" s="1"/>
      <c r="Z10" s="1"/>
      <c r="AA10" s="1"/>
      <c r="AB10" s="1"/>
      <c r="AC10" s="1"/>
      <c r="AD10" s="1"/>
      <c r="AE10" s="1"/>
      <c r="AF10" s="1"/>
      <c r="AG10" s="1"/>
      <c r="AH10" s="1"/>
    </row>
    <row r="11" spans="1:34">
      <c r="A11" t="s">
        <v>17</v>
      </c>
      <c r="B11" s="7">
        <v>6684</v>
      </c>
      <c r="C11" s="1">
        <f>490+180</f>
        <v>670</v>
      </c>
      <c r="D11" s="1">
        <v>200</v>
      </c>
      <c r="E11" s="1">
        <v>115</v>
      </c>
      <c r="F11" s="1">
        <v>50</v>
      </c>
      <c r="G11" s="1">
        <v>20</v>
      </c>
      <c r="H11" s="1">
        <v>80</v>
      </c>
      <c r="I11" s="1">
        <v>0</v>
      </c>
      <c r="J11" s="1">
        <v>100</v>
      </c>
      <c r="K11" s="1">
        <v>200</v>
      </c>
      <c r="L11" s="1">
        <v>1144</v>
      </c>
      <c r="M11" s="1">
        <v>519</v>
      </c>
      <c r="N11" s="1">
        <v>0</v>
      </c>
      <c r="O11" s="205">
        <v>12478</v>
      </c>
      <c r="P11" s="7">
        <f t="shared" si="0"/>
        <v>9782</v>
      </c>
      <c r="Q11" s="7">
        <f t="shared" si="1"/>
        <v>22260</v>
      </c>
      <c r="S11" s="1"/>
      <c r="T11" s="1"/>
      <c r="U11" s="1"/>
      <c r="V11" s="1"/>
      <c r="W11" s="1"/>
      <c r="X11" s="1"/>
      <c r="Y11" s="1"/>
      <c r="Z11" s="1"/>
      <c r="AA11" s="1"/>
      <c r="AB11" s="1"/>
      <c r="AC11" s="1"/>
      <c r="AD11" s="1"/>
      <c r="AE11" s="1"/>
      <c r="AF11" s="1"/>
      <c r="AG11" s="1"/>
      <c r="AH11" s="1"/>
    </row>
    <row r="12" spans="1:34">
      <c r="A12" t="s">
        <v>18</v>
      </c>
      <c r="B12" s="7">
        <f>5510.52+305.46</f>
        <v>5815.9800000000005</v>
      </c>
      <c r="C12" s="1">
        <v>3479.82</v>
      </c>
      <c r="D12" s="1">
        <v>200</v>
      </c>
      <c r="E12" s="1">
        <v>102</v>
      </c>
      <c r="F12" s="1">
        <v>50</v>
      </c>
      <c r="G12" s="1">
        <v>20</v>
      </c>
      <c r="H12" s="1">
        <v>80</v>
      </c>
      <c r="I12" s="1">
        <v>0</v>
      </c>
      <c r="J12" s="1">
        <v>100</v>
      </c>
      <c r="K12" s="1">
        <v>200</v>
      </c>
      <c r="L12" s="1">
        <v>766.6</v>
      </c>
      <c r="M12" s="1">
        <v>741.6</v>
      </c>
      <c r="N12" s="1">
        <v>0</v>
      </c>
      <c r="O12" s="205">
        <v>13728</v>
      </c>
      <c r="P12" s="7">
        <f t="shared" si="0"/>
        <v>11556.000000000002</v>
      </c>
      <c r="Q12" s="7">
        <f t="shared" si="1"/>
        <v>25284</v>
      </c>
      <c r="S12" s="1"/>
      <c r="T12" s="1"/>
      <c r="U12" s="1"/>
      <c r="V12" s="1"/>
      <c r="W12" s="1"/>
      <c r="X12" s="1"/>
      <c r="Y12" s="1"/>
      <c r="Z12" s="1"/>
      <c r="AA12" s="1"/>
      <c r="AB12" s="1"/>
      <c r="AC12" s="1"/>
      <c r="AD12" s="1"/>
      <c r="AE12" s="1"/>
      <c r="AF12" s="1"/>
      <c r="AG12" s="1"/>
      <c r="AH12" s="1"/>
    </row>
    <row r="13" spans="1:34">
      <c r="A13" t="s">
        <v>45</v>
      </c>
      <c r="B13" s="7">
        <v>6489</v>
      </c>
      <c r="C13" s="1">
        <f>830+765</f>
        <v>1595</v>
      </c>
      <c r="D13" s="1">
        <v>200</v>
      </c>
      <c r="E13" s="1">
        <v>100</v>
      </c>
      <c r="F13" s="1">
        <v>50</v>
      </c>
      <c r="G13" s="1">
        <v>20</v>
      </c>
      <c r="H13" s="1">
        <v>80</v>
      </c>
      <c r="I13" s="1">
        <v>0</v>
      </c>
      <c r="J13" s="1">
        <v>100</v>
      </c>
      <c r="K13" s="1">
        <v>200</v>
      </c>
      <c r="L13" s="1">
        <v>880</v>
      </c>
      <c r="M13" s="1">
        <v>760</v>
      </c>
      <c r="N13" s="1">
        <v>0</v>
      </c>
      <c r="O13" s="205">
        <v>12100</v>
      </c>
      <c r="P13" s="7">
        <f t="shared" si="0"/>
        <v>10474</v>
      </c>
      <c r="Q13" s="7">
        <f t="shared" si="1"/>
        <v>22574</v>
      </c>
      <c r="S13" s="1"/>
      <c r="T13" s="1"/>
      <c r="U13" s="1"/>
      <c r="V13" s="1"/>
      <c r="W13" s="1"/>
      <c r="X13" s="1"/>
      <c r="Y13" s="1"/>
      <c r="Z13" s="1"/>
      <c r="AA13" s="1"/>
      <c r="AB13" s="1"/>
      <c r="AC13" s="1"/>
      <c r="AD13" s="1"/>
      <c r="AE13" s="1"/>
      <c r="AF13" s="1"/>
      <c r="AG13" s="1"/>
      <c r="AH13" s="1"/>
    </row>
    <row r="14" spans="1:34">
      <c r="A14" t="s">
        <v>46</v>
      </c>
      <c r="B14" s="7">
        <v>10729</v>
      </c>
      <c r="C14" s="1">
        <f>1003+1140</f>
        <v>2143</v>
      </c>
      <c r="D14" s="1">
        <v>240</v>
      </c>
      <c r="E14" s="1">
        <v>120</v>
      </c>
      <c r="F14" s="1">
        <v>50</v>
      </c>
      <c r="G14" s="1">
        <v>20</v>
      </c>
      <c r="H14" s="1">
        <v>96</v>
      </c>
      <c r="I14" s="1">
        <v>0</v>
      </c>
      <c r="J14" s="1">
        <v>120</v>
      </c>
      <c r="K14" s="1">
        <v>240</v>
      </c>
      <c r="L14" s="1">
        <v>972</v>
      </c>
      <c r="M14" s="1">
        <v>800</v>
      </c>
      <c r="N14" s="1">
        <v>10034</v>
      </c>
      <c r="O14" s="205">
        <v>20256</v>
      </c>
      <c r="P14" s="7">
        <f t="shared" si="0"/>
        <v>25564</v>
      </c>
      <c r="Q14" s="7">
        <f t="shared" si="1"/>
        <v>45820</v>
      </c>
      <c r="S14" s="1"/>
      <c r="T14" s="1"/>
      <c r="U14" s="1"/>
      <c r="V14" s="1"/>
      <c r="W14" s="1"/>
      <c r="X14" s="1"/>
      <c r="Y14" s="1"/>
      <c r="Z14" s="1"/>
      <c r="AA14" s="1"/>
      <c r="AB14" s="1"/>
      <c r="AC14" s="1"/>
      <c r="AD14" s="1"/>
      <c r="AE14" s="1"/>
      <c r="AF14" s="1"/>
      <c r="AG14" s="1"/>
      <c r="AH14" s="1"/>
    </row>
    <row r="15" spans="1:34">
      <c r="A15" t="s">
        <v>122</v>
      </c>
      <c r="B15" s="7">
        <v>6489</v>
      </c>
      <c r="C15" s="1">
        <f>830+765</f>
        <v>1595</v>
      </c>
      <c r="D15" s="1">
        <v>200</v>
      </c>
      <c r="E15" s="1">
        <v>100</v>
      </c>
      <c r="F15" s="1">
        <v>50</v>
      </c>
      <c r="G15" s="1">
        <v>20</v>
      </c>
      <c r="H15" s="1">
        <v>80</v>
      </c>
      <c r="I15" s="1">
        <v>0</v>
      </c>
      <c r="J15" s="1">
        <v>100</v>
      </c>
      <c r="K15" s="1">
        <v>200</v>
      </c>
      <c r="L15" s="1">
        <v>880</v>
      </c>
      <c r="M15" s="1">
        <v>760</v>
      </c>
      <c r="N15" s="1">
        <v>1500</v>
      </c>
      <c r="O15" s="205">
        <v>12100</v>
      </c>
      <c r="P15" s="7">
        <f t="shared" si="0"/>
        <v>11974</v>
      </c>
      <c r="Q15" s="7">
        <f t="shared" si="1"/>
        <v>24074</v>
      </c>
      <c r="S15" s="1"/>
      <c r="T15" s="1"/>
      <c r="U15" s="1"/>
      <c r="V15" s="1"/>
      <c r="W15" s="1"/>
      <c r="X15" s="1"/>
      <c r="Y15" s="1"/>
      <c r="Z15" s="1"/>
      <c r="AA15" s="1"/>
      <c r="AB15" s="1"/>
      <c r="AC15" s="1"/>
      <c r="AD15" s="1"/>
      <c r="AE15" s="1"/>
      <c r="AF15" s="1"/>
      <c r="AG15" s="1"/>
      <c r="AH15" s="1"/>
    </row>
    <row r="16" spans="1:34" s="137" customFormat="1">
      <c r="A16" s="137" t="s">
        <v>191</v>
      </c>
      <c r="B16" s="251">
        <v>6489</v>
      </c>
      <c r="C16" s="138">
        <f>830+765</f>
        <v>1595</v>
      </c>
      <c r="D16" s="138">
        <v>200</v>
      </c>
      <c r="E16" s="138">
        <v>100</v>
      </c>
      <c r="F16" s="138">
        <v>50</v>
      </c>
      <c r="G16" s="138">
        <v>20</v>
      </c>
      <c r="H16" s="138">
        <v>80</v>
      </c>
      <c r="I16" s="138">
        <v>0</v>
      </c>
      <c r="J16" s="138">
        <v>100</v>
      </c>
      <c r="K16" s="138">
        <v>200</v>
      </c>
      <c r="L16" s="138">
        <v>880</v>
      </c>
      <c r="M16" s="138">
        <v>760</v>
      </c>
      <c r="N16" s="138">
        <v>8000</v>
      </c>
      <c r="O16" s="138">
        <v>12100</v>
      </c>
      <c r="P16" s="251">
        <f t="shared" si="0"/>
        <v>18474</v>
      </c>
      <c r="Q16" s="251">
        <f t="shared" ref="Q16" si="2">SUM(O16:P16)</f>
        <v>30574</v>
      </c>
      <c r="R16" s="138"/>
      <c r="S16" s="138"/>
      <c r="T16" s="138"/>
      <c r="U16" s="138"/>
      <c r="V16" s="138"/>
      <c r="W16" s="138"/>
      <c r="X16" s="138"/>
      <c r="Y16" s="138"/>
      <c r="Z16" s="138"/>
      <c r="AA16" s="138"/>
      <c r="AB16" s="138"/>
      <c r="AC16" s="138"/>
      <c r="AD16" s="138"/>
      <c r="AE16" s="138"/>
      <c r="AF16" s="138"/>
      <c r="AG16" s="138"/>
      <c r="AH16" s="138"/>
    </row>
    <row r="17" spans="1:34">
      <c r="A17" t="s">
        <v>26</v>
      </c>
      <c r="B17" s="7">
        <v>6090.38</v>
      </c>
      <c r="C17" s="1">
        <f>420.7+250</f>
        <v>670.7</v>
      </c>
      <c r="D17" s="1">
        <v>200</v>
      </c>
      <c r="E17" s="1">
        <v>138</v>
      </c>
      <c r="F17" s="1">
        <v>660</v>
      </c>
      <c r="G17" s="1">
        <v>150</v>
      </c>
      <c r="H17" s="1">
        <v>96</v>
      </c>
      <c r="I17" s="1">
        <v>0</v>
      </c>
      <c r="J17" s="1">
        <v>0</v>
      </c>
      <c r="K17" s="1">
        <v>0</v>
      </c>
      <c r="L17" s="1">
        <v>1114.5999999999999</v>
      </c>
      <c r="M17" s="1">
        <v>418.32</v>
      </c>
      <c r="N17" s="1">
        <v>0</v>
      </c>
      <c r="O17" s="205">
        <v>4570</v>
      </c>
      <c r="P17" s="7">
        <f t="shared" si="0"/>
        <v>9538</v>
      </c>
      <c r="Q17" s="7">
        <f t="shared" si="1"/>
        <v>14108</v>
      </c>
      <c r="S17" s="1"/>
      <c r="T17" s="1"/>
      <c r="U17" s="1"/>
      <c r="V17" s="1"/>
      <c r="W17" s="1"/>
      <c r="X17" s="1"/>
      <c r="Y17" s="1"/>
      <c r="Z17" s="1"/>
      <c r="AA17" s="1"/>
      <c r="AB17" s="1"/>
      <c r="AC17" s="1"/>
      <c r="AD17" s="1"/>
      <c r="AE17" s="1"/>
      <c r="AF17" s="1"/>
      <c r="AG17" s="1"/>
      <c r="AH17" s="1"/>
    </row>
    <row r="18" spans="1:34">
      <c r="A18" s="212" t="s">
        <v>21</v>
      </c>
      <c r="B18" s="253"/>
      <c r="C18" s="213"/>
      <c r="D18" s="213"/>
      <c r="E18" s="213"/>
      <c r="F18" s="213"/>
      <c r="G18" s="213"/>
      <c r="H18" s="213"/>
      <c r="I18" s="213"/>
      <c r="J18" s="213"/>
      <c r="K18" s="213"/>
      <c r="L18" s="213"/>
      <c r="M18" s="213"/>
      <c r="N18" s="213"/>
      <c r="O18" s="214"/>
      <c r="P18" s="252"/>
      <c r="Q18" s="253"/>
      <c r="S18" s="1"/>
      <c r="T18" s="1"/>
      <c r="U18" s="1"/>
      <c r="V18" s="1"/>
      <c r="W18" s="1"/>
      <c r="X18" s="1"/>
      <c r="Y18" s="1"/>
      <c r="Z18" s="1"/>
      <c r="AA18" s="1"/>
      <c r="AB18" s="1"/>
      <c r="AC18" s="1"/>
      <c r="AD18" s="1"/>
      <c r="AE18" s="1"/>
      <c r="AF18" s="1"/>
      <c r="AG18" s="1"/>
      <c r="AH18" s="1"/>
    </row>
    <row r="19" spans="1:34">
      <c r="A19" t="s">
        <v>219</v>
      </c>
      <c r="B19" s="7">
        <v>8861.85</v>
      </c>
      <c r="C19" s="1">
        <v>0</v>
      </c>
      <c r="D19" s="1">
        <v>450</v>
      </c>
      <c r="E19" s="1">
        <v>160</v>
      </c>
      <c r="F19" s="1">
        <v>0</v>
      </c>
      <c r="G19" s="1">
        <v>0</v>
      </c>
      <c r="H19" s="1">
        <v>96</v>
      </c>
      <c r="I19" s="1">
        <v>0</v>
      </c>
      <c r="J19" s="1">
        <v>100</v>
      </c>
      <c r="K19" s="1">
        <v>0</v>
      </c>
      <c r="L19" s="1">
        <v>3011.9</v>
      </c>
      <c r="M19" s="1">
        <v>285.25</v>
      </c>
      <c r="N19" s="1">
        <v>0</v>
      </c>
      <c r="O19" s="205">
        <v>16920</v>
      </c>
      <c r="P19" s="7">
        <f t="shared" ref="P19:P45" si="3">SUM(B19:N19)</f>
        <v>12965</v>
      </c>
      <c r="Q19" s="7">
        <f t="shared" ref="Q19:Q45" si="4">SUM(O19:P19)</f>
        <v>29885</v>
      </c>
      <c r="S19" s="1"/>
      <c r="T19" s="1"/>
      <c r="U19" s="1"/>
      <c r="V19" s="1"/>
      <c r="W19" s="1"/>
      <c r="X19" s="1"/>
      <c r="Y19" s="1"/>
      <c r="Z19" s="1"/>
      <c r="AA19" s="1"/>
      <c r="AB19" s="1"/>
      <c r="AC19" s="1"/>
      <c r="AD19" s="1"/>
      <c r="AE19" s="1"/>
      <c r="AF19" s="1"/>
      <c r="AG19" s="1"/>
      <c r="AH19" s="1"/>
    </row>
    <row r="20" spans="1:34" ht="16.5">
      <c r="A20" t="s">
        <v>443</v>
      </c>
      <c r="B20" s="7">
        <f>8861.85+179</f>
        <v>9040.85</v>
      </c>
      <c r="C20" s="1">
        <v>0</v>
      </c>
      <c r="D20" s="1">
        <v>450</v>
      </c>
      <c r="E20" s="1">
        <v>160</v>
      </c>
      <c r="F20" s="1">
        <v>0</v>
      </c>
      <c r="G20" s="1">
        <v>0</v>
      </c>
      <c r="H20" s="1">
        <v>96</v>
      </c>
      <c r="I20" s="1">
        <v>0</v>
      </c>
      <c r="J20" s="1">
        <v>100</v>
      </c>
      <c r="K20" s="1">
        <v>0</v>
      </c>
      <c r="L20" s="1">
        <v>3011.9</v>
      </c>
      <c r="M20" s="1">
        <v>285.25</v>
      </c>
      <c r="N20" s="1">
        <v>0</v>
      </c>
      <c r="O20" s="205">
        <v>16920</v>
      </c>
      <c r="P20" s="7">
        <f t="shared" si="3"/>
        <v>13144</v>
      </c>
      <c r="Q20" s="7">
        <f>SUM(O20:P20)</f>
        <v>30064</v>
      </c>
      <c r="S20" s="1"/>
      <c r="T20" s="1"/>
      <c r="U20" s="1"/>
      <c r="V20" s="1"/>
      <c r="W20" s="1"/>
      <c r="X20" s="1"/>
      <c r="Y20" s="1"/>
      <c r="Z20" s="1"/>
      <c r="AA20" s="1"/>
      <c r="AB20" s="1"/>
      <c r="AC20" s="1"/>
      <c r="AD20" s="1"/>
      <c r="AE20" s="1"/>
      <c r="AF20" s="1"/>
      <c r="AG20" s="1"/>
      <c r="AH20" s="1"/>
    </row>
    <row r="21" spans="1:34">
      <c r="A21" t="s">
        <v>47</v>
      </c>
      <c r="B21" s="7">
        <v>25497.85</v>
      </c>
      <c r="C21" s="1">
        <v>0</v>
      </c>
      <c r="D21" s="1">
        <v>490</v>
      </c>
      <c r="E21" s="1">
        <v>432</v>
      </c>
      <c r="F21" s="1">
        <v>0</v>
      </c>
      <c r="G21" s="1">
        <v>0</v>
      </c>
      <c r="H21" s="1">
        <v>96</v>
      </c>
      <c r="I21" s="1">
        <v>0</v>
      </c>
      <c r="J21" s="1">
        <v>100</v>
      </c>
      <c r="K21" s="1">
        <v>0</v>
      </c>
      <c r="L21" s="1">
        <v>1839.65</v>
      </c>
      <c r="M21" s="1">
        <v>285.5</v>
      </c>
      <c r="N21" s="1">
        <v>0</v>
      </c>
      <c r="O21" s="205">
        <v>31620</v>
      </c>
      <c r="P21" s="7">
        <f t="shared" si="3"/>
        <v>28741</v>
      </c>
      <c r="Q21" s="7">
        <f t="shared" si="4"/>
        <v>60361</v>
      </c>
      <c r="S21" s="1"/>
      <c r="T21" s="1"/>
      <c r="U21" s="1"/>
      <c r="V21" s="1"/>
      <c r="W21" s="1"/>
      <c r="X21" s="1"/>
      <c r="Y21" s="1"/>
      <c r="Z21" s="1"/>
      <c r="AA21" s="1"/>
      <c r="AB21" s="1"/>
      <c r="AC21" s="1"/>
      <c r="AD21" s="1"/>
      <c r="AE21" s="1"/>
      <c r="AF21" s="1"/>
      <c r="AG21" s="1"/>
      <c r="AH21" s="1"/>
    </row>
    <row r="22" spans="1:34">
      <c r="A22" t="s">
        <v>128</v>
      </c>
      <c r="B22" s="7">
        <v>17418.34</v>
      </c>
      <c r="C22" s="1">
        <v>0</v>
      </c>
      <c r="D22" s="1">
        <v>200</v>
      </c>
      <c r="E22" s="1">
        <v>365</v>
      </c>
      <c r="F22" s="1">
        <v>0</v>
      </c>
      <c r="G22" s="1">
        <v>80</v>
      </c>
      <c r="H22" s="1">
        <v>0</v>
      </c>
      <c r="I22" s="1">
        <v>0</v>
      </c>
      <c r="J22" s="1">
        <v>100</v>
      </c>
      <c r="K22" s="1">
        <v>0</v>
      </c>
      <c r="L22" s="1">
        <v>1778.34</v>
      </c>
      <c r="M22" s="1">
        <v>20</v>
      </c>
      <c r="N22" s="1">
        <v>0</v>
      </c>
      <c r="O22" s="205">
        <v>12866.66</v>
      </c>
      <c r="P22" s="7">
        <f t="shared" si="3"/>
        <v>19961.68</v>
      </c>
      <c r="Q22" s="7">
        <f t="shared" si="4"/>
        <v>32828.339999999997</v>
      </c>
      <c r="S22" s="1"/>
      <c r="T22" s="1"/>
      <c r="U22" s="1"/>
      <c r="V22" s="1"/>
      <c r="W22" s="1"/>
      <c r="X22" s="1"/>
      <c r="Y22" s="1"/>
      <c r="Z22" s="1"/>
      <c r="AA22" s="1"/>
      <c r="AB22" s="1"/>
      <c r="AC22" s="1"/>
      <c r="AD22" s="1"/>
      <c r="AE22" s="1"/>
      <c r="AF22" s="1"/>
      <c r="AG22" s="1"/>
      <c r="AH22" s="1"/>
    </row>
    <row r="23" spans="1:34">
      <c r="A23" t="s">
        <v>24</v>
      </c>
      <c r="B23" s="7">
        <v>6195.9600000000009</v>
      </c>
      <c r="C23" s="1">
        <v>0</v>
      </c>
      <c r="D23" s="1">
        <v>180</v>
      </c>
      <c r="E23" s="1">
        <v>90</v>
      </c>
      <c r="F23" s="1">
        <v>0</v>
      </c>
      <c r="G23" s="1">
        <v>0</v>
      </c>
      <c r="H23" s="1">
        <v>80</v>
      </c>
      <c r="I23" s="1">
        <v>0</v>
      </c>
      <c r="J23" s="1">
        <v>100</v>
      </c>
      <c r="K23" s="1">
        <v>40</v>
      </c>
      <c r="L23" s="1">
        <v>225.28</v>
      </c>
      <c r="M23" s="1">
        <v>559.43999999999994</v>
      </c>
      <c r="N23" s="1">
        <v>0</v>
      </c>
      <c r="O23" s="205">
        <v>12497.22</v>
      </c>
      <c r="P23" s="7">
        <f t="shared" si="3"/>
        <v>7470.68</v>
      </c>
      <c r="Q23" s="7">
        <f t="shared" si="4"/>
        <v>19967.900000000001</v>
      </c>
      <c r="S23" s="1"/>
      <c r="T23" s="1"/>
      <c r="U23" s="1"/>
      <c r="V23" s="1"/>
      <c r="W23" s="1"/>
      <c r="X23" s="1"/>
      <c r="Y23" s="1"/>
      <c r="Z23" s="1"/>
      <c r="AA23" s="1"/>
      <c r="AB23" s="1"/>
      <c r="AC23" s="1"/>
      <c r="AD23" s="1"/>
      <c r="AE23" s="1"/>
      <c r="AF23" s="1"/>
      <c r="AG23" s="1"/>
      <c r="AH23" s="1"/>
    </row>
    <row r="24" spans="1:34">
      <c r="A24" t="s">
        <v>27</v>
      </c>
      <c r="B24" s="7">
        <v>9335</v>
      </c>
      <c r="C24" s="1">
        <v>0</v>
      </c>
      <c r="D24" s="1">
        <v>180</v>
      </c>
      <c r="E24" s="1">
        <v>166</v>
      </c>
      <c r="F24" s="1">
        <v>0</v>
      </c>
      <c r="G24" s="1">
        <v>0</v>
      </c>
      <c r="H24" s="1">
        <v>96</v>
      </c>
      <c r="I24" s="1">
        <v>0</v>
      </c>
      <c r="J24" s="1">
        <v>90</v>
      </c>
      <c r="K24" s="1">
        <v>0</v>
      </c>
      <c r="L24" s="1">
        <v>460</v>
      </c>
      <c r="M24" s="1">
        <v>0</v>
      </c>
      <c r="N24" s="1">
        <v>0</v>
      </c>
      <c r="O24" s="205">
        <v>10077</v>
      </c>
      <c r="P24" s="7">
        <f t="shared" si="3"/>
        <v>10327</v>
      </c>
      <c r="Q24" s="7">
        <f t="shared" si="4"/>
        <v>20404</v>
      </c>
      <c r="S24" s="1"/>
      <c r="T24" s="1"/>
      <c r="U24" s="1"/>
      <c r="V24" s="1"/>
      <c r="W24" s="1"/>
      <c r="X24" s="1"/>
      <c r="Y24" s="1"/>
      <c r="Z24" s="1"/>
      <c r="AA24" s="1"/>
      <c r="AB24" s="1"/>
      <c r="AC24" s="1"/>
      <c r="AD24" s="1"/>
      <c r="AE24" s="1"/>
      <c r="AF24" s="1"/>
      <c r="AG24" s="1"/>
      <c r="AH24" s="1"/>
    </row>
    <row r="25" spans="1:34" s="137" customFormat="1">
      <c r="A25" s="137" t="s">
        <v>135</v>
      </c>
      <c r="B25" s="251">
        <v>9335</v>
      </c>
      <c r="C25" s="138">
        <v>0</v>
      </c>
      <c r="D25" s="138">
        <v>180</v>
      </c>
      <c r="E25" s="138">
        <v>166</v>
      </c>
      <c r="F25" s="138">
        <v>0</v>
      </c>
      <c r="G25" s="138">
        <v>0</v>
      </c>
      <c r="H25" s="138">
        <v>96</v>
      </c>
      <c r="I25" s="138">
        <v>0</v>
      </c>
      <c r="J25" s="138">
        <v>90</v>
      </c>
      <c r="K25" s="138">
        <v>0</v>
      </c>
      <c r="L25" s="138">
        <v>3370</v>
      </c>
      <c r="M25" s="138">
        <v>0</v>
      </c>
      <c r="N25" s="138">
        <v>0</v>
      </c>
      <c r="O25" s="138">
        <v>10077</v>
      </c>
      <c r="P25" s="251">
        <f t="shared" si="3"/>
        <v>13237</v>
      </c>
      <c r="Q25" s="251">
        <f t="shared" ref="Q25" si="5">SUM(O25:P25)</f>
        <v>23314</v>
      </c>
      <c r="R25" s="138"/>
      <c r="S25" s="1"/>
      <c r="T25" s="1"/>
      <c r="U25" s="1"/>
      <c r="V25" s="1"/>
      <c r="W25" s="1"/>
      <c r="X25" s="1"/>
      <c r="Y25" s="1"/>
      <c r="Z25" s="1"/>
      <c r="AA25" s="1"/>
      <c r="AB25" s="1"/>
      <c r="AC25" s="1"/>
      <c r="AD25" s="1"/>
      <c r="AE25" s="1"/>
      <c r="AF25" s="1"/>
      <c r="AG25" s="1"/>
      <c r="AH25" s="1"/>
    </row>
    <row r="26" spans="1:34">
      <c r="A26" t="s">
        <v>28</v>
      </c>
      <c r="B26" s="7">
        <v>7168.4</v>
      </c>
      <c r="C26" s="1">
        <v>0</v>
      </c>
      <c r="D26" s="1">
        <v>180</v>
      </c>
      <c r="E26" s="1">
        <v>128</v>
      </c>
      <c r="F26" s="1">
        <v>0</v>
      </c>
      <c r="G26" s="1">
        <v>0</v>
      </c>
      <c r="H26" s="1">
        <v>96</v>
      </c>
      <c r="I26" s="1">
        <v>0</v>
      </c>
      <c r="J26" s="1">
        <v>90</v>
      </c>
      <c r="K26" s="1">
        <v>0</v>
      </c>
      <c r="L26" s="1">
        <v>2896</v>
      </c>
      <c r="M26" s="1">
        <v>0</v>
      </c>
      <c r="N26" s="1">
        <v>0</v>
      </c>
      <c r="O26" s="205">
        <v>9279.4</v>
      </c>
      <c r="P26" s="7">
        <f t="shared" si="3"/>
        <v>10558.4</v>
      </c>
      <c r="Q26" s="7">
        <f t="shared" si="4"/>
        <v>19837.8</v>
      </c>
      <c r="S26" s="1"/>
      <c r="T26" s="1"/>
      <c r="U26" s="1"/>
      <c r="V26" s="1"/>
      <c r="W26" s="1"/>
      <c r="X26" s="1"/>
      <c r="Y26" s="1"/>
      <c r="Z26" s="1"/>
      <c r="AA26" s="1"/>
      <c r="AB26" s="1"/>
      <c r="AC26" s="1"/>
      <c r="AD26" s="1"/>
      <c r="AE26" s="1"/>
      <c r="AF26" s="1"/>
      <c r="AG26" s="1"/>
      <c r="AH26" s="1"/>
    </row>
    <row r="27" spans="1:34" s="137" customFormat="1">
      <c r="A27" s="137" t="s">
        <v>175</v>
      </c>
      <c r="B27" s="251">
        <v>16423.2</v>
      </c>
      <c r="C27" s="138">
        <v>0</v>
      </c>
      <c r="D27" s="138">
        <v>180</v>
      </c>
      <c r="E27" s="138">
        <v>271</v>
      </c>
      <c r="F27" s="138">
        <v>0</v>
      </c>
      <c r="G27" s="138">
        <v>0</v>
      </c>
      <c r="H27" s="138">
        <v>96</v>
      </c>
      <c r="I27" s="138">
        <v>0</v>
      </c>
      <c r="J27" s="138">
        <v>90</v>
      </c>
      <c r="K27" s="138">
        <v>0</v>
      </c>
      <c r="L27" s="138">
        <v>7650</v>
      </c>
      <c r="M27" s="138">
        <v>0</v>
      </c>
      <c r="N27" s="1">
        <v>0</v>
      </c>
      <c r="O27" s="205">
        <v>13082</v>
      </c>
      <c r="P27" s="251">
        <f t="shared" si="3"/>
        <v>24710.2</v>
      </c>
      <c r="Q27" s="251">
        <f t="shared" si="4"/>
        <v>37792.199999999997</v>
      </c>
      <c r="R27" s="138"/>
      <c r="S27" s="1"/>
      <c r="T27" s="1"/>
      <c r="U27" s="1"/>
      <c r="V27" s="1"/>
      <c r="W27" s="1"/>
      <c r="X27" s="1"/>
      <c r="Y27" s="1"/>
      <c r="Z27" s="1"/>
      <c r="AA27" s="1"/>
      <c r="AB27" s="1"/>
      <c r="AC27" s="1"/>
      <c r="AD27" s="1"/>
      <c r="AE27" s="1"/>
      <c r="AF27" s="1"/>
      <c r="AG27" s="1"/>
      <c r="AH27" s="1"/>
    </row>
    <row r="28" spans="1:34">
      <c r="A28" t="s">
        <v>62</v>
      </c>
      <c r="B28" s="7">
        <v>16423.2</v>
      </c>
      <c r="C28" s="1">
        <v>0</v>
      </c>
      <c r="D28" s="1">
        <v>180</v>
      </c>
      <c r="E28" s="1">
        <v>271</v>
      </c>
      <c r="F28" s="1">
        <v>0</v>
      </c>
      <c r="G28" s="1">
        <v>0</v>
      </c>
      <c r="H28" s="1">
        <v>96</v>
      </c>
      <c r="I28" s="1">
        <v>0</v>
      </c>
      <c r="J28" s="1">
        <v>90</v>
      </c>
      <c r="K28" s="1">
        <v>0</v>
      </c>
      <c r="L28" s="1">
        <v>450</v>
      </c>
      <c r="M28" s="1">
        <v>0</v>
      </c>
      <c r="N28" s="1">
        <v>0</v>
      </c>
      <c r="O28" s="205">
        <v>13082.18</v>
      </c>
      <c r="P28" s="7">
        <f t="shared" si="3"/>
        <v>17510.2</v>
      </c>
      <c r="Q28" s="7">
        <f t="shared" si="4"/>
        <v>30592.38</v>
      </c>
      <c r="S28" s="1"/>
      <c r="T28" s="1"/>
      <c r="U28" s="1"/>
      <c r="V28" s="1"/>
      <c r="W28" s="1"/>
      <c r="X28" s="1"/>
      <c r="Y28" s="1"/>
      <c r="Z28" s="1"/>
      <c r="AA28" s="1"/>
      <c r="AB28" s="1"/>
      <c r="AC28" s="1"/>
      <c r="AD28" s="1"/>
      <c r="AE28" s="1"/>
      <c r="AF28" s="1"/>
      <c r="AG28" s="1"/>
      <c r="AH28" s="1"/>
    </row>
    <row r="29" spans="1:34">
      <c r="A29" t="s">
        <v>48</v>
      </c>
      <c r="B29" s="7">
        <v>6058.82</v>
      </c>
      <c r="C29" s="1">
        <v>0</v>
      </c>
      <c r="D29" s="1">
        <v>230</v>
      </c>
      <c r="E29" s="1">
        <v>107</v>
      </c>
      <c r="F29" s="1">
        <v>0</v>
      </c>
      <c r="G29" s="1">
        <v>0</v>
      </c>
      <c r="H29" s="1">
        <v>96</v>
      </c>
      <c r="I29" s="1">
        <v>0</v>
      </c>
      <c r="J29" s="1">
        <v>115</v>
      </c>
      <c r="K29" s="1">
        <v>0</v>
      </c>
      <c r="L29" s="1">
        <v>457</v>
      </c>
      <c r="M29" s="1">
        <v>0</v>
      </c>
      <c r="N29" s="1">
        <v>0</v>
      </c>
      <c r="O29" s="205">
        <v>8963.68</v>
      </c>
      <c r="P29" s="7">
        <f t="shared" si="3"/>
        <v>7063.82</v>
      </c>
      <c r="Q29" s="7">
        <f t="shared" si="4"/>
        <v>16027.5</v>
      </c>
      <c r="S29" s="1"/>
      <c r="T29" s="1"/>
      <c r="U29" s="1"/>
      <c r="V29" s="1"/>
      <c r="W29" s="1"/>
      <c r="X29" s="1"/>
      <c r="Y29" s="1"/>
      <c r="Z29" s="1"/>
      <c r="AA29" s="1"/>
      <c r="AB29" s="1"/>
      <c r="AC29" s="1"/>
      <c r="AD29" s="1"/>
      <c r="AE29" s="1"/>
      <c r="AF29" s="1"/>
      <c r="AG29" s="1"/>
      <c r="AH29" s="1"/>
    </row>
    <row r="30" spans="1:34">
      <c r="A30" t="s">
        <v>49</v>
      </c>
      <c r="B30" s="7">
        <v>28418</v>
      </c>
      <c r="C30" s="1">
        <v>0</v>
      </c>
      <c r="D30" s="1">
        <v>300</v>
      </c>
      <c r="E30" s="1">
        <v>395</v>
      </c>
      <c r="F30" s="1">
        <v>0</v>
      </c>
      <c r="G30" s="1">
        <v>0</v>
      </c>
      <c r="H30" s="1">
        <v>120</v>
      </c>
      <c r="I30" s="1">
        <v>0</v>
      </c>
      <c r="J30" s="1">
        <v>150</v>
      </c>
      <c r="K30" s="1">
        <v>0</v>
      </c>
      <c r="L30" s="1">
        <v>5758</v>
      </c>
      <c r="M30" s="1">
        <v>0</v>
      </c>
      <c r="N30" s="1">
        <v>0</v>
      </c>
      <c r="O30" s="205">
        <v>28728</v>
      </c>
      <c r="P30" s="7">
        <f t="shared" si="3"/>
        <v>35141</v>
      </c>
      <c r="Q30" s="7">
        <f t="shared" si="4"/>
        <v>63869</v>
      </c>
      <c r="S30" s="1"/>
      <c r="T30" s="1"/>
      <c r="U30" s="1"/>
      <c r="V30" s="1"/>
      <c r="W30" s="1"/>
      <c r="X30" s="1"/>
      <c r="Y30" s="1"/>
      <c r="Z30" s="1"/>
      <c r="AA30" s="1"/>
      <c r="AB30" s="1"/>
      <c r="AC30" s="1"/>
      <c r="AD30" s="1"/>
      <c r="AE30" s="1"/>
      <c r="AF30" s="1"/>
      <c r="AG30" s="1"/>
      <c r="AH30" s="1"/>
    </row>
    <row r="31" spans="1:34">
      <c r="A31" t="s">
        <v>50</v>
      </c>
      <c r="B31" s="7">
        <v>9335</v>
      </c>
      <c r="C31" s="1">
        <v>0</v>
      </c>
      <c r="D31" s="1">
        <v>180</v>
      </c>
      <c r="E31" s="1">
        <v>166</v>
      </c>
      <c r="F31" s="1">
        <v>0</v>
      </c>
      <c r="G31" s="1">
        <v>0</v>
      </c>
      <c r="H31" s="1">
        <v>96</v>
      </c>
      <c r="I31" s="1">
        <v>0</v>
      </c>
      <c r="J31" s="1">
        <v>90</v>
      </c>
      <c r="K31" s="1">
        <v>0</v>
      </c>
      <c r="L31" s="1">
        <v>460</v>
      </c>
      <c r="M31" s="1">
        <v>0</v>
      </c>
      <c r="N31" s="1">
        <v>0</v>
      </c>
      <c r="O31" s="205">
        <v>10091.459999999999</v>
      </c>
      <c r="P31" s="7">
        <f t="shared" si="3"/>
        <v>10327</v>
      </c>
      <c r="Q31" s="7">
        <f t="shared" si="4"/>
        <v>20418.46</v>
      </c>
      <c r="S31" s="1"/>
      <c r="T31" s="1"/>
      <c r="U31" s="1"/>
      <c r="V31" s="1"/>
      <c r="W31" s="1"/>
      <c r="X31" s="1"/>
      <c r="Y31" s="1"/>
      <c r="Z31" s="1"/>
      <c r="AA31" s="1"/>
      <c r="AB31" s="1"/>
      <c r="AC31" s="1"/>
      <c r="AD31" s="1"/>
      <c r="AE31" s="1"/>
      <c r="AF31" s="1"/>
      <c r="AG31" s="1"/>
      <c r="AH31" s="1"/>
    </row>
    <row r="32" spans="1:34">
      <c r="A32" s="124" t="s">
        <v>61</v>
      </c>
      <c r="B32" s="7">
        <v>16814.400000000001</v>
      </c>
      <c r="C32" s="1">
        <v>0</v>
      </c>
      <c r="D32" s="1">
        <v>180</v>
      </c>
      <c r="E32" s="1">
        <v>166</v>
      </c>
      <c r="F32" s="1">
        <v>0</v>
      </c>
      <c r="G32" s="1">
        <v>0</v>
      </c>
      <c r="H32" s="1">
        <v>96</v>
      </c>
      <c r="I32" s="1">
        <v>0</v>
      </c>
      <c r="J32" s="1">
        <v>90</v>
      </c>
      <c r="K32" s="1">
        <v>0</v>
      </c>
      <c r="L32" s="1">
        <v>460</v>
      </c>
      <c r="M32" s="1">
        <v>0</v>
      </c>
      <c r="N32" s="1">
        <v>0</v>
      </c>
      <c r="O32" s="205">
        <v>17477.2</v>
      </c>
      <c r="P32" s="7">
        <f t="shared" si="3"/>
        <v>17806.400000000001</v>
      </c>
      <c r="Q32" s="7">
        <f t="shared" si="4"/>
        <v>35283.600000000006</v>
      </c>
      <c r="S32" s="1"/>
      <c r="T32" s="1"/>
      <c r="U32" s="1"/>
      <c r="V32" s="1"/>
      <c r="W32" s="1"/>
      <c r="X32" s="1"/>
      <c r="Y32" s="1"/>
      <c r="Z32" s="1"/>
      <c r="AA32" s="1"/>
      <c r="AB32" s="1"/>
      <c r="AC32" s="1"/>
      <c r="AD32" s="1"/>
      <c r="AE32" s="1"/>
      <c r="AF32" s="1"/>
      <c r="AG32" s="1"/>
      <c r="AH32" s="1"/>
    </row>
    <row r="33" spans="1:34">
      <c r="A33" s="124" t="s">
        <v>51</v>
      </c>
      <c r="B33" s="7">
        <v>9335</v>
      </c>
      <c r="C33" s="1">
        <v>0</v>
      </c>
      <c r="D33" s="1">
        <v>180</v>
      </c>
      <c r="E33" s="1">
        <v>166</v>
      </c>
      <c r="F33" s="1">
        <v>0</v>
      </c>
      <c r="G33" s="1">
        <v>0</v>
      </c>
      <c r="H33" s="1">
        <v>96</v>
      </c>
      <c r="I33" s="1">
        <v>0</v>
      </c>
      <c r="J33" s="1">
        <v>90</v>
      </c>
      <c r="K33" s="1">
        <v>0</v>
      </c>
      <c r="L33" s="1">
        <v>660</v>
      </c>
      <c r="M33" s="1">
        <v>0</v>
      </c>
      <c r="N33" s="1">
        <v>0</v>
      </c>
      <c r="O33" s="205">
        <v>8401.5</v>
      </c>
      <c r="P33" s="7">
        <f t="shared" si="3"/>
        <v>10527</v>
      </c>
      <c r="Q33" s="7">
        <f t="shared" si="4"/>
        <v>18928.5</v>
      </c>
      <c r="S33" s="1"/>
      <c r="T33" s="1"/>
      <c r="U33" s="1"/>
      <c r="V33" s="1"/>
      <c r="W33" s="1"/>
      <c r="X33" s="1"/>
      <c r="Y33" s="1"/>
      <c r="Z33" s="1"/>
      <c r="AA33" s="1"/>
      <c r="AB33" s="1"/>
      <c r="AC33" s="1"/>
      <c r="AD33" s="1"/>
      <c r="AE33" s="1"/>
      <c r="AF33" s="1"/>
      <c r="AG33" s="1"/>
      <c r="AH33" s="1"/>
    </row>
    <row r="34" spans="1:34">
      <c r="A34" s="124" t="s">
        <v>52</v>
      </c>
      <c r="B34" s="7">
        <v>8858.32</v>
      </c>
      <c r="C34" s="1">
        <v>0</v>
      </c>
      <c r="D34" s="1">
        <v>180</v>
      </c>
      <c r="E34" s="1">
        <v>166</v>
      </c>
      <c r="F34" s="1">
        <v>0</v>
      </c>
      <c r="G34" s="1">
        <v>0</v>
      </c>
      <c r="H34" s="1">
        <v>96</v>
      </c>
      <c r="I34" s="1">
        <v>0</v>
      </c>
      <c r="J34" s="1">
        <v>90</v>
      </c>
      <c r="K34" s="1">
        <v>0</v>
      </c>
      <c r="L34" s="1">
        <v>1260</v>
      </c>
      <c r="M34" s="1">
        <v>0</v>
      </c>
      <c r="N34" s="1">
        <v>0</v>
      </c>
      <c r="O34" s="205">
        <v>6643.74</v>
      </c>
      <c r="P34" s="7">
        <f t="shared" si="3"/>
        <v>10650.32</v>
      </c>
      <c r="Q34" s="7">
        <f t="shared" si="4"/>
        <v>17294.059999999998</v>
      </c>
      <c r="S34" s="1"/>
      <c r="T34" s="1"/>
      <c r="U34" s="1"/>
      <c r="V34" s="1"/>
      <c r="W34" s="1"/>
      <c r="X34" s="1"/>
      <c r="Y34" s="1"/>
      <c r="Z34" s="1"/>
      <c r="AA34" s="1"/>
      <c r="AB34" s="1"/>
      <c r="AC34" s="1"/>
      <c r="AD34" s="1"/>
      <c r="AE34" s="1"/>
      <c r="AF34" s="1"/>
      <c r="AG34" s="1"/>
      <c r="AH34" s="1"/>
    </row>
    <row r="35" spans="1:34">
      <c r="A35" t="s">
        <v>53</v>
      </c>
      <c r="B35" s="7">
        <v>31375.45</v>
      </c>
      <c r="C35" s="1">
        <v>0</v>
      </c>
      <c r="D35" s="1">
        <v>300</v>
      </c>
      <c r="E35" s="1">
        <v>464</v>
      </c>
      <c r="F35" s="1">
        <v>0</v>
      </c>
      <c r="G35" s="1">
        <v>0</v>
      </c>
      <c r="H35" s="1">
        <v>120</v>
      </c>
      <c r="I35" s="1">
        <v>0</v>
      </c>
      <c r="J35" s="1">
        <v>150</v>
      </c>
      <c r="K35" s="1">
        <v>0</v>
      </c>
      <c r="L35" s="1">
        <v>527.5</v>
      </c>
      <c r="M35" s="1">
        <v>0</v>
      </c>
      <c r="N35" s="1">
        <v>0</v>
      </c>
      <c r="O35" s="205">
        <v>28177.34</v>
      </c>
      <c r="P35" s="7">
        <f t="shared" si="3"/>
        <v>32936.949999999997</v>
      </c>
      <c r="Q35" s="7">
        <f t="shared" si="4"/>
        <v>61114.289999999994</v>
      </c>
      <c r="S35" s="1"/>
      <c r="T35" s="1"/>
      <c r="U35" s="1"/>
      <c r="V35" s="1"/>
      <c r="W35" s="1"/>
      <c r="X35" s="1"/>
      <c r="Y35" s="1"/>
      <c r="Z35" s="1"/>
      <c r="AA35" s="1"/>
      <c r="AB35" s="1"/>
      <c r="AC35" s="1"/>
      <c r="AD35" s="1"/>
      <c r="AE35" s="1"/>
      <c r="AF35" s="1"/>
      <c r="AG35" s="1"/>
      <c r="AH35" s="1"/>
    </row>
    <row r="36" spans="1:34">
      <c r="A36" t="s">
        <v>127</v>
      </c>
      <c r="B36" s="7">
        <v>14293.2</v>
      </c>
      <c r="C36" s="1">
        <v>0</v>
      </c>
      <c r="D36" s="1">
        <v>180</v>
      </c>
      <c r="E36" s="1">
        <v>166</v>
      </c>
      <c r="F36" s="1">
        <v>0</v>
      </c>
      <c r="G36" s="1">
        <v>0</v>
      </c>
      <c r="H36" s="1">
        <v>96</v>
      </c>
      <c r="I36" s="1">
        <v>0</v>
      </c>
      <c r="J36" s="1">
        <v>90</v>
      </c>
      <c r="K36" s="1">
        <v>0</v>
      </c>
      <c r="L36" s="1">
        <v>460</v>
      </c>
      <c r="M36" s="1">
        <v>0</v>
      </c>
      <c r="N36" s="1">
        <v>0</v>
      </c>
      <c r="O36" s="205">
        <v>15451.2</v>
      </c>
      <c r="P36" s="7">
        <f t="shared" si="3"/>
        <v>15285.2</v>
      </c>
      <c r="Q36" s="7">
        <f t="shared" si="4"/>
        <v>30736.400000000001</v>
      </c>
      <c r="S36" s="1"/>
      <c r="T36" s="1"/>
      <c r="U36" s="1"/>
      <c r="V36" s="1"/>
      <c r="W36" s="1"/>
      <c r="X36" s="1"/>
      <c r="Y36" s="1"/>
      <c r="Z36" s="1"/>
      <c r="AA36" s="1"/>
      <c r="AB36" s="1"/>
      <c r="AC36" s="1"/>
      <c r="AD36" s="1"/>
      <c r="AE36" s="1"/>
      <c r="AF36" s="1"/>
      <c r="AG36" s="1"/>
      <c r="AH36" s="1"/>
    </row>
    <row r="37" spans="1:34">
      <c r="A37" t="s">
        <v>31</v>
      </c>
      <c r="B37" s="7">
        <v>10657.77</v>
      </c>
      <c r="C37" s="1">
        <v>0</v>
      </c>
      <c r="D37" s="1">
        <v>210</v>
      </c>
      <c r="E37" s="1">
        <v>153.30000000000001</v>
      </c>
      <c r="F37" s="1">
        <v>0</v>
      </c>
      <c r="G37" s="1">
        <v>0</v>
      </c>
      <c r="H37" s="1">
        <v>0</v>
      </c>
      <c r="I37" s="1">
        <v>0</v>
      </c>
      <c r="J37" s="1">
        <v>105</v>
      </c>
      <c r="K37" s="1">
        <v>0</v>
      </c>
      <c r="L37" s="1">
        <v>0</v>
      </c>
      <c r="M37" s="1">
        <v>487.21</v>
      </c>
      <c r="N37" s="1">
        <v>0</v>
      </c>
      <c r="O37" s="205">
        <v>11669.7</v>
      </c>
      <c r="P37" s="7">
        <f t="shared" si="3"/>
        <v>11613.279999999999</v>
      </c>
      <c r="Q37" s="7">
        <f t="shared" si="4"/>
        <v>23282.98</v>
      </c>
      <c r="S37" s="1"/>
      <c r="T37" s="1"/>
      <c r="U37" s="1"/>
      <c r="V37" s="1"/>
      <c r="W37" s="1"/>
      <c r="X37" s="1"/>
      <c r="Y37" s="1"/>
      <c r="Z37" s="1"/>
      <c r="AA37" s="1"/>
      <c r="AB37" s="1"/>
      <c r="AC37" s="1"/>
      <c r="AD37" s="1"/>
      <c r="AE37" s="1"/>
      <c r="AF37" s="1"/>
      <c r="AG37" s="1"/>
      <c r="AH37" s="1"/>
    </row>
    <row r="38" spans="1:34" ht="29">
      <c r="A38" s="217" t="s">
        <v>151</v>
      </c>
      <c r="B38" s="7">
        <v>13806.46</v>
      </c>
      <c r="C38" s="1">
        <v>0</v>
      </c>
      <c r="D38" s="1">
        <v>189</v>
      </c>
      <c r="E38" s="1">
        <v>153.30000000000001</v>
      </c>
      <c r="F38" s="1">
        <v>0</v>
      </c>
      <c r="G38" s="1">
        <v>0</v>
      </c>
      <c r="H38" s="1">
        <v>0</v>
      </c>
      <c r="I38" s="1">
        <v>0</v>
      </c>
      <c r="J38" s="1">
        <v>94.5</v>
      </c>
      <c r="K38" s="1">
        <v>0</v>
      </c>
      <c r="L38" s="1">
        <v>0</v>
      </c>
      <c r="M38" s="1">
        <v>277.55</v>
      </c>
      <c r="N38" s="1">
        <v>0</v>
      </c>
      <c r="O38" s="205">
        <v>10355.1</v>
      </c>
      <c r="P38" s="7">
        <f t="shared" si="3"/>
        <v>14520.809999999998</v>
      </c>
      <c r="Q38" s="7">
        <f t="shared" ref="Q38" si="6">SUM(O38:P38)</f>
        <v>24875.909999999996</v>
      </c>
      <c r="S38" s="1"/>
      <c r="T38" s="1"/>
      <c r="U38" s="1"/>
      <c r="V38" s="1"/>
      <c r="W38" s="1"/>
      <c r="X38" s="1"/>
      <c r="Y38" s="1"/>
      <c r="Z38" s="1"/>
      <c r="AA38" s="1"/>
      <c r="AB38" s="1"/>
      <c r="AC38" s="1"/>
      <c r="AD38" s="1"/>
      <c r="AE38" s="1"/>
      <c r="AF38" s="1"/>
      <c r="AG38" s="1"/>
      <c r="AH38" s="1"/>
    </row>
    <row r="39" spans="1:34">
      <c r="A39" t="s">
        <v>54</v>
      </c>
      <c r="B39" s="7">
        <v>15264.64</v>
      </c>
      <c r="C39" s="1">
        <v>0</v>
      </c>
      <c r="D39" s="1">
        <v>189</v>
      </c>
      <c r="E39" s="1">
        <v>153.30000000000001</v>
      </c>
      <c r="F39" s="1">
        <v>0</v>
      </c>
      <c r="G39" s="1">
        <v>0</v>
      </c>
      <c r="H39" s="1">
        <v>0</v>
      </c>
      <c r="I39" s="1">
        <v>0</v>
      </c>
      <c r="J39" s="1">
        <v>94.5</v>
      </c>
      <c r="K39" s="1">
        <v>0</v>
      </c>
      <c r="L39" s="1">
        <v>32.549999999999997</v>
      </c>
      <c r="M39" s="1">
        <v>277.20999999999998</v>
      </c>
      <c r="N39" s="1">
        <v>0</v>
      </c>
      <c r="O39" s="205">
        <v>9812.25</v>
      </c>
      <c r="P39" s="7">
        <f t="shared" si="3"/>
        <v>16011.199999999997</v>
      </c>
      <c r="Q39" s="7">
        <f t="shared" si="4"/>
        <v>25823.449999999997</v>
      </c>
      <c r="S39" s="1"/>
      <c r="T39" s="1"/>
      <c r="U39" s="1"/>
      <c r="V39" s="1"/>
      <c r="W39" s="1"/>
      <c r="X39" s="1"/>
      <c r="Y39" s="1"/>
      <c r="Z39" s="1"/>
      <c r="AA39" s="1"/>
      <c r="AB39" s="1"/>
      <c r="AC39" s="1"/>
      <c r="AD39" s="1"/>
      <c r="AE39" s="1"/>
      <c r="AF39" s="1"/>
      <c r="AG39" s="1"/>
      <c r="AH39" s="1"/>
    </row>
    <row r="40" spans="1:34">
      <c r="A40" t="s">
        <v>55</v>
      </c>
      <c r="B40" s="7">
        <v>5453.18</v>
      </c>
      <c r="C40" s="1">
        <v>0</v>
      </c>
      <c r="D40" s="1">
        <v>0</v>
      </c>
      <c r="E40" s="1">
        <v>119.7</v>
      </c>
      <c r="F40" s="1">
        <v>0</v>
      </c>
      <c r="G40" s="1">
        <v>0</v>
      </c>
      <c r="H40" s="1">
        <v>0</v>
      </c>
      <c r="I40" s="1">
        <v>0</v>
      </c>
      <c r="J40" s="1">
        <v>0</v>
      </c>
      <c r="K40" s="1">
        <v>0</v>
      </c>
      <c r="L40" s="1">
        <v>0</v>
      </c>
      <c r="M40" s="1">
        <v>277.55</v>
      </c>
      <c r="N40" s="1">
        <v>0</v>
      </c>
      <c r="O40" s="205">
        <v>7909.12</v>
      </c>
      <c r="P40" s="7">
        <f t="shared" si="3"/>
        <v>5850.43</v>
      </c>
      <c r="Q40" s="7">
        <f t="shared" si="4"/>
        <v>13759.55</v>
      </c>
      <c r="S40" s="1"/>
      <c r="T40" s="1"/>
      <c r="U40" s="1"/>
      <c r="V40" s="1"/>
      <c r="W40" s="1"/>
      <c r="X40" s="1"/>
      <c r="Y40" s="1"/>
      <c r="Z40" s="1"/>
      <c r="AA40" s="1"/>
      <c r="AB40" s="1"/>
      <c r="AC40" s="1"/>
      <c r="AD40" s="1"/>
      <c r="AE40" s="1"/>
      <c r="AF40" s="1"/>
      <c r="AG40" s="1"/>
      <c r="AH40" s="1"/>
    </row>
    <row r="41" spans="1:34">
      <c r="A41" s="137" t="s">
        <v>187</v>
      </c>
      <c r="B41" s="251">
        <v>10149.299999999999</v>
      </c>
      <c r="C41" s="138">
        <v>0</v>
      </c>
      <c r="D41" s="138">
        <v>0</v>
      </c>
      <c r="E41" s="138">
        <v>119.7</v>
      </c>
      <c r="F41" s="138">
        <v>0</v>
      </c>
      <c r="G41" s="138">
        <v>0</v>
      </c>
      <c r="H41" s="138">
        <v>0</v>
      </c>
      <c r="I41" s="138">
        <v>0</v>
      </c>
      <c r="J41" s="138">
        <v>0</v>
      </c>
      <c r="K41" s="138">
        <v>0</v>
      </c>
      <c r="L41" s="138">
        <v>84</v>
      </c>
      <c r="M41" s="138">
        <v>277.55</v>
      </c>
      <c r="N41" s="138">
        <v>0</v>
      </c>
      <c r="O41" s="205">
        <v>15750</v>
      </c>
      <c r="P41" s="251">
        <f t="shared" si="3"/>
        <v>10630.55</v>
      </c>
      <c r="Q41" s="251">
        <f t="shared" ref="Q41" si="7">SUM(O41:P41)</f>
        <v>26380.55</v>
      </c>
      <c r="S41" s="1"/>
      <c r="T41" s="1"/>
      <c r="U41" s="1"/>
      <c r="V41" s="1"/>
      <c r="W41" s="1"/>
      <c r="X41" s="1"/>
      <c r="Y41" s="1"/>
      <c r="Z41" s="1"/>
      <c r="AA41" s="1"/>
      <c r="AB41" s="1"/>
      <c r="AC41" s="1"/>
      <c r="AD41" s="1"/>
      <c r="AE41" s="1"/>
      <c r="AF41" s="1"/>
      <c r="AG41" s="1"/>
      <c r="AH41" s="1"/>
    </row>
    <row r="42" spans="1:34">
      <c r="A42" t="s">
        <v>56</v>
      </c>
      <c r="B42" s="7">
        <v>30021.3</v>
      </c>
      <c r="C42" s="1">
        <v>0</v>
      </c>
      <c r="D42" s="1">
        <v>0</v>
      </c>
      <c r="E42" s="1">
        <v>422</v>
      </c>
      <c r="F42" s="1">
        <v>0</v>
      </c>
      <c r="G42" s="1">
        <v>0</v>
      </c>
      <c r="H42" s="1">
        <v>0</v>
      </c>
      <c r="I42" s="1">
        <v>0</v>
      </c>
      <c r="J42" s="1">
        <v>0</v>
      </c>
      <c r="K42" s="1">
        <v>0</v>
      </c>
      <c r="L42" s="1">
        <v>104.05</v>
      </c>
      <c r="M42" s="1">
        <v>293.05</v>
      </c>
      <c r="N42" s="1">
        <v>0</v>
      </c>
      <c r="O42" s="205">
        <v>33413.1</v>
      </c>
      <c r="P42" s="7">
        <f t="shared" si="3"/>
        <v>30840.399999999998</v>
      </c>
      <c r="Q42" s="7">
        <f t="shared" si="4"/>
        <v>64253.5</v>
      </c>
      <c r="S42" s="1"/>
      <c r="T42" s="1"/>
      <c r="U42" s="1"/>
      <c r="V42" s="1"/>
      <c r="W42" s="1"/>
      <c r="X42" s="1"/>
      <c r="Y42" s="1"/>
      <c r="Z42" s="1"/>
      <c r="AA42" s="1"/>
      <c r="AB42" s="1"/>
      <c r="AC42" s="1"/>
      <c r="AD42" s="1"/>
      <c r="AE42" s="1"/>
      <c r="AF42" s="1"/>
      <c r="AG42" s="1"/>
      <c r="AH42" s="1"/>
    </row>
    <row r="43" spans="1:34">
      <c r="A43" s="137" t="s">
        <v>186</v>
      </c>
      <c r="B43" s="251">
        <v>13150.2</v>
      </c>
      <c r="C43" s="138">
        <v>0</v>
      </c>
      <c r="D43" s="138">
        <v>189</v>
      </c>
      <c r="E43" s="138">
        <v>153.30000000000001</v>
      </c>
      <c r="F43" s="138">
        <v>0</v>
      </c>
      <c r="G43" s="138">
        <v>0</v>
      </c>
      <c r="H43" s="138">
        <v>0</v>
      </c>
      <c r="I43" s="138">
        <v>0</v>
      </c>
      <c r="J43" s="138">
        <v>94.5</v>
      </c>
      <c r="K43" s="138">
        <v>0</v>
      </c>
      <c r="L43" s="138">
        <v>0</v>
      </c>
      <c r="M43" s="138">
        <v>277.20999999999998</v>
      </c>
      <c r="N43" s="138">
        <v>0</v>
      </c>
      <c r="O43" s="205">
        <v>9862.65</v>
      </c>
      <c r="P43" s="251">
        <f t="shared" si="3"/>
        <v>13864.21</v>
      </c>
      <c r="Q43" s="251">
        <f t="shared" ref="Q43" si="8">SUM(O43:P43)</f>
        <v>23726.86</v>
      </c>
      <c r="S43" s="1"/>
      <c r="T43" s="1"/>
      <c r="U43" s="1"/>
      <c r="V43" s="1"/>
      <c r="W43" s="1"/>
      <c r="X43" s="1"/>
      <c r="Y43" s="1"/>
      <c r="Z43" s="1"/>
      <c r="AA43" s="1"/>
      <c r="AB43" s="1"/>
      <c r="AC43" s="1"/>
      <c r="AD43" s="1"/>
      <c r="AE43" s="1"/>
      <c r="AF43" s="1"/>
      <c r="AG43" s="1"/>
      <c r="AH43" s="1"/>
    </row>
    <row r="44" spans="1:34" ht="29" hidden="1">
      <c r="A44" s="218" t="s">
        <v>190</v>
      </c>
      <c r="B44" s="254"/>
      <c r="C44" s="205"/>
      <c r="D44" s="205"/>
      <c r="E44" s="205"/>
      <c r="F44" s="205"/>
      <c r="G44" s="205"/>
      <c r="H44" s="205"/>
      <c r="I44" s="205"/>
      <c r="J44" s="205"/>
      <c r="K44" s="205"/>
      <c r="L44" s="205"/>
      <c r="M44" s="205"/>
      <c r="N44" s="205"/>
      <c r="O44" s="205"/>
      <c r="P44" s="254">
        <f t="shared" si="3"/>
        <v>0</v>
      </c>
      <c r="Q44" s="254">
        <f t="shared" ref="Q44" si="9">SUM(O44:P44)</f>
        <v>0</v>
      </c>
      <c r="S44" s="1"/>
      <c r="T44" s="1"/>
      <c r="U44" s="1"/>
      <c r="V44" s="1"/>
      <c r="W44" s="1"/>
      <c r="X44" s="1"/>
      <c r="Y44" s="1"/>
      <c r="Z44" s="1"/>
      <c r="AA44" s="1"/>
      <c r="AB44" s="1"/>
      <c r="AC44" s="1"/>
      <c r="AD44" s="1"/>
      <c r="AE44" s="1"/>
      <c r="AF44" s="1"/>
      <c r="AG44" s="1"/>
      <c r="AH44" s="1"/>
    </row>
    <row r="45" spans="1:34">
      <c r="A45" s="124" t="s">
        <v>57</v>
      </c>
      <c r="B45" s="7">
        <v>13143.369999999999</v>
      </c>
      <c r="C45" s="1">
        <v>0</v>
      </c>
      <c r="D45" s="1">
        <v>189</v>
      </c>
      <c r="E45" s="1">
        <v>153.30000000000001</v>
      </c>
      <c r="F45" s="1">
        <v>0</v>
      </c>
      <c r="G45" s="1">
        <v>0</v>
      </c>
      <c r="H45" s="1">
        <v>0</v>
      </c>
      <c r="I45" s="1">
        <v>0</v>
      </c>
      <c r="J45" s="1">
        <v>94.5</v>
      </c>
      <c r="K45" s="1">
        <v>0</v>
      </c>
      <c r="L45" s="1">
        <v>32.549999999999997</v>
      </c>
      <c r="M45" s="1">
        <v>277.20999999999998</v>
      </c>
      <c r="N45" s="1">
        <v>0</v>
      </c>
      <c r="O45" s="205">
        <v>10227</v>
      </c>
      <c r="P45" s="7">
        <f t="shared" si="3"/>
        <v>13889.929999999997</v>
      </c>
      <c r="Q45" s="7">
        <f t="shared" si="4"/>
        <v>24116.929999999997</v>
      </c>
      <c r="S45" s="1"/>
      <c r="T45" s="1"/>
      <c r="U45" s="1"/>
      <c r="V45" s="1"/>
      <c r="W45" s="1"/>
      <c r="X45" s="1"/>
      <c r="Y45" s="1"/>
      <c r="Z45" s="1"/>
      <c r="AA45" s="1"/>
      <c r="AB45" s="1"/>
      <c r="AC45" s="1"/>
      <c r="AD45" s="1"/>
      <c r="AE45" s="1"/>
      <c r="AF45" s="1"/>
      <c r="AG45" s="1"/>
      <c r="AH45" s="1"/>
    </row>
    <row r="46" spans="1:34">
      <c r="A46" s="212" t="s">
        <v>32</v>
      </c>
      <c r="B46" s="253"/>
      <c r="C46" s="213"/>
      <c r="D46" s="213"/>
      <c r="E46" s="213"/>
      <c r="F46" s="213"/>
      <c r="G46" s="213"/>
      <c r="H46" s="213"/>
      <c r="I46" s="213"/>
      <c r="J46" s="213"/>
      <c r="K46" s="213"/>
      <c r="L46" s="213"/>
      <c r="M46" s="213"/>
      <c r="N46" s="213"/>
      <c r="O46" s="214"/>
      <c r="P46" s="253"/>
      <c r="Q46" s="253"/>
      <c r="S46" s="1"/>
      <c r="T46" s="1"/>
      <c r="U46" s="1"/>
      <c r="V46" s="1"/>
      <c r="W46" s="1"/>
      <c r="X46" s="1"/>
      <c r="Y46" s="1"/>
      <c r="Z46" s="1"/>
      <c r="AA46" s="1"/>
      <c r="AB46" s="1"/>
      <c r="AC46" s="1"/>
      <c r="AD46" s="1"/>
      <c r="AE46" s="1"/>
      <c r="AF46" s="1"/>
      <c r="AG46" s="1"/>
      <c r="AH46" s="1"/>
    </row>
    <row r="47" spans="1:34" ht="16.5">
      <c r="A47" t="s">
        <v>176</v>
      </c>
      <c r="B47" s="7">
        <v>5336</v>
      </c>
      <c r="C47" s="1">
        <v>259</v>
      </c>
      <c r="D47" s="1">
        <v>200</v>
      </c>
      <c r="E47" s="1">
        <v>124</v>
      </c>
      <c r="F47" s="1">
        <v>50</v>
      </c>
      <c r="G47" s="1">
        <v>25.6</v>
      </c>
      <c r="H47" s="1">
        <v>54.4</v>
      </c>
      <c r="I47" s="1">
        <v>530</v>
      </c>
      <c r="J47" s="1">
        <v>100</v>
      </c>
      <c r="K47" s="1">
        <v>80</v>
      </c>
      <c r="L47" s="1">
        <v>3025</v>
      </c>
      <c r="M47" s="1">
        <v>1173</v>
      </c>
      <c r="N47" s="1">
        <v>0</v>
      </c>
      <c r="O47" s="205">
        <v>6446</v>
      </c>
      <c r="P47" s="7">
        <f>SUM(B47:N47)</f>
        <v>10957</v>
      </c>
      <c r="Q47" s="7">
        <f>SUM(O47:P47)</f>
        <v>17403</v>
      </c>
      <c r="S47" s="1"/>
      <c r="T47" s="1"/>
      <c r="U47" s="1"/>
      <c r="V47" s="1"/>
      <c r="W47" s="1"/>
      <c r="X47" s="1"/>
      <c r="Y47" s="1"/>
      <c r="Z47" s="1"/>
      <c r="AA47" s="1"/>
      <c r="AB47" s="1"/>
      <c r="AC47" s="1"/>
      <c r="AD47" s="1"/>
      <c r="AE47" s="1"/>
      <c r="AF47" s="1"/>
      <c r="AG47" s="1"/>
      <c r="AH47" s="1"/>
    </row>
    <row r="48" spans="1:34" ht="16.5">
      <c r="A48" t="s">
        <v>178</v>
      </c>
      <c r="B48" s="7">
        <v>6024</v>
      </c>
      <c r="C48" s="1">
        <v>0</v>
      </c>
      <c r="D48" s="1">
        <v>200</v>
      </c>
      <c r="E48" s="1">
        <v>136</v>
      </c>
      <c r="F48" s="1">
        <v>80</v>
      </c>
      <c r="G48" s="1">
        <v>80</v>
      </c>
      <c r="H48" s="1">
        <v>519</v>
      </c>
      <c r="I48" s="1">
        <v>0</v>
      </c>
      <c r="J48" s="1">
        <v>140</v>
      </c>
      <c r="K48" s="1">
        <v>80</v>
      </c>
      <c r="L48" s="1">
        <v>2968</v>
      </c>
      <c r="M48" s="1">
        <v>726</v>
      </c>
      <c r="N48" s="1">
        <v>0</v>
      </c>
      <c r="O48" s="205">
        <v>6942</v>
      </c>
      <c r="P48" s="7">
        <f>SUM(B48:N48)</f>
        <v>10953</v>
      </c>
      <c r="Q48" s="7">
        <f>SUM(O48:P48)</f>
        <v>17895</v>
      </c>
      <c r="S48" s="1"/>
      <c r="T48" s="1"/>
      <c r="U48" s="1"/>
      <c r="V48" s="1"/>
      <c r="W48" s="1"/>
      <c r="X48" s="1"/>
      <c r="Y48" s="1"/>
      <c r="Z48" s="1"/>
      <c r="AA48" s="1"/>
      <c r="AB48" s="1"/>
      <c r="AC48" s="1"/>
      <c r="AD48" s="1"/>
      <c r="AE48" s="1"/>
      <c r="AF48" s="1"/>
      <c r="AG48" s="1"/>
      <c r="AH48" s="1"/>
    </row>
    <row r="49" spans="1:34">
      <c r="A49" t="s">
        <v>193</v>
      </c>
      <c r="B49" s="7">
        <v>10484</v>
      </c>
      <c r="C49" s="1">
        <v>1596</v>
      </c>
      <c r="D49" s="1">
        <v>200</v>
      </c>
      <c r="E49" s="1">
        <v>190</v>
      </c>
      <c r="F49" s="1">
        <v>50</v>
      </c>
      <c r="G49" s="1">
        <v>20</v>
      </c>
      <c r="H49" s="1">
        <v>60</v>
      </c>
      <c r="I49" s="1">
        <v>0</v>
      </c>
      <c r="J49" s="1">
        <v>100</v>
      </c>
      <c r="K49" s="1">
        <v>80</v>
      </c>
      <c r="L49" s="1">
        <v>3467</v>
      </c>
      <c r="M49" s="1">
        <v>379</v>
      </c>
      <c r="N49" s="1">
        <v>0</v>
      </c>
      <c r="O49" s="205">
        <v>15000</v>
      </c>
      <c r="P49" s="7">
        <f>SUM(B49:N49)</f>
        <v>16626</v>
      </c>
      <c r="Q49" s="7">
        <f>SUM(O49:P49)</f>
        <v>31626</v>
      </c>
      <c r="S49" s="1"/>
      <c r="T49" s="1"/>
      <c r="U49" s="1"/>
      <c r="V49" s="1"/>
      <c r="W49" s="1"/>
      <c r="X49" s="1"/>
      <c r="Y49" s="1"/>
      <c r="Z49" s="1"/>
      <c r="AA49" s="1"/>
      <c r="AB49" s="1"/>
      <c r="AC49" s="1"/>
      <c r="AD49" s="1"/>
      <c r="AE49" s="1"/>
      <c r="AF49" s="1"/>
      <c r="AG49" s="1"/>
      <c r="AH49" s="1"/>
    </row>
    <row r="50" spans="1:34">
      <c r="A50" t="s">
        <v>194</v>
      </c>
      <c r="B50" s="7">
        <v>10484</v>
      </c>
      <c r="C50" s="1">
        <v>400</v>
      </c>
      <c r="D50" s="1">
        <v>200</v>
      </c>
      <c r="E50" s="1">
        <v>190</v>
      </c>
      <c r="F50" s="1">
        <v>50</v>
      </c>
      <c r="G50" s="1">
        <v>20</v>
      </c>
      <c r="H50" s="1">
        <v>60</v>
      </c>
      <c r="I50" s="1">
        <v>0</v>
      </c>
      <c r="J50" s="1">
        <v>100</v>
      </c>
      <c r="K50" s="1">
        <v>80</v>
      </c>
      <c r="L50" s="1">
        <v>3467</v>
      </c>
      <c r="M50" s="1">
        <v>379</v>
      </c>
      <c r="N50" s="1">
        <v>0</v>
      </c>
      <c r="O50" s="205">
        <v>15000</v>
      </c>
      <c r="P50" s="7">
        <f>SUM(B50:N50)</f>
        <v>15430</v>
      </c>
      <c r="Q50" s="7">
        <f t="shared" ref="Q50:Q51" si="10">SUM(O50:P50)</f>
        <v>30430</v>
      </c>
    </row>
    <row r="51" spans="1:34">
      <c r="A51" t="s">
        <v>195</v>
      </c>
      <c r="B51" s="7">
        <v>10484</v>
      </c>
      <c r="C51" s="1">
        <v>400</v>
      </c>
      <c r="D51" s="1">
        <v>200</v>
      </c>
      <c r="E51" s="1">
        <v>190</v>
      </c>
      <c r="F51" s="1">
        <v>50</v>
      </c>
      <c r="G51" s="1">
        <v>20</v>
      </c>
      <c r="H51" s="1">
        <v>60</v>
      </c>
      <c r="I51" s="1">
        <v>0</v>
      </c>
      <c r="J51" s="1">
        <v>100</v>
      </c>
      <c r="K51" s="1">
        <v>80</v>
      </c>
      <c r="L51" s="1">
        <v>3467</v>
      </c>
      <c r="M51" s="1">
        <v>379</v>
      </c>
      <c r="N51" s="1">
        <v>0</v>
      </c>
      <c r="O51" s="205">
        <v>15000</v>
      </c>
      <c r="P51" s="7">
        <f>SUM(B51:N51)</f>
        <v>15430</v>
      </c>
      <c r="Q51" s="7">
        <f t="shared" si="10"/>
        <v>30430</v>
      </c>
    </row>
    <row r="53" spans="1:34">
      <c r="A53" s="144" t="s">
        <v>173</v>
      </c>
    </row>
    <row r="54" spans="1:34">
      <c r="A54" s="144" t="s">
        <v>174</v>
      </c>
    </row>
    <row r="55" spans="1:34">
      <c r="A55" s="144" t="s">
        <v>441</v>
      </c>
    </row>
  </sheetData>
  <phoneticPr fontId="2" type="noConversion"/>
  <pageMargins left="0.7" right="0.7" top="0.75" bottom="0.75" header="0.3" footer="0.3"/>
  <pageSetup paperSize="5" scale="64" orientation="landscape" r:id="rId1"/>
  <ignoredErrors>
    <ignoredError sqref="P7:P13 P47:P49 P45 P21:P24 P26:P37 P42 P39:P40 P17"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K55"/>
  <sheetViews>
    <sheetView zoomScaleNormal="100" workbookViewId="0">
      <pane xSplit="1" ySplit="4" topLeftCell="F8" activePane="bottomRight" state="frozen"/>
      <selection activeCell="A2" sqref="A2"/>
      <selection pane="topRight" activeCell="A2" sqref="A2"/>
      <selection pane="bottomLeft" activeCell="A2" sqref="A2"/>
      <selection pane="bottomRight" activeCell="Q22" sqref="Q22"/>
    </sheetView>
  </sheetViews>
  <sheetFormatPr defaultRowHeight="14.5"/>
  <cols>
    <col min="1" max="1" width="32.7265625" customWidth="1"/>
    <col min="2" max="2" width="10.81640625" style="7" customWidth="1"/>
    <col min="3" max="3" width="10.81640625" style="1" customWidth="1"/>
    <col min="4" max="4" width="10.54296875" style="1" customWidth="1"/>
    <col min="5" max="5" width="11.453125" style="1" customWidth="1"/>
    <col min="6" max="6" width="13.453125" style="1" customWidth="1"/>
    <col min="7" max="9" width="10.1796875" style="1" customWidth="1"/>
    <col min="10" max="10" width="12.1796875" style="1" customWidth="1"/>
    <col min="11" max="11" width="10.81640625" style="1" customWidth="1"/>
    <col min="12" max="12" width="10.453125" style="1" customWidth="1"/>
    <col min="13" max="14" width="11.81640625" style="1" customWidth="1"/>
    <col min="15" max="15" width="11" style="1" customWidth="1"/>
    <col min="16" max="17" width="10.1796875" style="7" bestFit="1" customWidth="1"/>
    <col min="18" max="18" width="2.81640625" style="1" customWidth="1"/>
    <col min="20" max="20" width="11.54296875" customWidth="1"/>
  </cols>
  <sheetData>
    <row r="1" spans="1:37" s="5" customFormat="1">
      <c r="A1" s="5" t="s">
        <v>201</v>
      </c>
      <c r="B1" s="81"/>
      <c r="C1" s="6"/>
      <c r="D1" s="6"/>
      <c r="E1" s="6"/>
      <c r="F1" s="6"/>
      <c r="G1" s="6"/>
      <c r="H1" s="6"/>
      <c r="I1" s="6"/>
      <c r="J1" s="6"/>
      <c r="K1" s="6"/>
      <c r="L1" s="6"/>
      <c r="M1" s="6"/>
      <c r="N1" s="6"/>
      <c r="O1" s="6"/>
      <c r="P1" s="81"/>
      <c r="Q1" s="81"/>
      <c r="R1" s="6"/>
    </row>
    <row r="2" spans="1:37" s="5" customFormat="1">
      <c r="A2" s="5" t="s">
        <v>65</v>
      </c>
      <c r="B2" s="81"/>
      <c r="C2" s="6"/>
      <c r="D2" s="6"/>
      <c r="E2" s="6"/>
      <c r="F2" s="6"/>
      <c r="G2" s="6"/>
      <c r="H2" s="6"/>
      <c r="I2" s="6"/>
      <c r="J2" s="6"/>
      <c r="K2" s="6"/>
      <c r="L2" s="6"/>
      <c r="M2" s="6"/>
      <c r="N2" s="6"/>
      <c r="O2" s="6"/>
      <c r="P2" s="81"/>
      <c r="Q2" s="81"/>
      <c r="R2" s="6"/>
    </row>
    <row r="4" spans="1:37" s="4" customFormat="1" ht="72.5">
      <c r="A4" s="2" t="s">
        <v>0</v>
      </c>
      <c r="B4" s="249" t="s">
        <v>1</v>
      </c>
      <c r="C4" s="3" t="s">
        <v>121</v>
      </c>
      <c r="D4" s="3" t="s">
        <v>2</v>
      </c>
      <c r="E4" s="3" t="s">
        <v>3</v>
      </c>
      <c r="F4" s="3" t="s">
        <v>124</v>
      </c>
      <c r="G4" s="3" t="s">
        <v>5</v>
      </c>
      <c r="H4" s="3" t="s">
        <v>67</v>
      </c>
      <c r="I4" s="3" t="s">
        <v>125</v>
      </c>
      <c r="J4" s="3" t="s">
        <v>6</v>
      </c>
      <c r="K4" s="3" t="s">
        <v>7</v>
      </c>
      <c r="L4" s="3" t="s">
        <v>8</v>
      </c>
      <c r="M4" s="3" t="s">
        <v>9</v>
      </c>
      <c r="N4" s="3" t="s">
        <v>59</v>
      </c>
      <c r="O4" s="203" t="s">
        <v>10</v>
      </c>
      <c r="P4" s="249" t="s">
        <v>19</v>
      </c>
      <c r="Q4" s="249" t="s">
        <v>20</v>
      </c>
      <c r="R4" s="3"/>
      <c r="T4" s="4" t="s">
        <v>126</v>
      </c>
      <c r="V4" s="3"/>
      <c r="W4" s="3"/>
      <c r="X4" s="3"/>
      <c r="Y4" s="3"/>
      <c r="Z4" s="3"/>
      <c r="AA4" s="3"/>
      <c r="AB4" s="3"/>
      <c r="AC4" s="3"/>
      <c r="AD4" s="3"/>
      <c r="AE4" s="3"/>
      <c r="AF4" s="3"/>
      <c r="AG4" s="3"/>
      <c r="AH4" s="3"/>
      <c r="AI4" s="3"/>
      <c r="AJ4" s="3"/>
      <c r="AK4" s="3"/>
    </row>
    <row r="5" spans="1:37" s="125" customFormat="1">
      <c r="A5" s="209" t="s">
        <v>22</v>
      </c>
      <c r="B5" s="252"/>
      <c r="C5" s="210"/>
      <c r="D5" s="210"/>
      <c r="E5" s="210"/>
      <c r="F5" s="210"/>
      <c r="G5" s="210"/>
      <c r="H5" s="210"/>
      <c r="I5" s="210"/>
      <c r="J5" s="210"/>
      <c r="K5" s="210"/>
      <c r="L5" s="210"/>
      <c r="M5" s="210"/>
      <c r="N5" s="210"/>
      <c r="O5" s="211"/>
      <c r="P5" s="252"/>
      <c r="Q5" s="252"/>
      <c r="R5" s="126"/>
    </row>
    <row r="6" spans="1:37">
      <c r="A6" t="s">
        <v>12</v>
      </c>
      <c r="B6" s="7">
        <v>5365.5</v>
      </c>
      <c r="C6" s="1">
        <v>406.76</v>
      </c>
      <c r="D6" s="1">
        <v>248.4</v>
      </c>
      <c r="E6" s="1">
        <v>136.62</v>
      </c>
      <c r="F6" s="1">
        <v>51.76</v>
      </c>
      <c r="G6" s="1">
        <v>22.78</v>
      </c>
      <c r="H6" s="1">
        <v>99.36</v>
      </c>
      <c r="I6" s="1">
        <v>0</v>
      </c>
      <c r="J6" s="1">
        <v>124.2</v>
      </c>
      <c r="K6" s="1">
        <v>248.4</v>
      </c>
      <c r="L6" s="1">
        <v>422.28</v>
      </c>
      <c r="M6" s="1">
        <v>840.42</v>
      </c>
      <c r="N6" s="1">
        <v>0</v>
      </c>
      <c r="O6" s="205">
        <v>9023</v>
      </c>
      <c r="P6" s="7">
        <f t="shared" ref="P6:P17" si="0">SUM(B6:N6)</f>
        <v>7966.4799999999987</v>
      </c>
      <c r="Q6" s="7">
        <f t="shared" ref="Q6" si="1">SUM(O6:P6)</f>
        <v>16989.48</v>
      </c>
      <c r="T6" s="1">
        <f>SUM(D6:M6)</f>
        <v>2194.2199999999998</v>
      </c>
      <c r="V6" s="1"/>
      <c r="W6" s="1"/>
      <c r="X6" s="1"/>
      <c r="Y6" s="1"/>
      <c r="Z6" s="1"/>
      <c r="AA6" s="1"/>
      <c r="AB6" s="1"/>
      <c r="AC6" s="1"/>
      <c r="AD6" s="1"/>
      <c r="AE6" s="1"/>
      <c r="AF6" s="1"/>
      <c r="AG6" s="1"/>
      <c r="AH6" s="1"/>
      <c r="AI6" s="1"/>
      <c r="AJ6" s="1"/>
      <c r="AK6" s="1"/>
    </row>
    <row r="7" spans="1:37">
      <c r="A7" t="s">
        <v>13</v>
      </c>
      <c r="B7" s="7">
        <f>5841+153</f>
        <v>5994</v>
      </c>
      <c r="C7" s="1">
        <v>2104</v>
      </c>
      <c r="D7" s="1">
        <v>240</v>
      </c>
      <c r="E7" s="1">
        <v>138</v>
      </c>
      <c r="F7" s="1">
        <v>50.010000000000005</v>
      </c>
      <c r="G7" s="1">
        <v>37</v>
      </c>
      <c r="H7" s="1">
        <v>96</v>
      </c>
      <c r="I7" s="1">
        <v>0</v>
      </c>
      <c r="J7" s="1">
        <v>120</v>
      </c>
      <c r="K7" s="1">
        <v>240</v>
      </c>
      <c r="L7" s="1">
        <v>1433.6999999999998</v>
      </c>
      <c r="M7" s="1">
        <v>419</v>
      </c>
      <c r="N7" s="1">
        <v>0</v>
      </c>
      <c r="O7" s="205">
        <v>6741</v>
      </c>
      <c r="P7" s="7">
        <f t="shared" si="0"/>
        <v>10871.71</v>
      </c>
      <c r="Q7" s="7">
        <f t="shared" ref="Q7:Q17" si="2">SUM(O7:P7)</f>
        <v>17612.71</v>
      </c>
      <c r="T7" s="1">
        <f t="shared" ref="T7:T17" si="3">SUM(D7:M7)</f>
        <v>2773.71</v>
      </c>
      <c r="V7" s="1"/>
      <c r="W7" s="1"/>
      <c r="X7" s="1"/>
      <c r="Y7" s="1"/>
      <c r="Z7" s="1"/>
      <c r="AA7" s="1"/>
      <c r="AB7" s="1"/>
      <c r="AC7" s="1"/>
      <c r="AD7" s="1"/>
      <c r="AE7" s="1"/>
      <c r="AF7" s="1"/>
      <c r="AG7" s="1"/>
      <c r="AH7" s="1"/>
      <c r="AI7" s="1"/>
      <c r="AJ7" s="1"/>
      <c r="AK7" s="1"/>
    </row>
    <row r="8" spans="1:37">
      <c r="A8" t="s">
        <v>14</v>
      </c>
      <c r="B8" s="7">
        <v>5702.74</v>
      </c>
      <c r="C8" s="1">
        <v>1880.44</v>
      </c>
      <c r="D8" s="1">
        <v>180</v>
      </c>
      <c r="E8" s="1">
        <v>118</v>
      </c>
      <c r="F8" s="1">
        <v>50</v>
      </c>
      <c r="G8" s="1">
        <v>20</v>
      </c>
      <c r="H8" s="1">
        <v>96</v>
      </c>
      <c r="I8" s="1">
        <v>0</v>
      </c>
      <c r="J8" s="1">
        <v>120</v>
      </c>
      <c r="K8" s="1">
        <v>240</v>
      </c>
      <c r="L8" s="1">
        <v>240</v>
      </c>
      <c r="M8" s="1">
        <v>907.2</v>
      </c>
      <c r="N8" s="1">
        <v>0</v>
      </c>
      <c r="O8" s="205">
        <v>2000</v>
      </c>
      <c r="P8" s="7">
        <f t="shared" si="0"/>
        <v>9554.380000000001</v>
      </c>
      <c r="Q8" s="7">
        <f t="shared" si="2"/>
        <v>11554.380000000001</v>
      </c>
      <c r="T8" s="1">
        <f t="shared" si="3"/>
        <v>1971.2</v>
      </c>
      <c r="V8" s="1"/>
      <c r="W8" s="1"/>
      <c r="X8" s="1"/>
      <c r="Y8" s="1"/>
      <c r="Z8" s="1"/>
      <c r="AA8" s="1"/>
      <c r="AB8" s="1"/>
      <c r="AC8" s="1"/>
      <c r="AD8" s="1"/>
      <c r="AE8" s="1"/>
      <c r="AF8" s="1"/>
      <c r="AG8" s="1"/>
      <c r="AH8" s="1"/>
      <c r="AI8" s="1"/>
      <c r="AJ8" s="1"/>
      <c r="AK8" s="1"/>
    </row>
    <row r="9" spans="1:37">
      <c r="A9" t="s">
        <v>15</v>
      </c>
      <c r="B9" s="7">
        <v>5685.6</v>
      </c>
      <c r="C9" s="1">
        <f>1211.94+162.78</f>
        <v>1374.72</v>
      </c>
      <c r="D9" s="1">
        <v>240</v>
      </c>
      <c r="E9" s="1">
        <v>120</v>
      </c>
      <c r="F9" s="1">
        <v>50</v>
      </c>
      <c r="G9" s="1">
        <v>20</v>
      </c>
      <c r="H9" s="1">
        <v>96</v>
      </c>
      <c r="I9" s="1">
        <v>0</v>
      </c>
      <c r="J9" s="1">
        <v>120</v>
      </c>
      <c r="K9" s="1">
        <v>156</v>
      </c>
      <c r="L9" s="1">
        <v>414.2</v>
      </c>
      <c r="M9" s="1">
        <v>1106.5</v>
      </c>
      <c r="N9" s="1">
        <v>0</v>
      </c>
      <c r="O9" s="205">
        <v>1093.2</v>
      </c>
      <c r="P9" s="7">
        <f t="shared" si="0"/>
        <v>9383.02</v>
      </c>
      <c r="Q9" s="7">
        <f t="shared" si="2"/>
        <v>10476.220000000001</v>
      </c>
      <c r="T9" s="1">
        <f t="shared" si="3"/>
        <v>2322.6999999999998</v>
      </c>
      <c r="V9" s="1"/>
      <c r="W9" s="1"/>
      <c r="X9" s="1"/>
      <c r="Y9" s="1"/>
      <c r="Z9" s="1"/>
      <c r="AA9" s="1"/>
      <c r="AB9" s="1"/>
      <c r="AC9" s="1"/>
      <c r="AD9" s="1"/>
      <c r="AE9" s="1"/>
      <c r="AF9" s="1"/>
      <c r="AG9" s="1"/>
      <c r="AH9" s="1"/>
      <c r="AI9" s="1"/>
      <c r="AJ9" s="1"/>
      <c r="AK9" s="1"/>
    </row>
    <row r="10" spans="1:37">
      <c r="A10" t="s">
        <v>16</v>
      </c>
      <c r="B10" s="7">
        <v>5738</v>
      </c>
      <c r="C10" s="1">
        <f>2024+768</f>
        <v>2792</v>
      </c>
      <c r="D10" s="1">
        <v>240</v>
      </c>
      <c r="E10" s="1">
        <v>124</v>
      </c>
      <c r="F10" s="1">
        <v>50</v>
      </c>
      <c r="G10" s="1">
        <v>20</v>
      </c>
      <c r="H10" s="1">
        <v>96</v>
      </c>
      <c r="I10" s="1">
        <v>210</v>
      </c>
      <c r="J10" s="1">
        <v>120</v>
      </c>
      <c r="K10" s="1">
        <v>0</v>
      </c>
      <c r="L10" s="1">
        <v>596</v>
      </c>
      <c r="M10" s="1">
        <v>668</v>
      </c>
      <c r="N10" s="1">
        <v>0</v>
      </c>
      <c r="O10" s="205">
        <v>10788</v>
      </c>
      <c r="P10" s="7">
        <f t="shared" si="0"/>
        <v>10654</v>
      </c>
      <c r="Q10" s="7">
        <f t="shared" si="2"/>
        <v>21442</v>
      </c>
      <c r="T10" s="1">
        <f t="shared" si="3"/>
        <v>2124</v>
      </c>
      <c r="V10" s="1"/>
      <c r="W10" s="1"/>
      <c r="X10" s="1"/>
      <c r="Y10" s="1"/>
      <c r="Z10" s="1"/>
      <c r="AA10" s="1"/>
      <c r="AB10" s="1"/>
      <c r="AC10" s="1"/>
      <c r="AD10" s="1"/>
      <c r="AE10" s="1"/>
      <c r="AF10" s="1"/>
      <c r="AG10" s="1"/>
      <c r="AH10" s="1"/>
      <c r="AI10" s="1"/>
      <c r="AJ10" s="1"/>
      <c r="AK10" s="1"/>
    </row>
    <row r="11" spans="1:37">
      <c r="A11" t="s">
        <v>17</v>
      </c>
      <c r="B11" s="7">
        <v>6684</v>
      </c>
      <c r="C11" s="1">
        <f>490+180</f>
        <v>670</v>
      </c>
      <c r="D11" s="1">
        <v>240</v>
      </c>
      <c r="E11" s="1">
        <v>115</v>
      </c>
      <c r="F11" s="1">
        <v>50</v>
      </c>
      <c r="G11" s="1">
        <v>20</v>
      </c>
      <c r="H11" s="1">
        <v>96</v>
      </c>
      <c r="I11" s="1">
        <v>0</v>
      </c>
      <c r="J11" s="1">
        <v>120</v>
      </c>
      <c r="K11" s="1">
        <v>240</v>
      </c>
      <c r="L11" s="1">
        <v>1172</v>
      </c>
      <c r="M11" s="1">
        <v>519</v>
      </c>
      <c r="N11" s="1">
        <v>0</v>
      </c>
      <c r="O11" s="205">
        <v>12478</v>
      </c>
      <c r="P11" s="7">
        <f t="shared" si="0"/>
        <v>9926</v>
      </c>
      <c r="Q11" s="7">
        <f t="shared" si="2"/>
        <v>22404</v>
      </c>
      <c r="T11" s="1">
        <f t="shared" si="3"/>
        <v>2572</v>
      </c>
      <c r="V11" s="1"/>
      <c r="W11" s="1"/>
      <c r="X11" s="1"/>
      <c r="Y11" s="1"/>
      <c r="Z11" s="1"/>
      <c r="AA11" s="1"/>
      <c r="AB11" s="1"/>
      <c r="AC11" s="1"/>
      <c r="AD11" s="1"/>
      <c r="AE11" s="1"/>
      <c r="AF11" s="1"/>
      <c r="AG11" s="1"/>
      <c r="AH11" s="1"/>
      <c r="AI11" s="1"/>
      <c r="AJ11" s="1"/>
      <c r="AK11" s="1"/>
    </row>
    <row r="12" spans="1:37">
      <c r="A12" t="s">
        <v>18</v>
      </c>
      <c r="B12" s="7">
        <f>5510.52+305.46</f>
        <v>5815.9800000000005</v>
      </c>
      <c r="C12" s="1">
        <v>3986.66</v>
      </c>
      <c r="D12" s="1">
        <v>240</v>
      </c>
      <c r="E12" s="1">
        <v>122.4</v>
      </c>
      <c r="F12" s="1">
        <v>50</v>
      </c>
      <c r="G12" s="1">
        <v>20</v>
      </c>
      <c r="H12" s="1">
        <v>96</v>
      </c>
      <c r="I12" s="1">
        <v>0</v>
      </c>
      <c r="J12" s="1">
        <v>120</v>
      </c>
      <c r="K12" s="1">
        <v>240</v>
      </c>
      <c r="L12" s="1">
        <v>799.92</v>
      </c>
      <c r="M12" s="1">
        <v>771.04</v>
      </c>
      <c r="N12" s="1">
        <v>0</v>
      </c>
      <c r="O12" s="205">
        <v>13728</v>
      </c>
      <c r="P12" s="7">
        <f t="shared" si="0"/>
        <v>12262</v>
      </c>
      <c r="Q12" s="7">
        <f t="shared" si="2"/>
        <v>25990</v>
      </c>
      <c r="T12" s="1">
        <f t="shared" si="3"/>
        <v>2459.3599999999997</v>
      </c>
      <c r="V12" s="1"/>
      <c r="W12" s="1"/>
      <c r="X12" s="1"/>
      <c r="Y12" s="1"/>
      <c r="Z12" s="1"/>
      <c r="AA12" s="1"/>
      <c r="AB12" s="1"/>
      <c r="AC12" s="1"/>
      <c r="AD12" s="1"/>
      <c r="AE12" s="1"/>
      <c r="AF12" s="1"/>
      <c r="AG12" s="1"/>
      <c r="AH12" s="1"/>
      <c r="AI12" s="1"/>
      <c r="AJ12" s="1"/>
      <c r="AK12" s="1"/>
    </row>
    <row r="13" spans="1:37">
      <c r="A13" t="s">
        <v>45</v>
      </c>
      <c r="B13" s="7">
        <v>6489</v>
      </c>
      <c r="C13" s="1">
        <f>901+792</f>
        <v>1693</v>
      </c>
      <c r="D13" s="1">
        <v>240</v>
      </c>
      <c r="E13" s="1">
        <v>120</v>
      </c>
      <c r="F13" s="1">
        <v>50</v>
      </c>
      <c r="G13" s="1">
        <v>20</v>
      </c>
      <c r="H13" s="1">
        <v>96</v>
      </c>
      <c r="I13" s="1">
        <v>0</v>
      </c>
      <c r="J13" s="1">
        <v>120</v>
      </c>
      <c r="K13" s="1">
        <v>240</v>
      </c>
      <c r="L13" s="1">
        <v>972</v>
      </c>
      <c r="M13" s="1">
        <v>800</v>
      </c>
      <c r="N13" s="1">
        <v>0</v>
      </c>
      <c r="O13" s="205">
        <v>12100</v>
      </c>
      <c r="P13" s="7">
        <f t="shared" si="0"/>
        <v>10840</v>
      </c>
      <c r="Q13" s="7">
        <f t="shared" si="2"/>
        <v>22940</v>
      </c>
      <c r="T13" s="1">
        <f t="shared" si="3"/>
        <v>2658</v>
      </c>
      <c r="V13" s="1"/>
      <c r="W13" s="1"/>
      <c r="X13" s="1"/>
      <c r="Y13" s="1"/>
      <c r="Z13" s="1"/>
      <c r="AA13" s="1"/>
      <c r="AB13" s="1"/>
      <c r="AC13" s="1"/>
      <c r="AD13" s="1"/>
      <c r="AE13" s="1"/>
      <c r="AF13" s="1"/>
      <c r="AG13" s="1"/>
      <c r="AH13" s="1"/>
      <c r="AI13" s="1"/>
      <c r="AJ13" s="1"/>
      <c r="AK13" s="1"/>
    </row>
    <row r="14" spans="1:37">
      <c r="A14" t="s">
        <v>46</v>
      </c>
      <c r="B14" s="7">
        <v>10729</v>
      </c>
      <c r="C14" s="1">
        <f>1224+1171</f>
        <v>2395</v>
      </c>
      <c r="D14" s="1">
        <v>240</v>
      </c>
      <c r="E14" s="1">
        <v>120</v>
      </c>
      <c r="F14" s="1">
        <v>50</v>
      </c>
      <c r="G14" s="1">
        <v>20</v>
      </c>
      <c r="H14" s="1">
        <v>96</v>
      </c>
      <c r="I14" s="1">
        <v>0</v>
      </c>
      <c r="J14" s="1">
        <v>150</v>
      </c>
      <c r="K14" s="1">
        <v>300</v>
      </c>
      <c r="L14" s="1">
        <v>1050</v>
      </c>
      <c r="M14" s="1">
        <v>800</v>
      </c>
      <c r="N14" s="1">
        <v>10034</v>
      </c>
      <c r="O14" s="205">
        <v>20256</v>
      </c>
      <c r="P14" s="7">
        <f t="shared" si="0"/>
        <v>25984</v>
      </c>
      <c r="Q14" s="7">
        <f t="shared" si="2"/>
        <v>46240</v>
      </c>
      <c r="T14" s="1">
        <f t="shared" si="3"/>
        <v>2826</v>
      </c>
      <c r="V14" s="1"/>
      <c r="W14" s="1"/>
      <c r="X14" s="1"/>
      <c r="Y14" s="1"/>
      <c r="Z14" s="1"/>
      <c r="AA14" s="1"/>
      <c r="AB14" s="1"/>
      <c r="AC14" s="1"/>
      <c r="AD14" s="1"/>
      <c r="AE14" s="1"/>
      <c r="AF14" s="1"/>
      <c r="AG14" s="1"/>
      <c r="AH14" s="1"/>
      <c r="AI14" s="1"/>
      <c r="AJ14" s="1"/>
      <c r="AK14" s="1"/>
    </row>
    <row r="15" spans="1:37">
      <c r="A15" t="s">
        <v>122</v>
      </c>
      <c r="B15" s="7">
        <v>6489</v>
      </c>
      <c r="C15" s="1">
        <f>901+792</f>
        <v>1693</v>
      </c>
      <c r="D15" s="1">
        <v>240</v>
      </c>
      <c r="E15" s="1">
        <v>120</v>
      </c>
      <c r="F15" s="1">
        <v>50</v>
      </c>
      <c r="G15" s="1">
        <v>20</v>
      </c>
      <c r="H15" s="1">
        <v>96</v>
      </c>
      <c r="I15" s="1">
        <v>0</v>
      </c>
      <c r="J15" s="1">
        <v>120</v>
      </c>
      <c r="K15" s="1">
        <v>240</v>
      </c>
      <c r="L15" s="1">
        <v>972</v>
      </c>
      <c r="M15" s="1">
        <v>800</v>
      </c>
      <c r="N15" s="1">
        <v>1500</v>
      </c>
      <c r="O15" s="205">
        <v>12100</v>
      </c>
      <c r="P15" s="7">
        <f t="shared" si="0"/>
        <v>12340</v>
      </c>
      <c r="Q15" s="7">
        <f t="shared" si="2"/>
        <v>24440</v>
      </c>
      <c r="T15" s="1">
        <f t="shared" si="3"/>
        <v>2658</v>
      </c>
      <c r="V15" s="1"/>
      <c r="W15" s="1"/>
      <c r="X15" s="1"/>
      <c r="Y15" s="1"/>
      <c r="Z15" s="1"/>
      <c r="AA15" s="1"/>
      <c r="AB15" s="1"/>
      <c r="AC15" s="1"/>
      <c r="AD15" s="1"/>
      <c r="AE15" s="1"/>
      <c r="AF15" s="1"/>
      <c r="AG15" s="1"/>
      <c r="AH15" s="1"/>
      <c r="AI15" s="1"/>
      <c r="AJ15" s="1"/>
      <c r="AK15" s="1"/>
    </row>
    <row r="16" spans="1:37" s="137" customFormat="1">
      <c r="A16" s="137" t="s">
        <v>191</v>
      </c>
      <c r="B16" s="251">
        <v>6489</v>
      </c>
      <c r="C16" s="138">
        <f>901+792</f>
        <v>1693</v>
      </c>
      <c r="D16" s="138">
        <v>240</v>
      </c>
      <c r="E16" s="138">
        <v>120</v>
      </c>
      <c r="F16" s="138">
        <v>50</v>
      </c>
      <c r="G16" s="138">
        <v>20</v>
      </c>
      <c r="H16" s="138">
        <v>96</v>
      </c>
      <c r="I16" s="138">
        <v>0</v>
      </c>
      <c r="J16" s="138">
        <v>120</v>
      </c>
      <c r="K16" s="138">
        <v>240</v>
      </c>
      <c r="L16" s="138">
        <v>972</v>
      </c>
      <c r="M16" s="138">
        <v>800</v>
      </c>
      <c r="N16" s="138">
        <v>8000</v>
      </c>
      <c r="O16" s="138">
        <v>12100</v>
      </c>
      <c r="P16" s="251">
        <f t="shared" si="0"/>
        <v>18840</v>
      </c>
      <c r="Q16" s="251">
        <f t="shared" ref="Q16" si="4">SUM(O16:P16)</f>
        <v>30940</v>
      </c>
      <c r="R16" s="138"/>
      <c r="T16" s="138">
        <f t="shared" ref="T16" si="5">SUM(D16:M16)</f>
        <v>2658</v>
      </c>
      <c r="V16" s="138"/>
      <c r="W16" s="138"/>
      <c r="X16" s="138"/>
      <c r="Y16" s="138"/>
      <c r="Z16" s="138"/>
      <c r="AA16" s="138"/>
      <c r="AB16" s="138"/>
      <c r="AC16" s="138"/>
      <c r="AD16" s="138"/>
      <c r="AE16" s="138"/>
      <c r="AF16" s="138"/>
      <c r="AG16" s="138"/>
      <c r="AH16" s="138"/>
      <c r="AI16" s="138"/>
      <c r="AJ16" s="138"/>
      <c r="AK16" s="138"/>
    </row>
    <row r="17" spans="1:37">
      <c r="A17" t="s">
        <v>26</v>
      </c>
      <c r="B17" s="7">
        <v>6090.38</v>
      </c>
      <c r="C17" s="1">
        <f>420.7+300</f>
        <v>720.7</v>
      </c>
      <c r="D17" s="1">
        <v>240</v>
      </c>
      <c r="E17" s="1">
        <v>138</v>
      </c>
      <c r="F17" s="1">
        <v>792</v>
      </c>
      <c r="G17" s="1">
        <v>150</v>
      </c>
      <c r="H17" s="1">
        <v>96</v>
      </c>
      <c r="I17" s="1">
        <v>0</v>
      </c>
      <c r="J17" s="1">
        <v>0</v>
      </c>
      <c r="K17" s="1">
        <v>0</v>
      </c>
      <c r="L17" s="1">
        <v>1282.5999999999999</v>
      </c>
      <c r="M17" s="1">
        <v>438.32</v>
      </c>
      <c r="N17" s="1">
        <v>0</v>
      </c>
      <c r="O17" s="205">
        <v>4570</v>
      </c>
      <c r="P17" s="7">
        <f t="shared" si="0"/>
        <v>9948</v>
      </c>
      <c r="Q17" s="7">
        <f t="shared" si="2"/>
        <v>14518</v>
      </c>
      <c r="T17" s="1">
        <f t="shared" si="3"/>
        <v>3136.92</v>
      </c>
      <c r="V17" s="1"/>
      <c r="W17" s="1"/>
      <c r="X17" s="1"/>
      <c r="Y17" s="1"/>
      <c r="Z17" s="1"/>
      <c r="AA17" s="1"/>
      <c r="AB17" s="1"/>
      <c r="AC17" s="1"/>
      <c r="AD17" s="1"/>
      <c r="AE17" s="1"/>
      <c r="AF17" s="1"/>
      <c r="AG17" s="1"/>
      <c r="AH17" s="1"/>
      <c r="AI17" s="1"/>
      <c r="AJ17" s="1"/>
      <c r="AK17" s="1"/>
    </row>
    <row r="18" spans="1:37">
      <c r="A18" s="212" t="s">
        <v>21</v>
      </c>
      <c r="B18" s="253"/>
      <c r="C18" s="213"/>
      <c r="D18" s="213"/>
      <c r="E18" s="213"/>
      <c r="F18" s="213"/>
      <c r="G18" s="213"/>
      <c r="H18" s="213"/>
      <c r="I18" s="213"/>
      <c r="J18" s="213"/>
      <c r="K18" s="213"/>
      <c r="L18" s="213"/>
      <c r="M18" s="213"/>
      <c r="N18" s="213"/>
      <c r="O18" s="214"/>
      <c r="P18" s="253"/>
      <c r="Q18" s="253"/>
      <c r="V18" s="1"/>
      <c r="W18" s="1"/>
      <c r="X18" s="1"/>
      <c r="Y18" s="1"/>
      <c r="Z18" s="1"/>
      <c r="AA18" s="1"/>
      <c r="AB18" s="1"/>
      <c r="AC18" s="1"/>
      <c r="AD18" s="1"/>
      <c r="AE18" s="1"/>
      <c r="AF18" s="1"/>
      <c r="AG18" s="1"/>
      <c r="AH18" s="1"/>
      <c r="AI18" s="1"/>
      <c r="AJ18" s="1"/>
      <c r="AK18" s="1"/>
    </row>
    <row r="19" spans="1:37">
      <c r="A19" t="s">
        <v>219</v>
      </c>
      <c r="B19" s="7">
        <v>9131.85</v>
      </c>
      <c r="C19" s="1">
        <v>0</v>
      </c>
      <c r="D19" s="1">
        <v>490</v>
      </c>
      <c r="E19" s="1">
        <v>160</v>
      </c>
      <c r="F19" s="1">
        <v>0</v>
      </c>
      <c r="G19" s="1">
        <v>0</v>
      </c>
      <c r="H19" s="1">
        <v>96</v>
      </c>
      <c r="I19" s="1">
        <v>0</v>
      </c>
      <c r="J19" s="1">
        <v>120</v>
      </c>
      <c r="K19" s="1">
        <v>0</v>
      </c>
      <c r="L19" s="1">
        <v>3065.5</v>
      </c>
      <c r="M19" s="1">
        <v>285.25</v>
      </c>
      <c r="N19" s="1">
        <v>0</v>
      </c>
      <c r="O19" s="205">
        <v>16935</v>
      </c>
      <c r="P19" s="7">
        <f t="shared" ref="P19:P45" si="6">SUM(B19:N19)</f>
        <v>13348.6</v>
      </c>
      <c r="Q19" s="7">
        <f t="shared" ref="Q19:Q45" si="7">SUM(O19:P19)</f>
        <v>30283.599999999999</v>
      </c>
      <c r="T19" s="1">
        <f t="shared" ref="T19:T42" si="8">SUM(D19:M19)</f>
        <v>4216.75</v>
      </c>
      <c r="V19" s="1"/>
      <c r="W19" s="1"/>
      <c r="X19" s="1"/>
      <c r="Y19" s="1"/>
      <c r="Z19" s="1"/>
      <c r="AA19" s="1"/>
      <c r="AB19" s="1"/>
      <c r="AC19" s="1"/>
      <c r="AD19" s="1"/>
      <c r="AE19" s="1"/>
      <c r="AF19" s="1"/>
      <c r="AG19" s="1"/>
      <c r="AH19" s="1"/>
      <c r="AI19" s="1"/>
      <c r="AJ19" s="1"/>
      <c r="AK19" s="1"/>
    </row>
    <row r="20" spans="1:37" ht="16.5">
      <c r="A20" t="s">
        <v>443</v>
      </c>
      <c r="B20" s="7">
        <f>9131.85+214.8</f>
        <v>9346.65</v>
      </c>
      <c r="C20" s="1">
        <v>0</v>
      </c>
      <c r="D20" s="1">
        <v>490</v>
      </c>
      <c r="E20" s="1">
        <v>160</v>
      </c>
      <c r="F20" s="1">
        <v>0</v>
      </c>
      <c r="G20" s="1">
        <v>0</v>
      </c>
      <c r="H20" s="1">
        <v>96</v>
      </c>
      <c r="I20" s="1">
        <v>0</v>
      </c>
      <c r="J20" s="1">
        <v>120</v>
      </c>
      <c r="K20" s="1">
        <v>0</v>
      </c>
      <c r="L20" s="1">
        <v>3065.5</v>
      </c>
      <c r="M20" s="1">
        <v>285.25</v>
      </c>
      <c r="N20" s="1">
        <v>0</v>
      </c>
      <c r="O20" s="205">
        <v>16935</v>
      </c>
      <c r="P20" s="7">
        <f t="shared" si="6"/>
        <v>13563.4</v>
      </c>
      <c r="Q20" s="7">
        <f t="shared" ref="Q20" si="9">SUM(O20:P20)</f>
        <v>30498.400000000001</v>
      </c>
      <c r="T20" s="1"/>
      <c r="V20" s="1"/>
      <c r="W20" s="1"/>
      <c r="X20" s="1"/>
      <c r="Y20" s="1"/>
      <c r="Z20" s="1"/>
      <c r="AA20" s="1"/>
      <c r="AB20" s="1"/>
      <c r="AC20" s="1"/>
      <c r="AD20" s="1"/>
      <c r="AE20" s="1"/>
      <c r="AF20" s="1"/>
      <c r="AG20" s="1"/>
      <c r="AH20" s="1"/>
      <c r="AI20" s="1"/>
      <c r="AJ20" s="1"/>
      <c r="AK20" s="1"/>
    </row>
    <row r="21" spans="1:37">
      <c r="A21" t="s">
        <v>47</v>
      </c>
      <c r="B21" s="7">
        <v>25497.85</v>
      </c>
      <c r="C21" s="1">
        <v>0</v>
      </c>
      <c r="D21" s="1">
        <v>490</v>
      </c>
      <c r="E21" s="1">
        <v>432</v>
      </c>
      <c r="F21" s="1">
        <v>0</v>
      </c>
      <c r="G21" s="1">
        <v>0</v>
      </c>
      <c r="H21" s="1">
        <v>96</v>
      </c>
      <c r="I21" s="1">
        <v>0</v>
      </c>
      <c r="J21" s="1">
        <v>120</v>
      </c>
      <c r="K21" s="1">
        <v>0</v>
      </c>
      <c r="L21" s="1">
        <v>1839.65</v>
      </c>
      <c r="M21" s="1">
        <v>285.5</v>
      </c>
      <c r="N21" s="1">
        <v>0</v>
      </c>
      <c r="O21" s="205">
        <v>31620</v>
      </c>
      <c r="P21" s="7">
        <f t="shared" si="6"/>
        <v>28761</v>
      </c>
      <c r="Q21" s="7">
        <f t="shared" si="7"/>
        <v>60381</v>
      </c>
      <c r="T21" s="1">
        <f t="shared" si="8"/>
        <v>3263.15</v>
      </c>
      <c r="V21" s="1"/>
      <c r="W21" s="1"/>
      <c r="X21" s="1"/>
      <c r="Y21" s="1"/>
      <c r="Z21" s="1"/>
      <c r="AA21" s="1"/>
      <c r="AB21" s="1"/>
      <c r="AC21" s="1"/>
      <c r="AD21" s="1"/>
      <c r="AE21" s="1"/>
      <c r="AF21" s="1"/>
      <c r="AG21" s="1"/>
      <c r="AH21" s="1"/>
      <c r="AI21" s="1"/>
      <c r="AJ21" s="1"/>
      <c r="AK21" s="1"/>
    </row>
    <row r="22" spans="1:37">
      <c r="A22" t="s">
        <v>128</v>
      </c>
      <c r="B22" s="7">
        <v>20902</v>
      </c>
      <c r="C22" s="1">
        <v>0</v>
      </c>
      <c r="D22" s="1">
        <v>240</v>
      </c>
      <c r="E22" s="1">
        <v>438</v>
      </c>
      <c r="F22" s="1">
        <v>0</v>
      </c>
      <c r="G22" s="1">
        <v>96</v>
      </c>
      <c r="H22" s="1">
        <v>0</v>
      </c>
      <c r="I22" s="1">
        <v>0</v>
      </c>
      <c r="J22" s="1">
        <v>120</v>
      </c>
      <c r="K22" s="1">
        <v>0</v>
      </c>
      <c r="L22" s="1">
        <v>2707.9</v>
      </c>
      <c r="M22" s="1">
        <v>313</v>
      </c>
      <c r="N22" s="1">
        <v>0</v>
      </c>
      <c r="O22" s="205">
        <v>15440</v>
      </c>
      <c r="P22" s="7">
        <f t="shared" si="6"/>
        <v>24816.9</v>
      </c>
      <c r="Q22" s="7">
        <f t="shared" si="7"/>
        <v>40256.9</v>
      </c>
      <c r="T22" s="1">
        <f t="shared" si="8"/>
        <v>3914.9</v>
      </c>
      <c r="V22" s="1"/>
      <c r="W22" s="1"/>
      <c r="X22" s="1"/>
      <c r="Y22" s="1"/>
      <c r="Z22" s="1"/>
      <c r="AA22" s="1"/>
      <c r="AB22" s="1"/>
      <c r="AC22" s="1"/>
      <c r="AD22" s="1"/>
      <c r="AE22" s="1"/>
      <c r="AF22" s="1"/>
      <c r="AG22" s="1"/>
      <c r="AH22" s="1"/>
      <c r="AI22" s="1"/>
      <c r="AJ22" s="1"/>
      <c r="AK22" s="1"/>
    </row>
    <row r="23" spans="1:37">
      <c r="A23" t="s">
        <v>24</v>
      </c>
      <c r="B23" s="7">
        <v>6195.9600000000009</v>
      </c>
      <c r="C23" s="1">
        <v>0</v>
      </c>
      <c r="D23" s="1">
        <v>180</v>
      </c>
      <c r="E23" s="1">
        <v>90</v>
      </c>
      <c r="F23" s="1">
        <v>0</v>
      </c>
      <c r="G23" s="1">
        <v>0</v>
      </c>
      <c r="H23" s="1">
        <v>96</v>
      </c>
      <c r="I23" s="1">
        <v>0</v>
      </c>
      <c r="J23" s="1">
        <v>120</v>
      </c>
      <c r="K23" s="1">
        <v>48</v>
      </c>
      <c r="L23" s="1">
        <v>245.28</v>
      </c>
      <c r="M23" s="1">
        <v>559.43999999999994</v>
      </c>
      <c r="N23" s="1">
        <v>0</v>
      </c>
      <c r="O23" s="205">
        <v>12497.22</v>
      </c>
      <c r="P23" s="7">
        <f t="shared" si="6"/>
        <v>7534.68</v>
      </c>
      <c r="Q23" s="7">
        <f t="shared" si="7"/>
        <v>20031.900000000001</v>
      </c>
      <c r="T23" s="1">
        <f t="shared" si="8"/>
        <v>1338.7199999999998</v>
      </c>
      <c r="V23" s="1"/>
      <c r="W23" s="1"/>
      <c r="X23" s="1"/>
      <c r="Y23" s="1"/>
      <c r="Z23" s="1"/>
      <c r="AA23" s="1"/>
      <c r="AB23" s="1"/>
      <c r="AC23" s="1"/>
      <c r="AD23" s="1"/>
      <c r="AE23" s="1"/>
      <c r="AF23" s="1"/>
      <c r="AG23" s="1"/>
      <c r="AH23" s="1"/>
      <c r="AI23" s="1"/>
      <c r="AJ23" s="1"/>
      <c r="AK23" s="1"/>
    </row>
    <row r="24" spans="1:37">
      <c r="A24" t="s">
        <v>27</v>
      </c>
      <c r="B24" s="7">
        <v>9335</v>
      </c>
      <c r="C24" s="1">
        <v>0</v>
      </c>
      <c r="D24" s="1">
        <v>180</v>
      </c>
      <c r="E24" s="1">
        <v>166</v>
      </c>
      <c r="F24" s="1">
        <v>0</v>
      </c>
      <c r="G24" s="1">
        <v>0</v>
      </c>
      <c r="H24" s="1">
        <v>96</v>
      </c>
      <c r="I24" s="1">
        <v>0</v>
      </c>
      <c r="J24" s="1">
        <v>90</v>
      </c>
      <c r="K24" s="1">
        <v>0</v>
      </c>
      <c r="L24" s="1">
        <v>460</v>
      </c>
      <c r="M24" s="1">
        <v>0</v>
      </c>
      <c r="N24" s="1">
        <v>0</v>
      </c>
      <c r="O24" s="205">
        <v>10077</v>
      </c>
      <c r="P24" s="7">
        <f t="shared" si="6"/>
        <v>10327</v>
      </c>
      <c r="Q24" s="7">
        <f t="shared" si="7"/>
        <v>20404</v>
      </c>
      <c r="T24" s="1">
        <f t="shared" si="8"/>
        <v>992</v>
      </c>
      <c r="V24" s="1"/>
      <c r="W24" s="1"/>
      <c r="X24" s="1"/>
      <c r="Y24" s="1"/>
      <c r="Z24" s="1"/>
      <c r="AA24" s="1"/>
      <c r="AB24" s="1"/>
      <c r="AC24" s="1"/>
      <c r="AD24" s="1"/>
      <c r="AE24" s="1"/>
      <c r="AF24" s="1"/>
      <c r="AG24" s="1"/>
      <c r="AH24" s="1"/>
      <c r="AI24" s="1"/>
      <c r="AJ24" s="1"/>
      <c r="AK24" s="1"/>
    </row>
    <row r="25" spans="1:37" s="216" customFormat="1">
      <c r="A25" s="137" t="s">
        <v>135</v>
      </c>
      <c r="B25" s="251">
        <v>9335</v>
      </c>
      <c r="C25" s="138">
        <v>0</v>
      </c>
      <c r="D25" s="138">
        <v>180</v>
      </c>
      <c r="E25" s="138">
        <v>166</v>
      </c>
      <c r="F25" s="138">
        <v>0</v>
      </c>
      <c r="G25" s="138">
        <v>0</v>
      </c>
      <c r="H25" s="138">
        <v>96</v>
      </c>
      <c r="I25" s="138">
        <v>0</v>
      </c>
      <c r="J25" s="138">
        <v>90</v>
      </c>
      <c r="K25" s="138">
        <v>0</v>
      </c>
      <c r="L25" s="138">
        <v>3370</v>
      </c>
      <c r="M25" s="138">
        <v>0</v>
      </c>
      <c r="N25" s="138">
        <v>0</v>
      </c>
      <c r="O25" s="138">
        <v>10077</v>
      </c>
      <c r="P25" s="251">
        <f t="shared" si="6"/>
        <v>13237</v>
      </c>
      <c r="Q25" s="251">
        <f t="shared" ref="Q25" si="10">SUM(O25:P25)</f>
        <v>23314</v>
      </c>
      <c r="R25" s="138"/>
      <c r="S25" s="137"/>
      <c r="T25" s="138">
        <f t="shared" si="8"/>
        <v>3902</v>
      </c>
      <c r="V25" s="205"/>
      <c r="W25" s="205"/>
      <c r="X25" s="205"/>
      <c r="Y25" s="205"/>
      <c r="Z25" s="205"/>
      <c r="AA25" s="205"/>
      <c r="AB25" s="205"/>
      <c r="AC25" s="205"/>
      <c r="AD25" s="205"/>
      <c r="AE25" s="205"/>
      <c r="AF25" s="205"/>
      <c r="AG25" s="205"/>
      <c r="AH25" s="205"/>
      <c r="AI25" s="205"/>
      <c r="AJ25" s="205"/>
      <c r="AK25" s="205"/>
    </row>
    <row r="26" spans="1:37">
      <c r="A26" t="s">
        <v>28</v>
      </c>
      <c r="B26" s="7">
        <v>7168.4</v>
      </c>
      <c r="C26" s="1">
        <v>0</v>
      </c>
      <c r="D26" s="1">
        <v>180</v>
      </c>
      <c r="E26" s="1">
        <v>128</v>
      </c>
      <c r="F26" s="1">
        <v>0</v>
      </c>
      <c r="G26" s="1">
        <v>0</v>
      </c>
      <c r="H26" s="1">
        <v>96</v>
      </c>
      <c r="I26" s="1">
        <v>0</v>
      </c>
      <c r="J26" s="1">
        <v>90</v>
      </c>
      <c r="K26" s="1">
        <v>0</v>
      </c>
      <c r="L26" s="1">
        <v>2896</v>
      </c>
      <c r="M26" s="1">
        <v>0</v>
      </c>
      <c r="N26" s="1">
        <v>0</v>
      </c>
      <c r="O26" s="205">
        <v>9279.4</v>
      </c>
      <c r="P26" s="7">
        <f t="shared" si="6"/>
        <v>10558.4</v>
      </c>
      <c r="Q26" s="7">
        <f t="shared" si="7"/>
        <v>19837.8</v>
      </c>
      <c r="T26" s="1">
        <f t="shared" si="8"/>
        <v>3390</v>
      </c>
      <c r="V26" s="1"/>
      <c r="W26" s="1"/>
      <c r="X26" s="1"/>
      <c r="Y26" s="1"/>
      <c r="Z26" s="1"/>
      <c r="AA26" s="1"/>
      <c r="AB26" s="1"/>
      <c r="AC26" s="1"/>
      <c r="AD26" s="1"/>
      <c r="AE26" s="1"/>
      <c r="AF26" s="1"/>
      <c r="AG26" s="1"/>
      <c r="AH26" s="1"/>
      <c r="AI26" s="1"/>
      <c r="AJ26" s="1"/>
      <c r="AK26" s="1"/>
    </row>
    <row r="27" spans="1:37" s="137" customFormat="1">
      <c r="A27" s="137" t="s">
        <v>179</v>
      </c>
      <c r="B27" s="251">
        <v>16423.2</v>
      </c>
      <c r="C27" s="138">
        <v>0</v>
      </c>
      <c r="D27" s="138">
        <v>180</v>
      </c>
      <c r="E27" s="138">
        <v>271</v>
      </c>
      <c r="F27" s="138">
        <v>0</v>
      </c>
      <c r="G27" s="138">
        <v>0</v>
      </c>
      <c r="H27" s="138">
        <v>96</v>
      </c>
      <c r="I27" s="138">
        <v>0</v>
      </c>
      <c r="J27" s="138">
        <v>90</v>
      </c>
      <c r="K27" s="138">
        <v>0</v>
      </c>
      <c r="L27" s="138">
        <v>7650</v>
      </c>
      <c r="M27" s="138">
        <v>0</v>
      </c>
      <c r="N27" s="1">
        <v>0</v>
      </c>
      <c r="O27" s="205">
        <v>13082</v>
      </c>
      <c r="P27" s="7">
        <f t="shared" si="6"/>
        <v>24710.2</v>
      </c>
      <c r="Q27" s="251">
        <f t="shared" si="7"/>
        <v>37792.199999999997</v>
      </c>
      <c r="R27" s="138"/>
      <c r="T27" s="138">
        <f t="shared" si="8"/>
        <v>8287</v>
      </c>
      <c r="V27" s="1"/>
      <c r="W27" s="1"/>
      <c r="X27" s="1"/>
      <c r="Y27" s="1"/>
      <c r="Z27" s="1"/>
      <c r="AA27" s="1"/>
      <c r="AB27" s="1"/>
      <c r="AC27" s="1"/>
      <c r="AD27" s="1"/>
      <c r="AE27" s="1"/>
      <c r="AF27" s="1"/>
      <c r="AG27" s="1"/>
      <c r="AH27" s="1"/>
      <c r="AI27" s="1"/>
      <c r="AJ27" s="1"/>
      <c r="AK27" s="1"/>
    </row>
    <row r="28" spans="1:37">
      <c r="A28" t="s">
        <v>62</v>
      </c>
      <c r="B28" s="7">
        <v>16423.2</v>
      </c>
      <c r="C28" s="1">
        <v>0</v>
      </c>
      <c r="D28" s="1">
        <v>180</v>
      </c>
      <c r="E28" s="1">
        <v>271</v>
      </c>
      <c r="F28" s="1">
        <v>0</v>
      </c>
      <c r="G28" s="1">
        <v>0</v>
      </c>
      <c r="H28" s="1">
        <v>96</v>
      </c>
      <c r="I28" s="1">
        <v>0</v>
      </c>
      <c r="J28" s="1">
        <v>90</v>
      </c>
      <c r="K28" s="1">
        <v>0</v>
      </c>
      <c r="L28" s="1">
        <v>450</v>
      </c>
      <c r="M28" s="1">
        <v>0</v>
      </c>
      <c r="N28" s="1">
        <v>0</v>
      </c>
      <c r="O28" s="205">
        <v>13082.18</v>
      </c>
      <c r="P28" s="7">
        <f t="shared" si="6"/>
        <v>17510.2</v>
      </c>
      <c r="Q28" s="7">
        <f t="shared" si="7"/>
        <v>30592.38</v>
      </c>
      <c r="T28" s="1">
        <f t="shared" si="8"/>
        <v>1087</v>
      </c>
      <c r="V28" s="1"/>
      <c r="W28" s="1"/>
      <c r="X28" s="1"/>
      <c r="Y28" s="1"/>
      <c r="Z28" s="1"/>
      <c r="AA28" s="1"/>
      <c r="AB28" s="1"/>
      <c r="AC28" s="1"/>
      <c r="AD28" s="1"/>
      <c r="AE28" s="1"/>
      <c r="AF28" s="1"/>
      <c r="AG28" s="1"/>
      <c r="AH28" s="1"/>
      <c r="AI28" s="1"/>
      <c r="AJ28" s="1"/>
      <c r="AK28" s="1"/>
    </row>
    <row r="29" spans="1:37">
      <c r="A29" t="s">
        <v>48</v>
      </c>
      <c r="B29" s="7">
        <v>6058.82</v>
      </c>
      <c r="C29" s="1">
        <v>0</v>
      </c>
      <c r="D29" s="1">
        <v>230</v>
      </c>
      <c r="E29" s="1">
        <v>107</v>
      </c>
      <c r="F29" s="1">
        <v>0</v>
      </c>
      <c r="G29" s="1">
        <v>0</v>
      </c>
      <c r="H29" s="1">
        <v>96</v>
      </c>
      <c r="I29" s="1">
        <v>0</v>
      </c>
      <c r="J29" s="1">
        <v>115</v>
      </c>
      <c r="K29" s="1">
        <v>0</v>
      </c>
      <c r="L29" s="1">
        <v>457</v>
      </c>
      <c r="M29" s="1">
        <v>0</v>
      </c>
      <c r="N29" s="1">
        <v>0</v>
      </c>
      <c r="O29" s="205">
        <v>8963.68</v>
      </c>
      <c r="P29" s="7">
        <f t="shared" si="6"/>
        <v>7063.82</v>
      </c>
      <c r="Q29" s="7">
        <f t="shared" si="7"/>
        <v>16027.5</v>
      </c>
      <c r="T29" s="1">
        <f t="shared" si="8"/>
        <v>1005</v>
      </c>
      <c r="V29" s="1"/>
      <c r="W29" s="1"/>
      <c r="X29" s="1"/>
      <c r="Y29" s="1"/>
      <c r="Z29" s="1"/>
      <c r="AA29" s="1"/>
      <c r="AB29" s="1"/>
      <c r="AC29" s="1"/>
      <c r="AD29" s="1"/>
      <c r="AE29" s="1"/>
      <c r="AF29" s="1"/>
      <c r="AG29" s="1"/>
      <c r="AH29" s="1"/>
      <c r="AI29" s="1"/>
      <c r="AJ29" s="1"/>
      <c r="AK29" s="1"/>
    </row>
    <row r="30" spans="1:37">
      <c r="A30" t="s">
        <v>49</v>
      </c>
      <c r="B30" s="7">
        <v>28418</v>
      </c>
      <c r="C30" s="1">
        <v>0</v>
      </c>
      <c r="D30" s="1">
        <v>300</v>
      </c>
      <c r="E30" s="1">
        <v>395</v>
      </c>
      <c r="F30" s="1">
        <v>0</v>
      </c>
      <c r="G30" s="1">
        <v>0</v>
      </c>
      <c r="H30" s="1">
        <v>120</v>
      </c>
      <c r="I30" s="1">
        <v>0</v>
      </c>
      <c r="J30" s="1">
        <v>150</v>
      </c>
      <c r="K30" s="1">
        <v>0</v>
      </c>
      <c r="L30" s="1">
        <v>5758</v>
      </c>
      <c r="M30" s="1">
        <v>0</v>
      </c>
      <c r="N30" s="1">
        <v>0</v>
      </c>
      <c r="O30" s="205">
        <v>28728</v>
      </c>
      <c r="P30" s="7">
        <f t="shared" si="6"/>
        <v>35141</v>
      </c>
      <c r="Q30" s="7">
        <f t="shared" si="7"/>
        <v>63869</v>
      </c>
      <c r="T30" s="1">
        <f t="shared" si="8"/>
        <v>6723</v>
      </c>
      <c r="V30" s="1"/>
      <c r="W30" s="1"/>
      <c r="X30" s="1"/>
      <c r="Y30" s="1"/>
      <c r="Z30" s="1"/>
      <c r="AA30" s="1"/>
      <c r="AB30" s="1"/>
      <c r="AC30" s="1"/>
      <c r="AD30" s="1"/>
      <c r="AE30" s="1"/>
      <c r="AF30" s="1"/>
      <c r="AG30" s="1"/>
      <c r="AH30" s="1"/>
      <c r="AI30" s="1"/>
      <c r="AJ30" s="1"/>
      <c r="AK30" s="1"/>
    </row>
    <row r="31" spans="1:37">
      <c r="A31" t="s">
        <v>50</v>
      </c>
      <c r="B31" s="7">
        <v>9335</v>
      </c>
      <c r="C31" s="1">
        <v>0</v>
      </c>
      <c r="D31" s="1">
        <v>180</v>
      </c>
      <c r="E31" s="1">
        <v>166</v>
      </c>
      <c r="F31" s="1">
        <v>0</v>
      </c>
      <c r="G31" s="1">
        <v>0</v>
      </c>
      <c r="H31" s="1">
        <v>96</v>
      </c>
      <c r="I31" s="1">
        <v>0</v>
      </c>
      <c r="J31" s="1">
        <v>90</v>
      </c>
      <c r="K31" s="1">
        <v>0</v>
      </c>
      <c r="L31" s="1">
        <v>460</v>
      </c>
      <c r="M31" s="1">
        <v>0</v>
      </c>
      <c r="N31" s="1">
        <v>0</v>
      </c>
      <c r="O31" s="205">
        <v>10091.459999999999</v>
      </c>
      <c r="P31" s="7">
        <f t="shared" si="6"/>
        <v>10327</v>
      </c>
      <c r="Q31" s="7">
        <f t="shared" si="7"/>
        <v>20418.46</v>
      </c>
      <c r="T31" s="1">
        <f t="shared" si="8"/>
        <v>992</v>
      </c>
      <c r="V31" s="1"/>
      <c r="W31" s="1"/>
      <c r="X31" s="1"/>
      <c r="Y31" s="1"/>
      <c r="Z31" s="1"/>
      <c r="AA31" s="1"/>
      <c r="AB31" s="1"/>
      <c r="AC31" s="1"/>
      <c r="AD31" s="1"/>
      <c r="AE31" s="1"/>
      <c r="AF31" s="1"/>
      <c r="AG31" s="1"/>
      <c r="AH31" s="1"/>
      <c r="AI31" s="1"/>
      <c r="AJ31" s="1"/>
      <c r="AK31" s="1"/>
    </row>
    <row r="32" spans="1:37">
      <c r="A32" s="124" t="s">
        <v>61</v>
      </c>
      <c r="B32" s="7">
        <v>16814.400000000001</v>
      </c>
      <c r="C32" s="1">
        <v>0</v>
      </c>
      <c r="D32" s="1">
        <v>180</v>
      </c>
      <c r="E32" s="1">
        <v>166</v>
      </c>
      <c r="F32" s="1">
        <v>0</v>
      </c>
      <c r="G32" s="1">
        <v>0</v>
      </c>
      <c r="H32" s="1">
        <v>96</v>
      </c>
      <c r="I32" s="1">
        <v>0</v>
      </c>
      <c r="J32" s="1">
        <v>90</v>
      </c>
      <c r="K32" s="1">
        <v>0</v>
      </c>
      <c r="L32" s="1">
        <v>460</v>
      </c>
      <c r="M32" s="1">
        <v>0</v>
      </c>
      <c r="N32" s="1">
        <v>0</v>
      </c>
      <c r="O32" s="205">
        <v>17477.2</v>
      </c>
      <c r="P32" s="7">
        <f t="shared" si="6"/>
        <v>17806.400000000001</v>
      </c>
      <c r="Q32" s="7">
        <f>SUM(O32:P32)</f>
        <v>35283.600000000006</v>
      </c>
      <c r="T32" s="1">
        <f>SUM(D32:M32)</f>
        <v>992</v>
      </c>
      <c r="V32" s="1"/>
      <c r="W32" s="1"/>
      <c r="X32" s="1"/>
      <c r="Y32" s="1"/>
      <c r="Z32" s="1"/>
      <c r="AA32" s="1"/>
      <c r="AB32" s="1"/>
      <c r="AC32" s="1"/>
      <c r="AD32" s="1"/>
      <c r="AE32" s="1"/>
      <c r="AF32" s="1"/>
      <c r="AG32" s="1"/>
      <c r="AH32" s="1"/>
      <c r="AI32" s="1"/>
      <c r="AJ32" s="1"/>
      <c r="AK32" s="1"/>
    </row>
    <row r="33" spans="1:37">
      <c r="A33" s="124" t="s">
        <v>51</v>
      </c>
      <c r="B33" s="7">
        <v>9335</v>
      </c>
      <c r="C33" s="1">
        <v>0</v>
      </c>
      <c r="D33" s="1">
        <v>180</v>
      </c>
      <c r="E33" s="1">
        <v>166</v>
      </c>
      <c r="F33" s="1">
        <v>0</v>
      </c>
      <c r="G33" s="1">
        <v>0</v>
      </c>
      <c r="H33" s="1">
        <v>96</v>
      </c>
      <c r="I33" s="1">
        <v>0</v>
      </c>
      <c r="J33" s="1">
        <v>90</v>
      </c>
      <c r="K33" s="1">
        <v>0</v>
      </c>
      <c r="L33" s="1">
        <v>660</v>
      </c>
      <c r="M33" s="1">
        <v>0</v>
      </c>
      <c r="N33" s="1">
        <v>0</v>
      </c>
      <c r="O33" s="205">
        <v>8401.5</v>
      </c>
      <c r="P33" s="7">
        <f t="shared" si="6"/>
        <v>10527</v>
      </c>
      <c r="Q33" s="7">
        <f t="shared" si="7"/>
        <v>18928.5</v>
      </c>
      <c r="T33" s="1">
        <f t="shared" si="8"/>
        <v>1192</v>
      </c>
      <c r="V33" s="1"/>
      <c r="W33" s="1"/>
      <c r="X33" s="1"/>
      <c r="Y33" s="1"/>
      <c r="Z33" s="1"/>
      <c r="AA33" s="1"/>
      <c r="AB33" s="1"/>
      <c r="AC33" s="1"/>
      <c r="AD33" s="1"/>
      <c r="AE33" s="1"/>
      <c r="AF33" s="1"/>
      <c r="AG33" s="1"/>
      <c r="AH33" s="1"/>
      <c r="AI33" s="1"/>
      <c r="AJ33" s="1"/>
      <c r="AK33" s="1"/>
    </row>
    <row r="34" spans="1:37">
      <c r="A34" s="124" t="s">
        <v>52</v>
      </c>
      <c r="B34" s="7">
        <v>8858.32</v>
      </c>
      <c r="C34" s="1">
        <v>0</v>
      </c>
      <c r="D34" s="1">
        <v>180</v>
      </c>
      <c r="E34" s="1">
        <v>166</v>
      </c>
      <c r="F34" s="1">
        <v>0</v>
      </c>
      <c r="G34" s="1">
        <v>0</v>
      </c>
      <c r="H34" s="1">
        <v>96</v>
      </c>
      <c r="I34" s="1">
        <v>0</v>
      </c>
      <c r="J34" s="1">
        <v>90</v>
      </c>
      <c r="K34" s="1">
        <v>0</v>
      </c>
      <c r="L34" s="1">
        <v>1260</v>
      </c>
      <c r="M34" s="1">
        <v>0</v>
      </c>
      <c r="N34" s="1">
        <v>0</v>
      </c>
      <c r="O34" s="205">
        <v>6643.74</v>
      </c>
      <c r="P34" s="7">
        <f t="shared" si="6"/>
        <v>10650.32</v>
      </c>
      <c r="Q34" s="7">
        <f t="shared" si="7"/>
        <v>17294.059999999998</v>
      </c>
      <c r="T34" s="1">
        <f t="shared" si="8"/>
        <v>1792</v>
      </c>
      <c r="V34" s="1"/>
      <c r="W34" s="1"/>
      <c r="X34" s="1"/>
      <c r="Y34" s="1"/>
      <c r="Z34" s="1"/>
      <c r="AA34" s="1"/>
      <c r="AB34" s="1"/>
      <c r="AC34" s="1"/>
      <c r="AD34" s="1"/>
      <c r="AE34" s="1"/>
      <c r="AF34" s="1"/>
      <c r="AG34" s="1"/>
      <c r="AH34" s="1"/>
      <c r="AI34" s="1"/>
      <c r="AJ34" s="1"/>
      <c r="AK34" s="1"/>
    </row>
    <row r="35" spans="1:37">
      <c r="A35" t="s">
        <v>53</v>
      </c>
      <c r="B35" s="7">
        <v>31375.45</v>
      </c>
      <c r="C35" s="1">
        <v>0</v>
      </c>
      <c r="D35" s="1">
        <v>300</v>
      </c>
      <c r="E35" s="1">
        <v>464</v>
      </c>
      <c r="F35" s="1">
        <v>0</v>
      </c>
      <c r="G35" s="1">
        <v>0</v>
      </c>
      <c r="H35" s="1">
        <v>120</v>
      </c>
      <c r="I35" s="1">
        <v>0</v>
      </c>
      <c r="J35" s="1">
        <v>150</v>
      </c>
      <c r="K35" s="1">
        <v>0</v>
      </c>
      <c r="L35" s="1">
        <v>527.5</v>
      </c>
      <c r="M35" s="1">
        <v>0</v>
      </c>
      <c r="N35" s="1">
        <v>0</v>
      </c>
      <c r="O35" s="205">
        <v>28177</v>
      </c>
      <c r="P35" s="7">
        <f t="shared" si="6"/>
        <v>32936.949999999997</v>
      </c>
      <c r="Q35" s="7">
        <f t="shared" si="7"/>
        <v>61113.95</v>
      </c>
      <c r="T35" s="1">
        <f t="shared" si="8"/>
        <v>1561.5</v>
      </c>
      <c r="V35" s="1"/>
      <c r="W35" s="1"/>
      <c r="X35" s="1"/>
      <c r="Y35" s="1"/>
      <c r="Z35" s="1"/>
      <c r="AA35" s="1"/>
      <c r="AB35" s="1"/>
      <c r="AC35" s="1"/>
      <c r="AD35" s="1"/>
      <c r="AE35" s="1"/>
      <c r="AF35" s="1"/>
      <c r="AG35" s="1"/>
      <c r="AH35" s="1"/>
      <c r="AI35" s="1"/>
      <c r="AJ35" s="1"/>
      <c r="AK35" s="1"/>
    </row>
    <row r="36" spans="1:37">
      <c r="A36" t="s">
        <v>127</v>
      </c>
      <c r="B36" s="7">
        <v>14293.2</v>
      </c>
      <c r="C36" s="1">
        <v>0</v>
      </c>
      <c r="D36" s="1">
        <v>180</v>
      </c>
      <c r="E36" s="1">
        <v>166</v>
      </c>
      <c r="F36" s="1">
        <v>0</v>
      </c>
      <c r="G36" s="1">
        <v>0</v>
      </c>
      <c r="H36" s="1">
        <v>96</v>
      </c>
      <c r="I36" s="1">
        <v>0</v>
      </c>
      <c r="J36" s="1">
        <v>90</v>
      </c>
      <c r="K36" s="1">
        <v>0</v>
      </c>
      <c r="L36" s="1">
        <v>460</v>
      </c>
      <c r="M36" s="1">
        <v>0</v>
      </c>
      <c r="N36" s="1">
        <v>0</v>
      </c>
      <c r="O36" s="205">
        <v>15451.2</v>
      </c>
      <c r="P36" s="7">
        <f t="shared" si="6"/>
        <v>15285.2</v>
      </c>
      <c r="Q36" s="7">
        <f t="shared" si="7"/>
        <v>30736.400000000001</v>
      </c>
      <c r="T36" s="1">
        <f t="shared" si="8"/>
        <v>992</v>
      </c>
      <c r="V36" s="1"/>
      <c r="W36" s="1"/>
      <c r="X36" s="1"/>
      <c r="Y36" s="1"/>
      <c r="Z36" s="1"/>
      <c r="AA36" s="1"/>
      <c r="AB36" s="1"/>
      <c r="AC36" s="1"/>
      <c r="AD36" s="1"/>
      <c r="AE36" s="1"/>
      <c r="AF36" s="1"/>
      <c r="AG36" s="1"/>
      <c r="AH36" s="1"/>
      <c r="AI36" s="1"/>
      <c r="AJ36" s="1"/>
      <c r="AK36" s="1"/>
    </row>
    <row r="37" spans="1:37">
      <c r="A37" t="s">
        <v>31</v>
      </c>
      <c r="B37" s="7">
        <v>10657.77</v>
      </c>
      <c r="C37" s="1">
        <v>0</v>
      </c>
      <c r="D37" s="1">
        <v>252</v>
      </c>
      <c r="E37" s="1">
        <v>153.30000000000001</v>
      </c>
      <c r="F37" s="1">
        <v>0</v>
      </c>
      <c r="G37" s="1">
        <v>0</v>
      </c>
      <c r="H37" s="1">
        <v>0</v>
      </c>
      <c r="I37" s="1">
        <v>0</v>
      </c>
      <c r="J37" s="1">
        <v>126</v>
      </c>
      <c r="K37" s="1">
        <v>0</v>
      </c>
      <c r="L37" s="1">
        <v>0</v>
      </c>
      <c r="M37" s="1">
        <v>487.21</v>
      </c>
      <c r="N37" s="1">
        <v>0</v>
      </c>
      <c r="O37" s="205">
        <v>11669.7</v>
      </c>
      <c r="P37" s="7">
        <f t="shared" si="6"/>
        <v>11676.279999999999</v>
      </c>
      <c r="Q37" s="7">
        <f t="shared" si="7"/>
        <v>23345.98</v>
      </c>
      <c r="T37" s="1">
        <f t="shared" si="8"/>
        <v>1018.51</v>
      </c>
      <c r="V37" s="1"/>
      <c r="W37" s="1"/>
      <c r="X37" s="1"/>
      <c r="Y37" s="1"/>
      <c r="Z37" s="1"/>
      <c r="AA37" s="1"/>
      <c r="AB37" s="1"/>
      <c r="AC37" s="1"/>
      <c r="AD37" s="1"/>
      <c r="AE37" s="1"/>
      <c r="AF37" s="1"/>
      <c r="AG37" s="1"/>
      <c r="AH37" s="1"/>
      <c r="AI37" s="1"/>
      <c r="AJ37" s="1"/>
      <c r="AK37" s="1"/>
    </row>
    <row r="38" spans="1:37" ht="29">
      <c r="A38" s="217" t="s">
        <v>151</v>
      </c>
      <c r="B38" s="7">
        <v>13806.46</v>
      </c>
      <c r="C38" s="1">
        <v>0</v>
      </c>
      <c r="D38" s="1">
        <v>189</v>
      </c>
      <c r="E38" s="1">
        <v>153.30000000000001</v>
      </c>
      <c r="F38" s="1">
        <v>0</v>
      </c>
      <c r="G38" s="1">
        <v>0</v>
      </c>
      <c r="H38" s="1">
        <v>0</v>
      </c>
      <c r="I38" s="1">
        <v>0</v>
      </c>
      <c r="J38" s="1">
        <v>94.5</v>
      </c>
      <c r="K38" s="1">
        <v>0</v>
      </c>
      <c r="L38" s="1">
        <v>0</v>
      </c>
      <c r="M38" s="1">
        <v>277.55</v>
      </c>
      <c r="N38" s="1">
        <v>0</v>
      </c>
      <c r="O38" s="205">
        <v>10355.1</v>
      </c>
      <c r="P38" s="7">
        <f t="shared" si="6"/>
        <v>14520.809999999998</v>
      </c>
      <c r="Q38" s="7">
        <f t="shared" ref="Q38" si="11">SUM(O38:P38)</f>
        <v>24875.909999999996</v>
      </c>
      <c r="T38" s="1"/>
      <c r="V38" s="1"/>
      <c r="W38" s="1"/>
      <c r="X38" s="1"/>
      <c r="Y38" s="1"/>
      <c r="Z38" s="1"/>
      <c r="AA38" s="1"/>
      <c r="AB38" s="1"/>
      <c r="AC38" s="1"/>
      <c r="AD38" s="1"/>
      <c r="AE38" s="1"/>
      <c r="AF38" s="1"/>
      <c r="AG38" s="1"/>
      <c r="AH38" s="1"/>
      <c r="AI38" s="1"/>
      <c r="AJ38" s="1"/>
      <c r="AK38" s="1"/>
    </row>
    <row r="39" spans="1:37">
      <c r="A39" t="s">
        <v>54</v>
      </c>
      <c r="B39" s="7">
        <v>15264.64</v>
      </c>
      <c r="C39" s="1">
        <v>0</v>
      </c>
      <c r="D39" s="1">
        <v>189</v>
      </c>
      <c r="E39" s="1">
        <v>153.30000000000001</v>
      </c>
      <c r="F39" s="1">
        <v>0</v>
      </c>
      <c r="G39" s="1">
        <v>0</v>
      </c>
      <c r="H39" s="1">
        <v>0</v>
      </c>
      <c r="I39" s="1">
        <v>0</v>
      </c>
      <c r="J39" s="1">
        <v>94.5</v>
      </c>
      <c r="K39" s="1">
        <v>0</v>
      </c>
      <c r="L39" s="1">
        <v>32.549999999999997</v>
      </c>
      <c r="M39" s="1">
        <v>277.20999999999998</v>
      </c>
      <c r="N39" s="1">
        <v>0</v>
      </c>
      <c r="O39" s="205">
        <v>9812.25</v>
      </c>
      <c r="P39" s="7">
        <f t="shared" si="6"/>
        <v>16011.199999999997</v>
      </c>
      <c r="Q39" s="7">
        <f t="shared" si="7"/>
        <v>25823.449999999997</v>
      </c>
      <c r="T39" s="1">
        <f t="shared" si="8"/>
        <v>746.56</v>
      </c>
      <c r="V39" s="1"/>
      <c r="W39" s="1"/>
      <c r="X39" s="1"/>
      <c r="Y39" s="1"/>
      <c r="Z39" s="1"/>
      <c r="AA39" s="1"/>
      <c r="AB39" s="1"/>
      <c r="AC39" s="1"/>
      <c r="AD39" s="1"/>
      <c r="AE39" s="1"/>
      <c r="AF39" s="1"/>
      <c r="AG39" s="1"/>
      <c r="AH39" s="1"/>
      <c r="AI39" s="1"/>
      <c r="AJ39" s="1"/>
      <c r="AK39" s="1"/>
    </row>
    <row r="40" spans="1:37">
      <c r="A40" t="s">
        <v>55</v>
      </c>
      <c r="B40" s="7">
        <v>5453.18</v>
      </c>
      <c r="C40" s="1">
        <v>0</v>
      </c>
      <c r="D40" s="1">
        <v>0</v>
      </c>
      <c r="E40" s="1">
        <v>119.7</v>
      </c>
      <c r="F40" s="1">
        <v>0</v>
      </c>
      <c r="G40" s="1">
        <v>0</v>
      </c>
      <c r="H40" s="1">
        <v>0</v>
      </c>
      <c r="I40" s="1">
        <v>0</v>
      </c>
      <c r="J40" s="1">
        <v>0</v>
      </c>
      <c r="K40" s="1">
        <v>0</v>
      </c>
      <c r="L40" s="1">
        <v>0</v>
      </c>
      <c r="M40" s="1">
        <v>277.55</v>
      </c>
      <c r="N40" s="1">
        <v>0</v>
      </c>
      <c r="O40" s="205">
        <v>7909.12</v>
      </c>
      <c r="P40" s="7">
        <f t="shared" si="6"/>
        <v>5850.43</v>
      </c>
      <c r="Q40" s="7">
        <f t="shared" si="7"/>
        <v>13759.55</v>
      </c>
      <c r="T40" s="1">
        <f t="shared" si="8"/>
        <v>397.25</v>
      </c>
      <c r="V40" s="1"/>
      <c r="W40" s="1"/>
      <c r="X40" s="1"/>
      <c r="Y40" s="1"/>
      <c r="Z40" s="1"/>
      <c r="AA40" s="1"/>
      <c r="AB40" s="1"/>
      <c r="AC40" s="1"/>
      <c r="AD40" s="1"/>
      <c r="AE40" s="1"/>
      <c r="AF40" s="1"/>
      <c r="AG40" s="1"/>
      <c r="AH40" s="1"/>
      <c r="AI40" s="1"/>
      <c r="AJ40" s="1"/>
      <c r="AK40" s="1"/>
    </row>
    <row r="41" spans="1:37">
      <c r="A41" s="137" t="s">
        <v>187</v>
      </c>
      <c r="B41" s="251">
        <v>10149.299999999999</v>
      </c>
      <c r="C41" s="138">
        <v>0</v>
      </c>
      <c r="D41" s="138">
        <v>0</v>
      </c>
      <c r="E41" s="138">
        <v>119.7</v>
      </c>
      <c r="F41" s="138">
        <v>0</v>
      </c>
      <c r="G41" s="138">
        <v>0</v>
      </c>
      <c r="H41" s="138">
        <v>0</v>
      </c>
      <c r="I41" s="138">
        <v>0</v>
      </c>
      <c r="J41" s="138">
        <v>0</v>
      </c>
      <c r="K41" s="138">
        <v>0</v>
      </c>
      <c r="L41" s="138">
        <v>614</v>
      </c>
      <c r="M41" s="138">
        <v>277.55</v>
      </c>
      <c r="N41" s="138">
        <v>0</v>
      </c>
      <c r="O41" s="205">
        <v>15750</v>
      </c>
      <c r="P41" s="251">
        <f t="shared" si="6"/>
        <v>11160.55</v>
      </c>
      <c r="Q41" s="251">
        <f t="shared" ref="Q41" si="12">SUM(O41:P41)</f>
        <v>26910.55</v>
      </c>
      <c r="T41" s="1"/>
      <c r="V41" s="1"/>
      <c r="W41" s="1"/>
      <c r="X41" s="1"/>
      <c r="Y41" s="1"/>
      <c r="Z41" s="1"/>
      <c r="AA41" s="1"/>
      <c r="AB41" s="1"/>
      <c r="AC41" s="1"/>
      <c r="AD41" s="1"/>
      <c r="AE41" s="1"/>
      <c r="AF41" s="1"/>
      <c r="AG41" s="1"/>
      <c r="AH41" s="1"/>
      <c r="AI41" s="1"/>
      <c r="AJ41" s="1"/>
      <c r="AK41" s="1"/>
    </row>
    <row r="42" spans="1:37">
      <c r="A42" s="137" t="s">
        <v>56</v>
      </c>
      <c r="B42" s="251">
        <v>30021.3</v>
      </c>
      <c r="C42" s="138">
        <v>0</v>
      </c>
      <c r="D42" s="138">
        <v>0</v>
      </c>
      <c r="E42" s="138">
        <v>422</v>
      </c>
      <c r="F42" s="138">
        <v>0</v>
      </c>
      <c r="G42" s="138">
        <v>0</v>
      </c>
      <c r="H42" s="138">
        <v>0</v>
      </c>
      <c r="I42" s="138">
        <v>0</v>
      </c>
      <c r="J42" s="138">
        <v>0</v>
      </c>
      <c r="K42" s="138">
        <v>0</v>
      </c>
      <c r="L42" s="138">
        <v>104.05</v>
      </c>
      <c r="M42" s="138">
        <v>293.05</v>
      </c>
      <c r="N42" s="138">
        <v>0</v>
      </c>
      <c r="O42" s="205">
        <v>33413.1</v>
      </c>
      <c r="P42" s="251">
        <f t="shared" si="6"/>
        <v>30840.399999999998</v>
      </c>
      <c r="Q42" s="251">
        <f t="shared" si="7"/>
        <v>64253.5</v>
      </c>
      <c r="T42" s="1">
        <f t="shared" si="8"/>
        <v>819.09999999999991</v>
      </c>
      <c r="V42" s="1"/>
      <c r="W42" s="1"/>
      <c r="X42" s="1"/>
      <c r="Y42" s="1"/>
      <c r="Z42" s="1"/>
      <c r="AA42" s="1"/>
      <c r="AB42" s="1"/>
      <c r="AC42" s="1"/>
      <c r="AD42" s="1"/>
      <c r="AE42" s="1"/>
      <c r="AF42" s="1"/>
      <c r="AG42" s="1"/>
      <c r="AH42" s="1"/>
      <c r="AI42" s="1"/>
      <c r="AJ42" s="1"/>
      <c r="AK42" s="1"/>
    </row>
    <row r="43" spans="1:37">
      <c r="A43" s="137" t="s">
        <v>186</v>
      </c>
      <c r="B43" s="251">
        <v>13150.2</v>
      </c>
      <c r="C43" s="138">
        <v>0</v>
      </c>
      <c r="D43" s="138">
        <v>189</v>
      </c>
      <c r="E43" s="138">
        <v>153.30000000000001</v>
      </c>
      <c r="F43" s="138">
        <v>0</v>
      </c>
      <c r="G43" s="138">
        <v>0</v>
      </c>
      <c r="H43" s="138">
        <v>0</v>
      </c>
      <c r="I43" s="138">
        <v>0</v>
      </c>
      <c r="J43" s="138">
        <v>94.5</v>
      </c>
      <c r="K43" s="138">
        <v>0</v>
      </c>
      <c r="L43" s="138">
        <v>0</v>
      </c>
      <c r="M43" s="138">
        <v>277.20999999999998</v>
      </c>
      <c r="N43" s="138">
        <v>0</v>
      </c>
      <c r="O43" s="205">
        <v>9862.65</v>
      </c>
      <c r="P43" s="251">
        <f t="shared" si="6"/>
        <v>13864.21</v>
      </c>
      <c r="Q43" s="251">
        <f t="shared" ref="Q43" si="13">SUM(O43:P43)</f>
        <v>23726.86</v>
      </c>
      <c r="T43" s="1"/>
      <c r="V43" s="1"/>
      <c r="W43" s="1"/>
      <c r="X43" s="1"/>
      <c r="Y43" s="1"/>
      <c r="Z43" s="1"/>
      <c r="AA43" s="1"/>
      <c r="AB43" s="1"/>
      <c r="AC43" s="1"/>
      <c r="AD43" s="1"/>
      <c r="AE43" s="1"/>
      <c r="AF43" s="1"/>
      <c r="AG43" s="1"/>
      <c r="AH43" s="1"/>
      <c r="AI43" s="1"/>
      <c r="AJ43" s="1"/>
      <c r="AK43" s="1"/>
    </row>
    <row r="44" spans="1:37" ht="29" hidden="1">
      <c r="A44" s="218" t="s">
        <v>190</v>
      </c>
      <c r="B44" s="251"/>
      <c r="C44" s="138"/>
      <c r="D44" s="138"/>
      <c r="E44" s="138"/>
      <c r="F44" s="138"/>
      <c r="G44" s="138"/>
      <c r="H44" s="138"/>
      <c r="I44" s="138"/>
      <c r="J44" s="138"/>
      <c r="K44" s="138"/>
      <c r="L44" s="138"/>
      <c r="M44" s="138"/>
      <c r="N44" s="138"/>
      <c r="O44" s="138"/>
      <c r="P44" s="251">
        <f t="shared" si="6"/>
        <v>0</v>
      </c>
      <c r="Q44" s="251">
        <f t="shared" ref="Q44" si="14">SUM(O44:P44)</f>
        <v>0</v>
      </c>
      <c r="R44" s="193"/>
      <c r="S44" s="192"/>
      <c r="T44" s="193"/>
      <c r="V44" s="1"/>
      <c r="W44" s="1"/>
      <c r="X44" s="1"/>
      <c r="Y44" s="1"/>
      <c r="Z44" s="1"/>
      <c r="AA44" s="1"/>
      <c r="AB44" s="1"/>
      <c r="AC44" s="1"/>
      <c r="AD44" s="1"/>
      <c r="AE44" s="1"/>
      <c r="AF44" s="1"/>
      <c r="AG44" s="1"/>
      <c r="AH44" s="1"/>
      <c r="AI44" s="1"/>
      <c r="AJ44" s="1"/>
      <c r="AK44" s="1"/>
    </row>
    <row r="45" spans="1:37">
      <c r="A45" s="124" t="s">
        <v>57</v>
      </c>
      <c r="B45" s="7">
        <v>13143.369999999999</v>
      </c>
      <c r="C45" s="1">
        <v>0</v>
      </c>
      <c r="D45" s="1">
        <v>189</v>
      </c>
      <c r="E45" s="1">
        <v>153.30000000000001</v>
      </c>
      <c r="F45" s="1">
        <v>0</v>
      </c>
      <c r="G45" s="1">
        <v>0</v>
      </c>
      <c r="H45" s="1">
        <v>0</v>
      </c>
      <c r="I45" s="1">
        <v>0</v>
      </c>
      <c r="J45" s="1">
        <v>94.5</v>
      </c>
      <c r="K45" s="1">
        <v>0</v>
      </c>
      <c r="L45" s="1">
        <v>32.549999999999997</v>
      </c>
      <c r="M45" s="1">
        <v>277.20999999999998</v>
      </c>
      <c r="N45" s="1">
        <v>0</v>
      </c>
      <c r="O45" s="205">
        <v>10227</v>
      </c>
      <c r="P45" s="7">
        <f t="shared" si="6"/>
        <v>13889.929999999997</v>
      </c>
      <c r="Q45" s="7">
        <f t="shared" si="7"/>
        <v>24116.929999999997</v>
      </c>
      <c r="T45" s="1">
        <f>SUM(D45:M45)</f>
        <v>746.56</v>
      </c>
      <c r="V45" s="1"/>
      <c r="W45" s="1"/>
      <c r="X45" s="1"/>
      <c r="Y45" s="1"/>
      <c r="Z45" s="1"/>
      <c r="AA45" s="1"/>
      <c r="AB45" s="1"/>
      <c r="AC45" s="1"/>
      <c r="AD45" s="1"/>
      <c r="AE45" s="1"/>
      <c r="AF45" s="1"/>
      <c r="AG45" s="1"/>
      <c r="AH45" s="1"/>
      <c r="AI45" s="1"/>
      <c r="AJ45" s="1"/>
      <c r="AK45" s="1"/>
    </row>
    <row r="46" spans="1:37">
      <c r="A46" s="212" t="s">
        <v>32</v>
      </c>
      <c r="B46" s="253"/>
      <c r="C46" s="213"/>
      <c r="D46" s="213"/>
      <c r="E46" s="213"/>
      <c r="F46" s="213"/>
      <c r="G46" s="213"/>
      <c r="H46" s="213"/>
      <c r="I46" s="213"/>
      <c r="J46" s="213"/>
      <c r="K46" s="213"/>
      <c r="L46" s="213"/>
      <c r="M46" s="213"/>
      <c r="N46" s="213"/>
      <c r="O46" s="214"/>
      <c r="P46" s="253"/>
      <c r="Q46" s="253"/>
      <c r="V46" s="1"/>
      <c r="W46" s="1"/>
      <c r="X46" s="1"/>
      <c r="Y46" s="1"/>
      <c r="Z46" s="1"/>
      <c r="AA46" s="1"/>
      <c r="AB46" s="1"/>
      <c r="AC46" s="1"/>
      <c r="AD46" s="1"/>
      <c r="AE46" s="1"/>
      <c r="AF46" s="1"/>
      <c r="AG46" s="1"/>
      <c r="AH46" s="1"/>
      <c r="AI46" s="1"/>
      <c r="AJ46" s="1"/>
      <c r="AK46" s="1"/>
    </row>
    <row r="47" spans="1:37" ht="16.5">
      <c r="A47" t="s">
        <v>176</v>
      </c>
      <c r="B47" s="7">
        <v>5336</v>
      </c>
      <c r="C47" s="1">
        <v>259</v>
      </c>
      <c r="D47" s="1">
        <v>240</v>
      </c>
      <c r="E47" s="1">
        <v>124</v>
      </c>
      <c r="F47" s="1">
        <v>50</v>
      </c>
      <c r="G47" s="1">
        <v>30.72</v>
      </c>
      <c r="H47" s="1">
        <v>65.28</v>
      </c>
      <c r="I47" s="1">
        <v>636</v>
      </c>
      <c r="J47" s="1">
        <v>120</v>
      </c>
      <c r="K47" s="1">
        <v>96</v>
      </c>
      <c r="L47" s="1">
        <v>3209</v>
      </c>
      <c r="M47" s="1">
        <v>1173</v>
      </c>
      <c r="N47" s="1">
        <v>0</v>
      </c>
      <c r="O47" s="205">
        <v>6446</v>
      </c>
      <c r="P47" s="7">
        <f>SUM(B47:N47)</f>
        <v>11339</v>
      </c>
      <c r="Q47" s="7">
        <f t="shared" ref="Q47:Q48" si="15">SUM(O47:P47)</f>
        <v>17785</v>
      </c>
      <c r="T47" s="1">
        <f t="shared" ref="T47:T49" si="16">SUM(D47:M47)</f>
        <v>5744</v>
      </c>
      <c r="V47" s="1"/>
      <c r="W47" s="1"/>
      <c r="X47" s="1"/>
      <c r="Y47" s="1"/>
      <c r="Z47" s="1"/>
      <c r="AA47" s="1"/>
      <c r="AB47" s="1"/>
      <c r="AC47" s="1"/>
      <c r="AD47" s="1"/>
      <c r="AE47" s="1"/>
      <c r="AF47" s="1"/>
      <c r="AG47" s="1"/>
      <c r="AH47" s="1"/>
      <c r="AI47" s="1"/>
      <c r="AJ47" s="1"/>
      <c r="AK47" s="1"/>
    </row>
    <row r="48" spans="1:37" ht="16.5">
      <c r="A48" t="s">
        <v>178</v>
      </c>
      <c r="B48" s="7">
        <v>6024</v>
      </c>
      <c r="C48" s="1">
        <v>0</v>
      </c>
      <c r="D48" s="1">
        <v>240</v>
      </c>
      <c r="E48" s="1">
        <v>136</v>
      </c>
      <c r="F48" s="1">
        <v>80</v>
      </c>
      <c r="G48" s="1">
        <v>96</v>
      </c>
      <c r="H48" s="1">
        <v>519</v>
      </c>
      <c r="I48" s="1">
        <v>0</v>
      </c>
      <c r="J48" s="1">
        <v>168</v>
      </c>
      <c r="K48" s="1">
        <v>96</v>
      </c>
      <c r="L48" s="1">
        <v>2968</v>
      </c>
      <c r="M48" s="1">
        <v>726</v>
      </c>
      <c r="N48" s="1">
        <v>0</v>
      </c>
      <c r="O48" s="205">
        <v>6942</v>
      </c>
      <c r="P48" s="7">
        <f>SUM(B48:N48)</f>
        <v>11053</v>
      </c>
      <c r="Q48" s="7">
        <f t="shared" si="15"/>
        <v>17995</v>
      </c>
      <c r="T48" s="1">
        <f t="shared" si="16"/>
        <v>5029</v>
      </c>
      <c r="V48" s="1"/>
      <c r="W48" s="1"/>
      <c r="X48" s="1"/>
      <c r="Y48" s="1"/>
      <c r="Z48" s="1"/>
      <c r="AA48" s="1"/>
      <c r="AB48" s="1"/>
      <c r="AC48" s="1"/>
      <c r="AD48" s="1"/>
      <c r="AE48" s="1"/>
      <c r="AF48" s="1"/>
      <c r="AG48" s="1"/>
      <c r="AH48" s="1"/>
      <c r="AI48" s="1"/>
      <c r="AJ48" s="1"/>
      <c r="AK48" s="1"/>
    </row>
    <row r="49" spans="1:37">
      <c r="A49" t="s">
        <v>193</v>
      </c>
      <c r="B49" s="7">
        <v>11338</v>
      </c>
      <c r="C49" s="1">
        <v>1596</v>
      </c>
      <c r="D49" s="1">
        <v>240</v>
      </c>
      <c r="E49" s="1">
        <v>228</v>
      </c>
      <c r="F49" s="1">
        <v>50</v>
      </c>
      <c r="G49" s="1">
        <v>20</v>
      </c>
      <c r="H49" s="1">
        <v>76</v>
      </c>
      <c r="I49" s="1">
        <v>0</v>
      </c>
      <c r="J49" s="1">
        <v>120</v>
      </c>
      <c r="K49" s="1">
        <v>96</v>
      </c>
      <c r="L49" s="1">
        <v>4117</v>
      </c>
      <c r="M49" s="1">
        <v>1149</v>
      </c>
      <c r="N49" s="1">
        <v>0</v>
      </c>
      <c r="O49" s="205">
        <v>15000</v>
      </c>
      <c r="P49" s="7">
        <f>SUM(B49:N49)</f>
        <v>19030</v>
      </c>
      <c r="Q49" s="7">
        <f>SUM(O49:P49)</f>
        <v>34030</v>
      </c>
      <c r="T49" s="1">
        <f t="shared" si="16"/>
        <v>6096</v>
      </c>
      <c r="V49" s="1"/>
      <c r="W49" s="1"/>
      <c r="X49" s="1"/>
      <c r="Y49" s="1"/>
      <c r="Z49" s="1"/>
      <c r="AA49" s="1"/>
      <c r="AB49" s="1"/>
      <c r="AC49" s="1"/>
      <c r="AD49" s="1"/>
      <c r="AE49" s="1"/>
      <c r="AF49" s="1"/>
      <c r="AG49" s="1"/>
      <c r="AH49" s="1"/>
      <c r="AI49" s="1"/>
      <c r="AJ49" s="1"/>
      <c r="AK49" s="1"/>
    </row>
    <row r="50" spans="1:37">
      <c r="A50" t="s">
        <v>194</v>
      </c>
      <c r="B50" s="7">
        <v>11338</v>
      </c>
      <c r="C50" s="1">
        <v>400</v>
      </c>
      <c r="D50" s="1">
        <v>240</v>
      </c>
      <c r="E50" s="1">
        <v>228</v>
      </c>
      <c r="F50" s="1">
        <v>50</v>
      </c>
      <c r="G50" s="1">
        <v>20</v>
      </c>
      <c r="H50" s="1">
        <v>76</v>
      </c>
      <c r="I50" s="1">
        <v>0</v>
      </c>
      <c r="J50" s="1">
        <v>120</v>
      </c>
      <c r="K50" s="1">
        <v>96</v>
      </c>
      <c r="L50" s="1">
        <v>4117</v>
      </c>
      <c r="M50" s="1">
        <v>1149</v>
      </c>
      <c r="N50" s="1">
        <v>0</v>
      </c>
      <c r="O50" s="205">
        <v>15000</v>
      </c>
      <c r="P50" s="7">
        <f>SUM(B50:N50)</f>
        <v>17834</v>
      </c>
      <c r="Q50" s="7">
        <f t="shared" ref="Q50:Q51" si="17">SUM(O50:P50)</f>
        <v>32834</v>
      </c>
    </row>
    <row r="51" spans="1:37">
      <c r="A51" t="s">
        <v>195</v>
      </c>
      <c r="B51" s="7">
        <v>11338</v>
      </c>
      <c r="C51" s="1">
        <v>400</v>
      </c>
      <c r="D51" s="1">
        <v>240</v>
      </c>
      <c r="E51" s="1">
        <v>228</v>
      </c>
      <c r="F51" s="1">
        <v>50</v>
      </c>
      <c r="G51" s="1">
        <v>20</v>
      </c>
      <c r="H51" s="1">
        <v>76</v>
      </c>
      <c r="I51" s="1">
        <v>0</v>
      </c>
      <c r="J51" s="1">
        <v>120</v>
      </c>
      <c r="K51" s="1">
        <v>96</v>
      </c>
      <c r="L51" s="1">
        <v>4117</v>
      </c>
      <c r="M51" s="1">
        <v>1149</v>
      </c>
      <c r="N51" s="1">
        <v>0</v>
      </c>
      <c r="O51" s="205">
        <v>15000</v>
      </c>
      <c r="P51" s="7">
        <f>SUM(B51:N51)</f>
        <v>17834</v>
      </c>
      <c r="Q51" s="7">
        <f t="shared" si="17"/>
        <v>32834</v>
      </c>
    </row>
    <row r="53" spans="1:37">
      <c r="A53" s="144" t="s">
        <v>173</v>
      </c>
      <c r="T53" s="1"/>
    </row>
    <row r="54" spans="1:37">
      <c r="A54" s="144" t="s">
        <v>174</v>
      </c>
    </row>
    <row r="55" spans="1:37">
      <c r="A55" s="144" t="s">
        <v>441</v>
      </c>
    </row>
  </sheetData>
  <pageMargins left="0.7" right="0.7" top="0.75" bottom="0.75" header="0.3" footer="0.3"/>
  <pageSetup paperSize="5" scale="64" orientation="landscape" r:id="rId1"/>
  <ignoredErrors>
    <ignoredError sqref="T45:T49 T21:T37 T42 T39:T40 T6:T15 T17:T19"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Y57"/>
  <sheetViews>
    <sheetView zoomScaleNormal="100" workbookViewId="0">
      <pane xSplit="1" ySplit="5" topLeftCell="B12" activePane="bottomRight" state="frozen"/>
      <selection pane="topRight" activeCell="B1" sqref="B1"/>
      <selection pane="bottomLeft" activeCell="A6" sqref="A6"/>
      <selection pane="bottomRight" activeCell="S25" sqref="S25:T28"/>
    </sheetView>
  </sheetViews>
  <sheetFormatPr defaultRowHeight="14.5"/>
  <cols>
    <col min="1" max="1" width="34.54296875" customWidth="1"/>
    <col min="2" max="3" width="8.81640625" customWidth="1"/>
    <col min="4" max="4" width="10.453125" customWidth="1"/>
    <col min="5" max="5" width="8.81640625" customWidth="1"/>
    <col min="6" max="6" width="1.1796875" customWidth="1"/>
    <col min="7" max="8" width="8.81640625" customWidth="1"/>
    <col min="9" max="9" width="10.81640625" customWidth="1"/>
    <col min="10" max="10" width="8.81640625" customWidth="1"/>
    <col min="11" max="11" width="1.1796875" customWidth="1"/>
    <col min="12" max="13" width="8.81640625" customWidth="1"/>
    <col min="14" max="14" width="10.81640625" customWidth="1"/>
    <col min="15" max="15" width="9.1796875" customWidth="1"/>
    <col min="16" max="16" width="1.1796875" customWidth="1"/>
    <col min="18" max="18" width="9.1796875" customWidth="1"/>
    <col min="19" max="19" width="10.453125" customWidth="1"/>
  </cols>
  <sheetData>
    <row r="1" spans="1:23" ht="15.5">
      <c r="A1" s="136" t="s">
        <v>152</v>
      </c>
    </row>
    <row r="2" spans="1:23" ht="15.5">
      <c r="A2" s="136" t="s">
        <v>202</v>
      </c>
    </row>
    <row r="3" spans="1:23" ht="15" thickBot="1"/>
    <row r="4" spans="1:23" ht="15" thickTop="1">
      <c r="A4" s="58"/>
      <c r="B4" s="59" t="s">
        <v>204</v>
      </c>
      <c r="C4" s="41"/>
      <c r="D4" s="41"/>
      <c r="E4" s="41"/>
      <c r="F4" s="41"/>
      <c r="G4" s="41"/>
      <c r="H4" s="41"/>
      <c r="I4" s="41"/>
      <c r="J4" s="41"/>
      <c r="K4" s="42"/>
      <c r="L4" s="41" t="s">
        <v>205</v>
      </c>
      <c r="M4" s="41"/>
      <c r="N4" s="41"/>
      <c r="O4" s="41"/>
      <c r="P4" s="41"/>
      <c r="Q4" s="41"/>
      <c r="R4" s="41"/>
      <c r="S4" s="41"/>
      <c r="T4" s="43"/>
    </row>
    <row r="5" spans="1:23" ht="44" thickBot="1">
      <c r="A5" s="103" t="s">
        <v>0</v>
      </c>
      <c r="B5" s="173" t="s">
        <v>199</v>
      </c>
      <c r="C5" s="49" t="s">
        <v>207</v>
      </c>
      <c r="D5" s="49" t="s">
        <v>119</v>
      </c>
      <c r="E5" s="49" t="s">
        <v>120</v>
      </c>
      <c r="F5" s="50"/>
      <c r="G5" s="179" t="s">
        <v>200</v>
      </c>
      <c r="H5" s="49" t="s">
        <v>208</v>
      </c>
      <c r="I5" s="49" t="s">
        <v>119</v>
      </c>
      <c r="J5" s="49" t="s">
        <v>120</v>
      </c>
      <c r="K5" s="51"/>
      <c r="L5" s="179" t="s">
        <v>199</v>
      </c>
      <c r="M5" s="49" t="s">
        <v>207</v>
      </c>
      <c r="N5" s="49" t="s">
        <v>119</v>
      </c>
      <c r="O5" s="49" t="s">
        <v>120</v>
      </c>
      <c r="P5" s="50"/>
      <c r="Q5" s="179" t="s">
        <v>200</v>
      </c>
      <c r="R5" s="49" t="s">
        <v>208</v>
      </c>
      <c r="S5" s="49" t="s">
        <v>119</v>
      </c>
      <c r="T5" s="52" t="s">
        <v>120</v>
      </c>
    </row>
    <row r="6" spans="1:23">
      <c r="A6" s="123" t="s">
        <v>22</v>
      </c>
      <c r="B6" s="174"/>
      <c r="C6" s="53"/>
      <c r="D6" s="53"/>
      <c r="E6" s="53"/>
      <c r="F6" s="53"/>
      <c r="G6" s="174"/>
      <c r="H6" s="53"/>
      <c r="I6" s="53"/>
      <c r="J6" s="53"/>
      <c r="K6" s="111"/>
      <c r="L6" s="174"/>
      <c r="M6" s="53"/>
      <c r="N6" s="53"/>
      <c r="O6" s="53"/>
      <c r="P6" s="53"/>
      <c r="Q6" s="174"/>
      <c r="R6" s="53"/>
      <c r="S6" s="53"/>
      <c r="T6" s="54"/>
    </row>
    <row r="7" spans="1:23">
      <c r="A7" s="44" t="s">
        <v>12</v>
      </c>
      <c r="B7" s="175">
        <v>5140</v>
      </c>
      <c r="C7" s="56">
        <f>'Undergrad-12Hours'!B6</f>
        <v>5140</v>
      </c>
      <c r="D7" s="83">
        <f>C7-B7</f>
        <v>0</v>
      </c>
      <c r="E7" s="85">
        <f>D7/B7</f>
        <v>0</v>
      </c>
      <c r="F7" s="97"/>
      <c r="G7" s="180">
        <v>7683</v>
      </c>
      <c r="H7" s="56">
        <f>'Undergrad-12Hours'!P6</f>
        <v>7771.7399999999989</v>
      </c>
      <c r="I7" s="83">
        <f>H7-G7</f>
        <v>88.739999999998872</v>
      </c>
      <c r="J7" s="85">
        <f>I7/G7</f>
        <v>1.1550175712612114E-2</v>
      </c>
      <c r="K7" s="45"/>
      <c r="L7" s="175">
        <v>5140</v>
      </c>
      <c r="M7" s="56">
        <f>'Undergrad-15Hours'!B6</f>
        <v>5140</v>
      </c>
      <c r="N7" s="83">
        <f>M7-L7</f>
        <v>0</v>
      </c>
      <c r="O7" s="85">
        <f>N7/L7</f>
        <v>0</v>
      </c>
      <c r="P7" s="97"/>
      <c r="Q7" s="180">
        <v>7683</v>
      </c>
      <c r="R7" s="56">
        <f>'Undergrad-15Hours'!P6</f>
        <v>7771.7399999999989</v>
      </c>
      <c r="S7" s="83">
        <f>R7-Q7</f>
        <v>88.739999999998872</v>
      </c>
      <c r="T7" s="109">
        <f>S7/Q7</f>
        <v>1.1550175712612114E-2</v>
      </c>
    </row>
    <row r="8" spans="1:23" ht="16.5">
      <c r="A8" s="44" t="s">
        <v>432</v>
      </c>
      <c r="B8" s="219" t="s">
        <v>114</v>
      </c>
      <c r="C8" s="56">
        <f>'Undergrad-12Hours'!B7</f>
        <v>5320</v>
      </c>
      <c r="D8" s="220" t="s">
        <v>114</v>
      </c>
      <c r="E8" s="221" t="s">
        <v>114</v>
      </c>
      <c r="F8" s="97"/>
      <c r="G8" s="222" t="s">
        <v>114</v>
      </c>
      <c r="H8" s="56">
        <f>'Undergrad-12Hours'!P7</f>
        <v>7951.7399999999989</v>
      </c>
      <c r="I8" s="220" t="s">
        <v>114</v>
      </c>
      <c r="J8" s="221" t="s">
        <v>114</v>
      </c>
      <c r="K8" s="45"/>
      <c r="L8" s="219" t="s">
        <v>114</v>
      </c>
      <c r="M8" s="56">
        <f>'Undergrad-15Hours'!B7</f>
        <v>5320</v>
      </c>
      <c r="N8" s="220" t="s">
        <v>114</v>
      </c>
      <c r="O8" s="221" t="s">
        <v>114</v>
      </c>
      <c r="P8" s="97"/>
      <c r="Q8" s="222" t="s">
        <v>114</v>
      </c>
      <c r="R8" s="56">
        <f>'Undergrad-15Hours'!P7</f>
        <v>7951.7399999999989</v>
      </c>
      <c r="S8" s="220" t="s">
        <v>114</v>
      </c>
      <c r="T8" s="223" t="s">
        <v>114</v>
      </c>
    </row>
    <row r="9" spans="1:23">
      <c r="A9" s="44" t="s">
        <v>13</v>
      </c>
      <c r="B9" s="175">
        <v>5553</v>
      </c>
      <c r="C9" s="56">
        <f>'Undergrad-12Hours'!B8</f>
        <v>5553</v>
      </c>
      <c r="D9" s="83">
        <f t="shared" ref="D9:D19" si="0">C9-B9</f>
        <v>0</v>
      </c>
      <c r="E9" s="85">
        <f t="shared" ref="E9:E19" si="1">D9/B9</f>
        <v>0</v>
      </c>
      <c r="F9" s="47"/>
      <c r="G9" s="180">
        <v>10124.5</v>
      </c>
      <c r="H9" s="56">
        <f>'Undergrad-12Hours'!P8</f>
        <v>10733.5</v>
      </c>
      <c r="I9" s="83">
        <f t="shared" ref="I9:I19" si="2">H9-G9</f>
        <v>609</v>
      </c>
      <c r="J9" s="85">
        <f t="shared" ref="J9:J19" si="3">I9/G9</f>
        <v>6.0151118573756726E-2</v>
      </c>
      <c r="K9" s="45"/>
      <c r="L9" s="175">
        <v>5553</v>
      </c>
      <c r="M9" s="56">
        <f>'Undergrad-15Hours'!B8</f>
        <v>5553</v>
      </c>
      <c r="N9" s="83">
        <f t="shared" ref="N9:N19" si="4">M9-L9</f>
        <v>0</v>
      </c>
      <c r="O9" s="85">
        <f t="shared" ref="O9:O19" si="5">N9/L9</f>
        <v>0</v>
      </c>
      <c r="P9" s="47"/>
      <c r="Q9" s="180">
        <v>10754.5</v>
      </c>
      <c r="R9" s="56">
        <f>'Undergrad-15Hours'!P8</f>
        <v>11399.5</v>
      </c>
      <c r="S9" s="83">
        <f t="shared" ref="S9:S19" si="6">R9-Q9</f>
        <v>645</v>
      </c>
      <c r="T9" s="101">
        <f t="shared" ref="T9:T19" si="7">S9/Q9</f>
        <v>5.9974894230322193E-2</v>
      </c>
    </row>
    <row r="10" spans="1:23">
      <c r="A10" s="44" t="s">
        <v>14</v>
      </c>
      <c r="B10" s="175">
        <v>5147.34</v>
      </c>
      <c r="C10" s="56">
        <f>'Undergrad-12Hours'!B9</f>
        <v>5147.34</v>
      </c>
      <c r="D10" s="83">
        <f t="shared" si="0"/>
        <v>0</v>
      </c>
      <c r="E10" s="85">
        <f t="shared" si="1"/>
        <v>0</v>
      </c>
      <c r="F10" s="47"/>
      <c r="G10" s="180">
        <v>8489.66</v>
      </c>
      <c r="H10" s="56">
        <f>'Undergrad-12Hours'!P9</f>
        <v>9040.17</v>
      </c>
      <c r="I10" s="83">
        <f t="shared" si="2"/>
        <v>550.51000000000022</v>
      </c>
      <c r="J10" s="85">
        <f t="shared" si="3"/>
        <v>6.4844764101271463E-2</v>
      </c>
      <c r="K10" s="45"/>
      <c r="L10" s="175">
        <v>5147.34</v>
      </c>
      <c r="M10" s="56">
        <f>'Undergrad-15Hours'!B9</f>
        <v>5147.34</v>
      </c>
      <c r="N10" s="83">
        <f t="shared" si="4"/>
        <v>0</v>
      </c>
      <c r="O10" s="85">
        <f t="shared" si="5"/>
        <v>0</v>
      </c>
      <c r="P10" s="47"/>
      <c r="Q10" s="180">
        <v>8831.66</v>
      </c>
      <c r="R10" s="56">
        <f>'Undergrad-15Hours'!P9</f>
        <v>9450.5800000000017</v>
      </c>
      <c r="S10" s="83">
        <f t="shared" si="6"/>
        <v>618.92000000000189</v>
      </c>
      <c r="T10" s="101">
        <f t="shared" si="7"/>
        <v>7.0079690567798336E-2</v>
      </c>
    </row>
    <row r="11" spans="1:23">
      <c r="A11" s="44" t="s">
        <v>15</v>
      </c>
      <c r="B11" s="175">
        <v>4922</v>
      </c>
      <c r="C11" s="56">
        <f>'Undergrad-12Hours'!B10</f>
        <v>4922.28</v>
      </c>
      <c r="D11" s="83">
        <f t="shared" si="0"/>
        <v>0.27999999999974534</v>
      </c>
      <c r="E11" s="85">
        <f t="shared" si="1"/>
        <v>5.688744412835135E-5</v>
      </c>
      <c r="F11" s="47"/>
      <c r="G11" s="180">
        <v>8149</v>
      </c>
      <c r="H11" s="56">
        <f>'Undergrad-12Hours'!P10</f>
        <v>8741.14</v>
      </c>
      <c r="I11" s="83">
        <f t="shared" si="2"/>
        <v>592.13999999999942</v>
      </c>
      <c r="J11" s="221">
        <f t="shared" si="3"/>
        <v>7.2664130568167798E-2</v>
      </c>
      <c r="K11" s="45"/>
      <c r="L11" s="175">
        <v>4922</v>
      </c>
      <c r="M11" s="56">
        <f>'Undergrad-15Hours'!B10</f>
        <v>4922.28</v>
      </c>
      <c r="N11" s="83">
        <f t="shared" si="4"/>
        <v>0.27999999999974534</v>
      </c>
      <c r="O11" s="85">
        <f t="shared" si="5"/>
        <v>5.688744412835135E-5</v>
      </c>
      <c r="P11" s="47"/>
      <c r="Q11" s="180">
        <v>8233</v>
      </c>
      <c r="R11" s="56">
        <f>'Undergrad-15Hours'!P10</f>
        <v>8810.14</v>
      </c>
      <c r="S11" s="83">
        <f t="shared" si="6"/>
        <v>577.13999999999942</v>
      </c>
      <c r="T11" s="101">
        <f t="shared" si="7"/>
        <v>7.0100813798129408E-2</v>
      </c>
    </row>
    <row r="12" spans="1:23" ht="16.5">
      <c r="A12" s="44" t="s">
        <v>433</v>
      </c>
      <c r="B12" s="219">
        <v>4922</v>
      </c>
      <c r="C12" s="56">
        <f>'Undergrad-12Hours'!B11</f>
        <v>5084.5199999999995</v>
      </c>
      <c r="D12" s="83">
        <f t="shared" si="0"/>
        <v>162.51999999999953</v>
      </c>
      <c r="E12" s="85">
        <f t="shared" si="1"/>
        <v>3.3019097927671583E-2</v>
      </c>
      <c r="F12" s="47"/>
      <c r="G12" s="222">
        <v>8149</v>
      </c>
      <c r="H12" s="56">
        <f>'Undergrad-12Hours'!P11</f>
        <v>8903.3799999999992</v>
      </c>
      <c r="I12" s="83">
        <f t="shared" si="2"/>
        <v>754.3799999999992</v>
      </c>
      <c r="J12" s="221">
        <f t="shared" si="3"/>
        <v>9.2573321879985182E-2</v>
      </c>
      <c r="K12" s="45"/>
      <c r="L12" s="219">
        <v>4922</v>
      </c>
      <c r="M12" s="56">
        <f>'Undergrad-15Hours'!B11</f>
        <v>5084.5199999999995</v>
      </c>
      <c r="N12" s="83">
        <f t="shared" ref="N12" si="8">M12-L12</f>
        <v>162.51999999999953</v>
      </c>
      <c r="O12" s="85">
        <f t="shared" ref="O12" si="9">N12/L12</f>
        <v>3.3019097927671583E-2</v>
      </c>
      <c r="P12" s="47"/>
      <c r="Q12" s="222">
        <v>8233</v>
      </c>
      <c r="R12" s="56">
        <f>'Undergrad-15Hours'!P11</f>
        <v>8972.3799999999992</v>
      </c>
      <c r="S12" s="83">
        <f t="shared" ref="S12" si="10">R12-Q12</f>
        <v>739.3799999999992</v>
      </c>
      <c r="T12" s="101">
        <f t="shared" ref="T12" si="11">S12/Q12</f>
        <v>8.9806874772257891E-2</v>
      </c>
    </row>
    <row r="13" spans="1:23">
      <c r="A13" s="44" t="s">
        <v>16</v>
      </c>
      <c r="B13" s="175">
        <v>5180</v>
      </c>
      <c r="C13" s="56">
        <f>'Undergrad-12Hours'!B12</f>
        <v>5180</v>
      </c>
      <c r="D13" s="83">
        <f t="shared" si="0"/>
        <v>0</v>
      </c>
      <c r="E13" s="85">
        <f t="shared" si="1"/>
        <v>0</v>
      </c>
      <c r="F13" s="47"/>
      <c r="G13" s="180">
        <v>8864</v>
      </c>
      <c r="H13" s="56">
        <f>'Undergrad-12Hours'!P12</f>
        <v>9370</v>
      </c>
      <c r="I13" s="83">
        <f t="shared" si="2"/>
        <v>506</v>
      </c>
      <c r="J13" s="85">
        <f t="shared" si="3"/>
        <v>5.7084837545126353E-2</v>
      </c>
      <c r="K13" s="45"/>
      <c r="L13" s="175">
        <v>5180</v>
      </c>
      <c r="M13" s="56">
        <f>'Undergrad-15Hours'!B12</f>
        <v>5180</v>
      </c>
      <c r="N13" s="83">
        <f t="shared" si="4"/>
        <v>0</v>
      </c>
      <c r="O13" s="85">
        <f t="shared" si="5"/>
        <v>0</v>
      </c>
      <c r="P13" s="47"/>
      <c r="Q13" s="180">
        <v>8894</v>
      </c>
      <c r="R13" s="56">
        <f>'Undergrad-15Hours'!P12</f>
        <v>9634</v>
      </c>
      <c r="S13" s="83">
        <f t="shared" si="6"/>
        <v>740</v>
      </c>
      <c r="T13" s="101">
        <f t="shared" si="7"/>
        <v>8.3202158758713743E-2</v>
      </c>
    </row>
    <row r="14" spans="1:23">
      <c r="A14" s="44" t="s">
        <v>17</v>
      </c>
      <c r="B14" s="175">
        <v>5777</v>
      </c>
      <c r="C14" s="56">
        <f>'Undergrad-12Hours'!B13</f>
        <v>5777</v>
      </c>
      <c r="D14" s="83">
        <f t="shared" ref="D14" si="12">C14-B14</f>
        <v>0</v>
      </c>
      <c r="E14" s="85">
        <f t="shared" ref="E14" si="13">D14/B14</f>
        <v>0</v>
      </c>
      <c r="F14" s="47"/>
      <c r="G14" s="180">
        <v>8373</v>
      </c>
      <c r="H14" s="56">
        <f>'Undergrad-12Hours'!P13</f>
        <v>9043</v>
      </c>
      <c r="I14" s="83">
        <f t="shared" ref="I14" si="14">H14-G14</f>
        <v>670</v>
      </c>
      <c r="J14" s="85">
        <f t="shared" ref="J14" si="15">I14/G14</f>
        <v>8.0019109040965E-2</v>
      </c>
      <c r="K14" s="45"/>
      <c r="L14" s="175">
        <v>5777</v>
      </c>
      <c r="M14" s="56">
        <f>'Undergrad-15Hours'!B13</f>
        <v>5777</v>
      </c>
      <c r="N14" s="83">
        <f t="shared" ref="N14" si="16">M14-L14</f>
        <v>0</v>
      </c>
      <c r="O14" s="85">
        <f t="shared" ref="O14" si="17">N14/L14</f>
        <v>0</v>
      </c>
      <c r="P14" s="47"/>
      <c r="Q14" s="180">
        <v>8559</v>
      </c>
      <c r="R14" s="56">
        <f>'Undergrad-15Hours'!P13</f>
        <v>9229</v>
      </c>
      <c r="S14" s="83">
        <f t="shared" ref="S14" si="18">R14-Q14</f>
        <v>670</v>
      </c>
      <c r="T14" s="101">
        <f t="shared" ref="T14" si="19">S14/Q14</f>
        <v>7.828017291739689E-2</v>
      </c>
    </row>
    <row r="15" spans="1:23" ht="16.5">
      <c r="A15" s="44" t="s">
        <v>434</v>
      </c>
      <c r="B15" s="219">
        <v>5777</v>
      </c>
      <c r="C15" s="56">
        <f>'Undergrad-12Hours'!B14</f>
        <v>5937</v>
      </c>
      <c r="D15" s="83">
        <f t="shared" ref="D15" si="20">C15-B15</f>
        <v>160</v>
      </c>
      <c r="E15" s="85">
        <f t="shared" ref="E15" si="21">D15/B15</f>
        <v>2.7696036004846807E-2</v>
      </c>
      <c r="F15" s="47"/>
      <c r="G15" s="222">
        <v>8373</v>
      </c>
      <c r="H15" s="56">
        <f>'Undergrad-12Hours'!P14</f>
        <v>9203</v>
      </c>
      <c r="I15" s="83">
        <f t="shared" ref="I15" si="22">H15-G15</f>
        <v>830</v>
      </c>
      <c r="J15" s="85">
        <f t="shared" ref="J15" si="23">I15/G15</f>
        <v>9.9128150005971569E-2</v>
      </c>
      <c r="K15" s="45"/>
      <c r="L15" s="219">
        <v>5777</v>
      </c>
      <c r="M15" s="56">
        <f>'Undergrad-15Hours'!B14</f>
        <v>5937</v>
      </c>
      <c r="N15" s="83">
        <f t="shared" ref="N15" si="24">M15-L15</f>
        <v>160</v>
      </c>
      <c r="O15" s="85">
        <f t="shared" ref="O15" si="25">N15/L15</f>
        <v>2.7696036004846807E-2</v>
      </c>
      <c r="P15" s="47"/>
      <c r="Q15" s="222">
        <v>8559</v>
      </c>
      <c r="R15" s="56">
        <f>'Undergrad-15Hours'!P14</f>
        <v>9389</v>
      </c>
      <c r="S15" s="83">
        <f t="shared" ref="S15" si="26">R15-Q15</f>
        <v>830</v>
      </c>
      <c r="T15" s="101">
        <f t="shared" ref="T15" si="27">S15/Q15</f>
        <v>9.6973945554387195E-2</v>
      </c>
      <c r="W15" s="247"/>
    </row>
    <row r="16" spans="1:23">
      <c r="A16" s="44" t="s">
        <v>18</v>
      </c>
      <c r="B16" s="175">
        <v>5406.96</v>
      </c>
      <c r="C16" s="56">
        <f>'Undergrad-12Hours'!B15</f>
        <v>5406.96</v>
      </c>
      <c r="D16" s="83">
        <f t="shared" si="0"/>
        <v>0</v>
      </c>
      <c r="E16" s="85">
        <f t="shared" si="1"/>
        <v>0</v>
      </c>
      <c r="F16" s="47"/>
      <c r="G16" s="180">
        <v>10418</v>
      </c>
      <c r="H16" s="56">
        <f>'Undergrad-12Hours'!P15</f>
        <v>11147.039999999999</v>
      </c>
      <c r="I16" s="83">
        <f t="shared" si="2"/>
        <v>729.03999999999905</v>
      </c>
      <c r="J16" s="85">
        <f t="shared" si="3"/>
        <v>6.9978882703013917E-2</v>
      </c>
      <c r="K16" s="45"/>
      <c r="L16" s="175">
        <v>5406.96</v>
      </c>
      <c r="M16" s="56">
        <f>'Undergrad-15Hours'!B15</f>
        <v>5406.96</v>
      </c>
      <c r="N16" s="83">
        <f t="shared" si="4"/>
        <v>0</v>
      </c>
      <c r="O16" s="85">
        <f t="shared" si="5"/>
        <v>0</v>
      </c>
      <c r="P16" s="47"/>
      <c r="Q16" s="180">
        <v>11294</v>
      </c>
      <c r="R16" s="56">
        <f>'Undergrad-15Hours'!P15</f>
        <v>12085.04</v>
      </c>
      <c r="S16" s="83">
        <f t="shared" si="6"/>
        <v>791.04000000000087</v>
      </c>
      <c r="T16" s="101">
        <f t="shared" si="7"/>
        <v>7.0040729590933312E-2</v>
      </c>
    </row>
    <row r="17" spans="1:20" ht="16.5">
      <c r="A17" s="44" t="s">
        <v>435</v>
      </c>
      <c r="B17" s="219">
        <v>5407</v>
      </c>
      <c r="C17" s="56">
        <f>'Undergrad-12Hours'!B16</f>
        <v>5719.96</v>
      </c>
      <c r="D17" s="83">
        <f t="shared" ref="D17" si="28">C17-B17</f>
        <v>312.96000000000004</v>
      </c>
      <c r="E17" s="85">
        <f t="shared" ref="E17" si="29">D17/B17</f>
        <v>5.7880525245052716E-2</v>
      </c>
      <c r="F17" s="47"/>
      <c r="G17" s="222">
        <v>10418</v>
      </c>
      <c r="H17" s="56">
        <f>'Undergrad-12Hours'!P16</f>
        <v>11460.039999999999</v>
      </c>
      <c r="I17" s="83">
        <f t="shared" ref="I17" si="30">H17-G17</f>
        <v>1042.0399999999991</v>
      </c>
      <c r="J17" s="85">
        <f t="shared" ref="J17" si="31">I17/G17</f>
        <v>0.10002303705125735</v>
      </c>
      <c r="K17" s="45"/>
      <c r="L17" s="219">
        <v>5407</v>
      </c>
      <c r="M17" s="56">
        <f>'Undergrad-15Hours'!B16</f>
        <v>5719.92</v>
      </c>
      <c r="N17" s="83">
        <f t="shared" ref="N17" si="32">M17-L17</f>
        <v>312.92000000000007</v>
      </c>
      <c r="O17" s="85">
        <f t="shared" ref="O17" si="33">N17/L17</f>
        <v>5.7873127427408931E-2</v>
      </c>
      <c r="P17" s="47"/>
      <c r="Q17" s="222">
        <v>11294</v>
      </c>
      <c r="R17" s="56">
        <f>'Undergrad-15Hours'!P16</f>
        <v>12398</v>
      </c>
      <c r="S17" s="83">
        <f t="shared" ref="S17" si="34">R17-Q17</f>
        <v>1104</v>
      </c>
      <c r="T17" s="101">
        <f t="shared" ref="T17" si="35">S17/Q17</f>
        <v>9.7751018239773335E-2</v>
      </c>
    </row>
    <row r="18" spans="1:20">
      <c r="A18" s="44" t="s">
        <v>45</v>
      </c>
      <c r="B18" s="175">
        <v>5788</v>
      </c>
      <c r="C18" s="56">
        <f>'Undergrad-12Hours'!B17</f>
        <v>5788</v>
      </c>
      <c r="D18" s="83">
        <f t="shared" si="0"/>
        <v>0</v>
      </c>
      <c r="E18" s="85">
        <f t="shared" si="1"/>
        <v>0</v>
      </c>
      <c r="F18" s="47"/>
      <c r="G18" s="180">
        <v>9190</v>
      </c>
      <c r="H18" s="56">
        <f>'Undergrad-12Hours'!P17</f>
        <v>10065</v>
      </c>
      <c r="I18" s="83">
        <f t="shared" si="2"/>
        <v>875</v>
      </c>
      <c r="J18" s="85">
        <f t="shared" si="3"/>
        <v>9.5212187159956468E-2</v>
      </c>
      <c r="K18" s="45"/>
      <c r="L18" s="175">
        <v>5788</v>
      </c>
      <c r="M18" s="56">
        <f>'Undergrad-15Hours'!B17</f>
        <v>5788</v>
      </c>
      <c r="N18" s="83">
        <f t="shared" si="4"/>
        <v>0</v>
      </c>
      <c r="O18" s="85">
        <f t="shared" si="5"/>
        <v>0</v>
      </c>
      <c r="P18" s="47"/>
      <c r="Q18" s="180">
        <v>9579</v>
      </c>
      <c r="R18" s="56">
        <f>'Undergrad-15Hours'!P17</f>
        <v>10485</v>
      </c>
      <c r="S18" s="83">
        <f t="shared" si="6"/>
        <v>906</v>
      </c>
      <c r="T18" s="101">
        <f t="shared" si="7"/>
        <v>9.4581897901659884E-2</v>
      </c>
    </row>
    <row r="19" spans="1:20" ht="15" thickBot="1">
      <c r="A19" s="113" t="s">
        <v>26</v>
      </c>
      <c r="B19" s="176">
        <v>6090.38</v>
      </c>
      <c r="C19" s="114">
        <f>'Undergrad-12Hours'!B18</f>
        <v>6090.38</v>
      </c>
      <c r="D19" s="95">
        <f t="shared" si="0"/>
        <v>0</v>
      </c>
      <c r="E19" s="115">
        <f t="shared" si="1"/>
        <v>0</v>
      </c>
      <c r="F19" s="98"/>
      <c r="G19" s="181">
        <v>9172</v>
      </c>
      <c r="H19" s="114">
        <f>'Undergrad-12Hours'!P18</f>
        <v>9472</v>
      </c>
      <c r="I19" s="95">
        <f t="shared" si="2"/>
        <v>300</v>
      </c>
      <c r="J19" s="115">
        <f t="shared" si="3"/>
        <v>3.270824247710423E-2</v>
      </c>
      <c r="K19" s="116"/>
      <c r="L19" s="176">
        <v>6090.38</v>
      </c>
      <c r="M19" s="114">
        <f>'Undergrad-15Hours'!B18</f>
        <v>6090.38</v>
      </c>
      <c r="N19" s="95">
        <f t="shared" si="4"/>
        <v>0</v>
      </c>
      <c r="O19" s="115">
        <f t="shared" si="5"/>
        <v>0</v>
      </c>
      <c r="P19" s="98"/>
      <c r="Q19" s="181">
        <v>9454</v>
      </c>
      <c r="R19" s="114">
        <f>'Undergrad-15Hours'!P18</f>
        <v>9829</v>
      </c>
      <c r="S19" s="95">
        <f t="shared" si="6"/>
        <v>375</v>
      </c>
      <c r="T19" s="117">
        <f t="shared" si="7"/>
        <v>3.9665749947112333E-2</v>
      </c>
    </row>
    <row r="20" spans="1:20">
      <c r="A20" s="118" t="s">
        <v>21</v>
      </c>
      <c r="B20" s="177"/>
      <c r="C20" s="119"/>
      <c r="D20" s="120"/>
      <c r="E20" s="121"/>
      <c r="F20" s="53"/>
      <c r="G20" s="177"/>
      <c r="H20" s="119"/>
      <c r="I20" s="120"/>
      <c r="J20" s="121"/>
      <c r="K20" s="55"/>
      <c r="L20" s="183"/>
      <c r="M20" s="119"/>
      <c r="N20" s="120"/>
      <c r="O20" s="121"/>
      <c r="P20" s="53"/>
      <c r="Q20" s="177"/>
      <c r="R20" s="119"/>
      <c r="S20" s="120"/>
      <c r="T20" s="122"/>
    </row>
    <row r="21" spans="1:20">
      <c r="A21" s="44" t="s">
        <v>217</v>
      </c>
      <c r="B21" s="175">
        <v>7462.98</v>
      </c>
      <c r="C21" s="56">
        <f>'Undergrad-12Hours'!B20</f>
        <v>7462.98</v>
      </c>
      <c r="D21" s="83">
        <f t="shared" ref="D21:D35" si="36">C21-B21</f>
        <v>0</v>
      </c>
      <c r="E21" s="85">
        <f t="shared" ref="E21:E35" si="37">D21/B21</f>
        <v>0</v>
      </c>
      <c r="F21" s="47"/>
      <c r="G21" s="180">
        <v>11897.999999999998</v>
      </c>
      <c r="H21" s="56">
        <f>'Undergrad-12Hours'!P20</f>
        <v>12183.599999999999</v>
      </c>
      <c r="I21" s="83">
        <f t="shared" ref="I21:I35" si="38">H21-G21</f>
        <v>285.60000000000036</v>
      </c>
      <c r="J21" s="85">
        <f t="shared" ref="J21:J35" si="39">I21/G21</f>
        <v>2.4004034291477593E-2</v>
      </c>
      <c r="K21" s="45"/>
      <c r="L21" s="175">
        <v>7462.98</v>
      </c>
      <c r="M21" s="56">
        <f>'Undergrad-15Hours'!B20</f>
        <v>7462.98</v>
      </c>
      <c r="N21" s="83">
        <f t="shared" ref="N21:N35" si="40">M21-L21</f>
        <v>0</v>
      </c>
      <c r="O21" s="85">
        <f t="shared" ref="O21:O35" si="41">N21/L21</f>
        <v>0</v>
      </c>
      <c r="P21" s="47"/>
      <c r="Q21" s="180">
        <v>11953.999999999998</v>
      </c>
      <c r="R21" s="56">
        <f>'Undergrad-15Hours'!P20</f>
        <v>12310.999999999998</v>
      </c>
      <c r="S21" s="83">
        <f t="shared" ref="S21:S35" si="42">R21-Q21</f>
        <v>357</v>
      </c>
      <c r="T21" s="101">
        <f t="shared" ref="T21:T35" si="43">S21/Q21</f>
        <v>2.9864480508616367E-2</v>
      </c>
    </row>
    <row r="22" spans="1:20">
      <c r="A22" s="44" t="s">
        <v>209</v>
      </c>
      <c r="B22" s="175">
        <v>7462.98</v>
      </c>
      <c r="C22" s="56">
        <f>'Undergrad-12Hours'!B21</f>
        <v>7462.98</v>
      </c>
      <c r="D22" s="83">
        <f t="shared" ref="D22:D23" si="44">C22-B22</f>
        <v>0</v>
      </c>
      <c r="E22" s="85">
        <f t="shared" ref="E22:E23" si="45">D22/B22</f>
        <v>0</v>
      </c>
      <c r="F22" s="47"/>
      <c r="G22" s="180">
        <v>11897.999999999998</v>
      </c>
      <c r="H22" s="56">
        <f>'Undergrad-12Hours'!P21</f>
        <v>12375.599999999999</v>
      </c>
      <c r="I22" s="83">
        <f t="shared" ref="I22:I23" si="46">H22-G22</f>
        <v>477.60000000000036</v>
      </c>
      <c r="J22" s="85">
        <f t="shared" ref="J22:J23" si="47">I22/G22</f>
        <v>4.0141200201714612E-2</v>
      </c>
      <c r="K22" s="45"/>
      <c r="L22" s="175">
        <v>7462.98</v>
      </c>
      <c r="M22" s="56">
        <f>'Undergrad-15Hours'!B21</f>
        <v>7462.98</v>
      </c>
      <c r="N22" s="83">
        <f t="shared" ref="N22:N23" si="48">M22-L22</f>
        <v>0</v>
      </c>
      <c r="O22" s="85">
        <f t="shared" ref="O22:O23" si="49">N22/L22</f>
        <v>0</v>
      </c>
      <c r="P22" s="47"/>
      <c r="Q22" s="180">
        <v>11953.999999999998</v>
      </c>
      <c r="R22" s="56">
        <f>'Undergrad-15Hours'!P21</f>
        <v>12550.999999999998</v>
      </c>
      <c r="S22" s="83">
        <f t="shared" ref="S22:S23" si="50">R22-Q22</f>
        <v>597</v>
      </c>
      <c r="T22" s="101">
        <f t="shared" ref="T22:T23" si="51">S22/Q22</f>
        <v>4.9941442195081155E-2</v>
      </c>
    </row>
    <row r="23" spans="1:20" ht="16.5">
      <c r="A23" s="44" t="s">
        <v>436</v>
      </c>
      <c r="B23" s="175">
        <v>7462.98</v>
      </c>
      <c r="C23" s="56">
        <f>'Undergrad-12Hours'!B22</f>
        <v>7654.98</v>
      </c>
      <c r="D23" s="83">
        <f t="shared" si="44"/>
        <v>192</v>
      </c>
      <c r="E23" s="85">
        <f t="shared" si="45"/>
        <v>2.5726988414815532E-2</v>
      </c>
      <c r="F23" s="47"/>
      <c r="G23" s="180">
        <v>11897.999999999998</v>
      </c>
      <c r="H23" s="56">
        <f>'Undergrad-12Hours'!P22</f>
        <v>12375.6</v>
      </c>
      <c r="I23" s="83">
        <f t="shared" si="46"/>
        <v>477.60000000000218</v>
      </c>
      <c r="J23" s="85">
        <f t="shared" si="47"/>
        <v>4.0141200201714765E-2</v>
      </c>
      <c r="K23" s="45"/>
      <c r="L23" s="175">
        <v>7462.98</v>
      </c>
      <c r="M23" s="56">
        <f>'Undergrad-15Hours'!B22</f>
        <v>7702.98</v>
      </c>
      <c r="N23" s="83">
        <f t="shared" si="48"/>
        <v>240</v>
      </c>
      <c r="O23" s="85">
        <f t="shared" si="49"/>
        <v>3.2158735518519416E-2</v>
      </c>
      <c r="P23" s="47"/>
      <c r="Q23" s="180">
        <v>11953.999999999998</v>
      </c>
      <c r="R23" s="56">
        <f>'Undergrad-15Hours'!P22</f>
        <v>12551</v>
      </c>
      <c r="S23" s="83">
        <f t="shared" si="50"/>
        <v>597.00000000000182</v>
      </c>
      <c r="T23" s="101">
        <f t="shared" si="51"/>
        <v>4.9941442195081301E-2</v>
      </c>
    </row>
    <row r="24" spans="1:20">
      <c r="A24" s="44" t="s">
        <v>24</v>
      </c>
      <c r="B24" s="175">
        <v>5372.4</v>
      </c>
      <c r="C24" s="56">
        <f>'Undergrad-12Hours'!B23</f>
        <v>5372.4</v>
      </c>
      <c r="D24" s="83">
        <f t="shared" si="36"/>
        <v>0</v>
      </c>
      <c r="E24" s="85">
        <f t="shared" si="37"/>
        <v>0</v>
      </c>
      <c r="F24" s="47"/>
      <c r="G24" s="180">
        <v>7328.0399999999991</v>
      </c>
      <c r="H24" s="56">
        <f>'Undergrad-12Hours'!P23</f>
        <v>7423.0399999999991</v>
      </c>
      <c r="I24" s="83">
        <f t="shared" si="38"/>
        <v>95</v>
      </c>
      <c r="J24" s="85">
        <f t="shared" si="39"/>
        <v>1.2963903035463782E-2</v>
      </c>
      <c r="K24" s="45"/>
      <c r="L24" s="175">
        <v>5522.4</v>
      </c>
      <c r="M24" s="56">
        <f>'Undergrad-15Hours'!B23</f>
        <v>5522.4</v>
      </c>
      <c r="N24" s="83">
        <f t="shared" si="40"/>
        <v>0</v>
      </c>
      <c r="O24" s="85">
        <f t="shared" si="41"/>
        <v>0</v>
      </c>
      <c r="P24" s="47"/>
      <c r="Q24" s="180">
        <v>7519.9599999999991</v>
      </c>
      <c r="R24" s="56">
        <f>'Undergrad-15Hours'!P23</f>
        <v>7645.0399999999991</v>
      </c>
      <c r="S24" s="83">
        <f t="shared" si="42"/>
        <v>125.07999999999993</v>
      </c>
      <c r="T24" s="101">
        <f t="shared" si="43"/>
        <v>1.6633067197165934E-2</v>
      </c>
    </row>
    <row r="25" spans="1:20">
      <c r="A25" s="44" t="s">
        <v>23</v>
      </c>
      <c r="B25" s="175">
        <v>4894.08</v>
      </c>
      <c r="C25" s="56">
        <f>'Undergrad-12Hours'!B24</f>
        <v>4894.08</v>
      </c>
      <c r="D25" s="83">
        <f t="shared" si="36"/>
        <v>0</v>
      </c>
      <c r="E25" s="85">
        <f t="shared" si="37"/>
        <v>0</v>
      </c>
      <c r="F25" s="47"/>
      <c r="G25" s="180">
        <v>6900.5</v>
      </c>
      <c r="H25" s="56">
        <f>'Undergrad-12Hours'!P24</f>
        <v>6928.8399999999992</v>
      </c>
      <c r="I25" s="83">
        <f t="shared" si="38"/>
        <v>28.339999999999236</v>
      </c>
      <c r="J25" s="85">
        <f t="shared" si="39"/>
        <v>4.1069487718280173E-3</v>
      </c>
      <c r="K25" s="45"/>
      <c r="L25" s="175">
        <v>4894</v>
      </c>
      <c r="M25" s="56">
        <f>'Undergrad-15Hours'!B24</f>
        <v>4894.08</v>
      </c>
      <c r="N25" s="83">
        <f t="shared" si="40"/>
        <v>7.999999999992724E-2</v>
      </c>
      <c r="O25" s="85">
        <f t="shared" si="41"/>
        <v>1.6346546791975324E-5</v>
      </c>
      <c r="P25" s="47"/>
      <c r="Q25" s="180">
        <v>6938.9</v>
      </c>
      <c r="R25" s="56">
        <f>'Undergrad-15Hours'!P24</f>
        <v>6974.2</v>
      </c>
      <c r="S25" s="83">
        <f t="shared" si="42"/>
        <v>35.300000000000182</v>
      </c>
      <c r="T25" s="101">
        <f t="shared" si="43"/>
        <v>5.087261669717129E-3</v>
      </c>
    </row>
    <row r="26" spans="1:20" ht="16.5">
      <c r="A26" s="44" t="s">
        <v>437</v>
      </c>
      <c r="B26" s="175">
        <v>4894.08</v>
      </c>
      <c r="C26" s="56">
        <f>'Undergrad-12Hours'!B25</f>
        <v>5138.88</v>
      </c>
      <c r="D26" s="83">
        <f t="shared" ref="D26:D28" si="52">C26-B26</f>
        <v>244.80000000000018</v>
      </c>
      <c r="E26" s="85">
        <f t="shared" ref="E26:E28" si="53">D26/B26</f>
        <v>5.0019615535504158E-2</v>
      </c>
      <c r="F26" s="47"/>
      <c r="G26" s="180">
        <v>6900.5</v>
      </c>
      <c r="H26" s="56">
        <f>'Undergrad-12Hours'!P25</f>
        <v>7222.6</v>
      </c>
      <c r="I26" s="83">
        <f t="shared" ref="I26:I28" si="54">H26-G26</f>
        <v>322.10000000000036</v>
      </c>
      <c r="J26" s="85">
        <f t="shared" ref="J26:J28" si="55">I26/G26</f>
        <v>4.6677776972683195E-2</v>
      </c>
      <c r="K26" s="45"/>
      <c r="L26" s="175">
        <v>4894</v>
      </c>
      <c r="M26" s="56">
        <f>'Undergrad-15Hours'!B25</f>
        <v>5138.88</v>
      </c>
      <c r="N26" s="83">
        <f t="shared" ref="N26:N28" si="56">M26-L26</f>
        <v>244.88000000000011</v>
      </c>
      <c r="O26" s="85">
        <f t="shared" ref="O26:O28" si="57">N26/L26</f>
        <v>5.0036779730281998E-2</v>
      </c>
      <c r="P26" s="47"/>
      <c r="Q26" s="180">
        <v>6938.9</v>
      </c>
      <c r="R26" s="56">
        <f>'Undergrad-15Hours'!P25</f>
        <v>7267.9600000000009</v>
      </c>
      <c r="S26" s="83">
        <f t="shared" ref="S26:S28" si="58">R26-Q26</f>
        <v>329.06000000000131</v>
      </c>
      <c r="T26" s="101">
        <f t="shared" ref="T26:T28" si="59">S26/Q26</f>
        <v>4.7422502125697347E-2</v>
      </c>
    </row>
    <row r="27" spans="1:20">
      <c r="A27" s="44" t="s">
        <v>25</v>
      </c>
      <c r="B27" s="175">
        <v>2710.64</v>
      </c>
      <c r="C27" s="56">
        <f>'Undergrad-12Hours'!B26</f>
        <v>2710.64</v>
      </c>
      <c r="D27" s="83">
        <f t="shared" si="52"/>
        <v>0</v>
      </c>
      <c r="E27" s="85">
        <f t="shared" si="53"/>
        <v>0</v>
      </c>
      <c r="F27" s="47"/>
      <c r="G27" s="180">
        <v>4802.4799999999996</v>
      </c>
      <c r="H27" s="56">
        <f>'Undergrad-12Hours'!P26</f>
        <v>4802.4799999999996</v>
      </c>
      <c r="I27" s="83">
        <f t="shared" si="54"/>
        <v>0</v>
      </c>
      <c r="J27" s="85">
        <f t="shared" si="55"/>
        <v>0</v>
      </c>
      <c r="K27" s="45"/>
      <c r="L27" s="175">
        <v>2710.64</v>
      </c>
      <c r="M27" s="56">
        <f>'Undergrad-15Hours'!B26</f>
        <v>2710.64</v>
      </c>
      <c r="N27" s="83">
        <f t="shared" si="56"/>
        <v>0</v>
      </c>
      <c r="O27" s="85">
        <f t="shared" si="57"/>
        <v>0</v>
      </c>
      <c r="P27" s="47"/>
      <c r="Q27" s="180">
        <v>4867.6399999999994</v>
      </c>
      <c r="R27" s="56">
        <f>'Undergrad-15Hours'!P26</f>
        <v>4867.6399999999994</v>
      </c>
      <c r="S27" s="83">
        <f t="shared" si="58"/>
        <v>0</v>
      </c>
      <c r="T27" s="101">
        <f t="shared" si="59"/>
        <v>0</v>
      </c>
    </row>
    <row r="28" spans="1:20" ht="16.5">
      <c r="A28" s="44" t="s">
        <v>438</v>
      </c>
      <c r="B28" s="175">
        <v>2710.64</v>
      </c>
      <c r="C28" s="56">
        <f>'Undergrad-12Hours'!B27</f>
        <v>2853.64</v>
      </c>
      <c r="D28" s="83">
        <f t="shared" si="52"/>
        <v>143</v>
      </c>
      <c r="E28" s="85">
        <f t="shared" si="53"/>
        <v>5.2755068913614499E-2</v>
      </c>
      <c r="F28" s="47"/>
      <c r="G28" s="180">
        <v>4802.4799999999996</v>
      </c>
      <c r="H28" s="56">
        <f>'Undergrad-12Hours'!P27</f>
        <v>4945.4799999999996</v>
      </c>
      <c r="I28" s="83">
        <f t="shared" si="54"/>
        <v>143</v>
      </c>
      <c r="J28" s="85">
        <f t="shared" si="55"/>
        <v>2.9776282254168684E-2</v>
      </c>
      <c r="K28" s="45"/>
      <c r="L28" s="175">
        <v>2710.64</v>
      </c>
      <c r="M28" s="56">
        <f>'Undergrad-15Hours'!B27</f>
        <v>2854.04</v>
      </c>
      <c r="N28" s="83">
        <f t="shared" si="56"/>
        <v>143.40000000000009</v>
      </c>
      <c r="O28" s="85">
        <f t="shared" si="57"/>
        <v>5.290263553994632E-2</v>
      </c>
      <c r="P28" s="47"/>
      <c r="Q28" s="180">
        <v>4867.6399999999994</v>
      </c>
      <c r="R28" s="56">
        <f>'Undergrad-15Hours'!P27</f>
        <v>5011.04</v>
      </c>
      <c r="S28" s="83">
        <f t="shared" si="58"/>
        <v>143.40000000000055</v>
      </c>
      <c r="T28" s="101">
        <f t="shared" si="59"/>
        <v>2.9459861452367175E-2</v>
      </c>
    </row>
    <row r="29" spans="1:20">
      <c r="A29" s="44" t="s">
        <v>27</v>
      </c>
      <c r="B29" s="175">
        <v>7673.2</v>
      </c>
      <c r="C29" s="56">
        <f>'Undergrad-12Hours'!B28</f>
        <v>7673.2</v>
      </c>
      <c r="D29" s="83">
        <f t="shared" si="36"/>
        <v>0</v>
      </c>
      <c r="E29" s="85">
        <f t="shared" si="37"/>
        <v>0</v>
      </c>
      <c r="F29" s="47"/>
      <c r="G29" s="180">
        <v>9032.5499999999993</v>
      </c>
      <c r="H29" s="56">
        <f>'Undergrad-12Hours'!P28</f>
        <v>9032.5499999999993</v>
      </c>
      <c r="I29" s="83">
        <f t="shared" si="38"/>
        <v>0</v>
      </c>
      <c r="J29" s="85">
        <f t="shared" si="39"/>
        <v>0</v>
      </c>
      <c r="K29" s="45"/>
      <c r="L29" s="175">
        <v>7673.2</v>
      </c>
      <c r="M29" s="56">
        <f>'Undergrad-15Hours'!B28</f>
        <v>7673.2</v>
      </c>
      <c r="N29" s="83">
        <f t="shared" si="40"/>
        <v>0</v>
      </c>
      <c r="O29" s="85">
        <f t="shared" si="41"/>
        <v>0</v>
      </c>
      <c r="P29" s="47"/>
      <c r="Q29" s="180">
        <v>9032.5499999999993</v>
      </c>
      <c r="R29" s="56">
        <f>'Undergrad-15Hours'!P28</f>
        <v>9032.5499999999993</v>
      </c>
      <c r="S29" s="83">
        <f t="shared" si="42"/>
        <v>0</v>
      </c>
      <c r="T29" s="101">
        <f t="shared" si="43"/>
        <v>0</v>
      </c>
    </row>
    <row r="30" spans="1:20">
      <c r="A30" s="44" t="s">
        <v>28</v>
      </c>
      <c r="B30" s="175">
        <v>5611.5</v>
      </c>
      <c r="C30" s="56">
        <f>'Undergrad-12Hours'!B29</f>
        <v>5611.5</v>
      </c>
      <c r="D30" s="83">
        <f t="shared" si="36"/>
        <v>0</v>
      </c>
      <c r="E30" s="85">
        <f t="shared" si="37"/>
        <v>0</v>
      </c>
      <c r="F30" s="47"/>
      <c r="G30" s="180">
        <v>8999.2999999999993</v>
      </c>
      <c r="H30" s="56">
        <f>'Undergrad-12Hours'!P29</f>
        <v>8999.2999999999993</v>
      </c>
      <c r="I30" s="83">
        <f t="shared" si="38"/>
        <v>0</v>
      </c>
      <c r="J30" s="85">
        <f t="shared" si="39"/>
        <v>0</v>
      </c>
      <c r="K30" s="45"/>
      <c r="L30" s="175">
        <v>5611.5</v>
      </c>
      <c r="M30" s="56">
        <f>'Undergrad-15Hours'!B29</f>
        <v>5611.5</v>
      </c>
      <c r="N30" s="83">
        <f t="shared" si="40"/>
        <v>0</v>
      </c>
      <c r="O30" s="85">
        <f t="shared" si="41"/>
        <v>0</v>
      </c>
      <c r="P30" s="47"/>
      <c r="Q30" s="180">
        <v>8999.7999999999993</v>
      </c>
      <c r="R30" s="56">
        <f>'Undergrad-15Hours'!P29</f>
        <v>9029.2999999999993</v>
      </c>
      <c r="S30" s="83">
        <f t="shared" si="42"/>
        <v>29.5</v>
      </c>
      <c r="T30" s="101">
        <f t="shared" si="43"/>
        <v>3.2778506189026424E-3</v>
      </c>
    </row>
    <row r="31" spans="1:20">
      <c r="A31" s="169" t="s">
        <v>429</v>
      </c>
      <c r="B31" s="255" t="s">
        <v>114</v>
      </c>
      <c r="C31" s="168">
        <f>'Undergrad-12Hours'!B30</f>
        <v>5902.3</v>
      </c>
      <c r="D31" s="230" t="s">
        <v>114</v>
      </c>
      <c r="E31" s="229" t="s">
        <v>114</v>
      </c>
      <c r="F31" s="143"/>
      <c r="G31" s="256" t="s">
        <v>114</v>
      </c>
      <c r="H31" s="168">
        <f>'Undergrad-12Hours'!P30</f>
        <v>10095.449999999999</v>
      </c>
      <c r="I31" s="230" t="s">
        <v>114</v>
      </c>
      <c r="J31" s="229" t="s">
        <v>114</v>
      </c>
      <c r="K31" s="257"/>
      <c r="L31" s="255" t="s">
        <v>114</v>
      </c>
      <c r="M31" s="168">
        <f>'Undergrad-15Hours'!B30</f>
        <v>5902.3</v>
      </c>
      <c r="N31" s="230" t="s">
        <v>114</v>
      </c>
      <c r="O31" s="229" t="s">
        <v>114</v>
      </c>
      <c r="P31" s="143"/>
      <c r="Q31" s="256" t="s">
        <v>114</v>
      </c>
      <c r="R31" s="168">
        <f>'Undergrad-15Hours'!P30</f>
        <v>10125.449999999999</v>
      </c>
      <c r="S31" s="230" t="s">
        <v>114</v>
      </c>
      <c r="T31" s="231" t="s">
        <v>114</v>
      </c>
    </row>
    <row r="32" spans="1:20">
      <c r="A32" s="44" t="s">
        <v>29</v>
      </c>
      <c r="B32" s="175">
        <v>5517</v>
      </c>
      <c r="C32" s="56">
        <f>'Undergrad-12Hours'!B31</f>
        <v>5517</v>
      </c>
      <c r="D32" s="83">
        <f t="shared" si="36"/>
        <v>0</v>
      </c>
      <c r="E32" s="85">
        <f t="shared" si="37"/>
        <v>0</v>
      </c>
      <c r="F32" s="47"/>
      <c r="G32" s="180">
        <v>10345</v>
      </c>
      <c r="H32" s="56">
        <f>'Undergrad-12Hours'!P31</f>
        <v>10345</v>
      </c>
      <c r="I32" s="83">
        <f t="shared" si="38"/>
        <v>0</v>
      </c>
      <c r="J32" s="85">
        <f t="shared" si="39"/>
        <v>0</v>
      </c>
      <c r="K32" s="45"/>
      <c r="L32" s="175">
        <v>5517</v>
      </c>
      <c r="M32" s="56">
        <f>'Undergrad-15Hours'!B31</f>
        <v>5517</v>
      </c>
      <c r="N32" s="83">
        <f t="shared" si="40"/>
        <v>0</v>
      </c>
      <c r="O32" s="85">
        <f t="shared" si="41"/>
        <v>0</v>
      </c>
      <c r="P32" s="47"/>
      <c r="Q32" s="180">
        <v>10345</v>
      </c>
      <c r="R32" s="56">
        <f>'Undergrad-15Hours'!P31</f>
        <v>10345</v>
      </c>
      <c r="S32" s="83">
        <f t="shared" si="42"/>
        <v>0</v>
      </c>
      <c r="T32" s="101">
        <f t="shared" si="43"/>
        <v>0</v>
      </c>
    </row>
    <row r="33" spans="1:25">
      <c r="A33" s="44" t="s">
        <v>30</v>
      </c>
      <c r="B33" s="175">
        <v>4987.2000000000007</v>
      </c>
      <c r="C33" s="56">
        <f>'Undergrad-12Hours'!B32</f>
        <v>4987.26</v>
      </c>
      <c r="D33" s="83">
        <f t="shared" si="36"/>
        <v>5.9999999999490683E-2</v>
      </c>
      <c r="E33" s="85">
        <f t="shared" si="37"/>
        <v>1.2030798844941184E-5</v>
      </c>
      <c r="F33" s="47"/>
      <c r="G33" s="180">
        <v>6309.2000000000007</v>
      </c>
      <c r="H33" s="56">
        <f>'Undergrad-12Hours'!P32</f>
        <v>6309.49</v>
      </c>
      <c r="I33" s="83">
        <f t="shared" si="38"/>
        <v>0.28999999999905413</v>
      </c>
      <c r="J33" s="85">
        <f t="shared" si="39"/>
        <v>4.5964623089940737E-5</v>
      </c>
      <c r="K33" s="45">
        <v>718</v>
      </c>
      <c r="L33" s="175">
        <v>4987.2000000000007</v>
      </c>
      <c r="M33" s="56">
        <f>'Undergrad-15Hours'!B32</f>
        <v>4987.26</v>
      </c>
      <c r="N33" s="83">
        <f t="shared" si="40"/>
        <v>5.9999999999490683E-2</v>
      </c>
      <c r="O33" s="85">
        <f t="shared" si="41"/>
        <v>1.2030798844941184E-5</v>
      </c>
      <c r="P33" s="47"/>
      <c r="Q33" s="180">
        <v>6309.2000000000007</v>
      </c>
      <c r="R33" s="56">
        <f>'Undergrad-15Hours'!P32</f>
        <v>6309.49</v>
      </c>
      <c r="S33" s="83">
        <f t="shared" si="42"/>
        <v>0.28999999999905413</v>
      </c>
      <c r="T33" s="101">
        <f t="shared" si="43"/>
        <v>4.5964623089940737E-5</v>
      </c>
    </row>
    <row r="34" spans="1:25" ht="16.5">
      <c r="A34" s="169" t="s">
        <v>134</v>
      </c>
      <c r="B34" s="175">
        <v>9120</v>
      </c>
      <c r="C34" s="168">
        <f>'Undergrad-12Hours'!B33</f>
        <v>9120</v>
      </c>
      <c r="D34" s="83">
        <f t="shared" ref="D34" si="60">C34-B34</f>
        <v>0</v>
      </c>
      <c r="E34" s="85">
        <f t="shared" ref="E34" si="61">D34/B34</f>
        <v>0</v>
      </c>
      <c r="F34" s="47"/>
      <c r="G34" s="180">
        <v>9120</v>
      </c>
      <c r="H34" s="168">
        <f>'Undergrad-12Hours'!P33</f>
        <v>9120</v>
      </c>
      <c r="I34" s="83">
        <f t="shared" ref="I34" si="62">H34-G34</f>
        <v>0</v>
      </c>
      <c r="J34" s="85">
        <f t="shared" ref="J34" si="63">I34/G34</f>
        <v>0</v>
      </c>
      <c r="K34" s="45"/>
      <c r="L34" s="175">
        <v>11400</v>
      </c>
      <c r="M34" s="168">
        <f>'Undergrad-15Hours'!B33</f>
        <v>11400</v>
      </c>
      <c r="N34" s="83">
        <f t="shared" ref="N34" si="64">M34-L34</f>
        <v>0</v>
      </c>
      <c r="O34" s="85">
        <f t="shared" ref="O34" si="65">N34/L34</f>
        <v>0</v>
      </c>
      <c r="P34" s="47"/>
      <c r="Q34" s="180">
        <v>11400</v>
      </c>
      <c r="R34" s="168">
        <f>'Undergrad-15Hours'!P33</f>
        <v>11400</v>
      </c>
      <c r="S34" s="83">
        <f t="shared" ref="S34" si="66">R34-Q34</f>
        <v>0</v>
      </c>
      <c r="T34" s="101">
        <f t="shared" ref="T34" si="67">S34/Q34</f>
        <v>0</v>
      </c>
      <c r="Y34" s="166"/>
    </row>
    <row r="35" spans="1:25" ht="15" thickBot="1">
      <c r="A35" s="113" t="s">
        <v>31</v>
      </c>
      <c r="B35" s="176">
        <v>7182.5</v>
      </c>
      <c r="C35" s="114">
        <f>'Undergrad-12Hours'!B34</f>
        <v>7541.68</v>
      </c>
      <c r="D35" s="95">
        <f t="shared" si="36"/>
        <v>359.18000000000029</v>
      </c>
      <c r="E35" s="96">
        <f t="shared" si="37"/>
        <v>5.000765750087021E-2</v>
      </c>
      <c r="F35" s="98"/>
      <c r="G35" s="181">
        <v>8386.4399999999987</v>
      </c>
      <c r="H35" s="114">
        <f>'Undergrad-12Hours'!P34</f>
        <v>8563.27</v>
      </c>
      <c r="I35" s="95">
        <f t="shared" si="38"/>
        <v>176.83000000000175</v>
      </c>
      <c r="J35" s="96">
        <f t="shared" si="39"/>
        <v>2.1085228058628187E-2</v>
      </c>
      <c r="K35" s="116"/>
      <c r="L35" s="176">
        <v>7182.5</v>
      </c>
      <c r="M35" s="114">
        <f>'Undergrad-15Hours'!B34</f>
        <v>7541.68</v>
      </c>
      <c r="N35" s="95">
        <f t="shared" si="40"/>
        <v>359.18000000000029</v>
      </c>
      <c r="O35" s="96">
        <f t="shared" si="41"/>
        <v>5.000765750087021E-2</v>
      </c>
      <c r="P35" s="98"/>
      <c r="Q35" s="181">
        <v>8386.4399999999987</v>
      </c>
      <c r="R35" s="114">
        <f>'Undergrad-15Hours'!P34</f>
        <v>8563.27</v>
      </c>
      <c r="S35" s="95">
        <f t="shared" si="42"/>
        <v>176.83000000000175</v>
      </c>
      <c r="T35" s="102">
        <f t="shared" si="43"/>
        <v>2.1085228058628187E-2</v>
      </c>
    </row>
    <row r="36" spans="1:25">
      <c r="A36" s="118" t="s">
        <v>32</v>
      </c>
      <c r="B36" s="177"/>
      <c r="C36" s="119"/>
      <c r="D36" s="120"/>
      <c r="E36" s="121"/>
      <c r="F36" s="53"/>
      <c r="G36" s="177"/>
      <c r="H36" s="119"/>
      <c r="I36" s="120"/>
      <c r="J36" s="121"/>
      <c r="K36" s="55"/>
      <c r="L36" s="183"/>
      <c r="M36" s="119"/>
      <c r="N36" s="120"/>
      <c r="O36" s="121"/>
      <c r="P36" s="53"/>
      <c r="Q36" s="177"/>
      <c r="R36" s="119"/>
      <c r="S36" s="120"/>
      <c r="T36" s="112"/>
    </row>
    <row r="37" spans="1:25" ht="16.5">
      <c r="A37" s="44" t="s">
        <v>154</v>
      </c>
      <c r="B37" s="175">
        <v>4973</v>
      </c>
      <c r="C37" s="56">
        <f>'Undergrad-12Hours'!B36</f>
        <v>4973</v>
      </c>
      <c r="D37" s="83">
        <f t="shared" ref="D37:D39" si="68">C37-B37</f>
        <v>0</v>
      </c>
      <c r="E37" s="85">
        <f t="shared" ref="E37:E39" si="69">D37/B37</f>
        <v>0</v>
      </c>
      <c r="F37" s="47"/>
      <c r="G37" s="180">
        <v>9923</v>
      </c>
      <c r="H37" s="56">
        <f>'Undergrad-12Hours'!P36</f>
        <v>9959</v>
      </c>
      <c r="I37" s="83">
        <f t="shared" ref="I37:I39" si="70">H37-G37</f>
        <v>36</v>
      </c>
      <c r="J37" s="85">
        <f t="shared" ref="J37:J39" si="71">I37/G37</f>
        <v>3.627935100272095E-3</v>
      </c>
      <c r="K37" s="45"/>
      <c r="L37" s="175">
        <v>4973</v>
      </c>
      <c r="M37" s="56">
        <f>'Undergrad-15Hours'!B36</f>
        <v>4973</v>
      </c>
      <c r="N37" s="83">
        <f t="shared" ref="N37:N39" si="72">M37-L37</f>
        <v>0</v>
      </c>
      <c r="O37" s="85">
        <f t="shared" ref="O37:O39" si="73">N37/L37</f>
        <v>0</v>
      </c>
      <c r="P37" s="47"/>
      <c r="Q37" s="180">
        <v>9923</v>
      </c>
      <c r="R37" s="56">
        <f>'Undergrad-15Hours'!P36</f>
        <v>9959</v>
      </c>
      <c r="S37" s="83">
        <f t="shared" ref="S37:S39" si="74">R37-Q37</f>
        <v>36</v>
      </c>
      <c r="T37" s="101">
        <f t="shared" ref="T37:T39" si="75">S37/Q37</f>
        <v>3.627935100272095E-3</v>
      </c>
    </row>
    <row r="38" spans="1:25" ht="16.5">
      <c r="A38" s="44" t="s">
        <v>159</v>
      </c>
      <c r="B38" s="175">
        <v>4482</v>
      </c>
      <c r="C38" s="56">
        <f>'Undergrad-12Hours'!B37</f>
        <v>4484</v>
      </c>
      <c r="D38" s="83">
        <f t="shared" si="68"/>
        <v>2</v>
      </c>
      <c r="E38" s="85">
        <f t="shared" si="69"/>
        <v>4.4622936189201248E-4</v>
      </c>
      <c r="F38" s="47"/>
      <c r="G38" s="180">
        <v>8466</v>
      </c>
      <c r="H38" s="56">
        <f>'Undergrad-12Hours'!P37</f>
        <v>9097</v>
      </c>
      <c r="I38" s="83">
        <f t="shared" si="70"/>
        <v>631</v>
      </c>
      <c r="J38" s="85">
        <f t="shared" si="71"/>
        <v>7.4533427828962912E-2</v>
      </c>
      <c r="K38" s="45"/>
      <c r="L38" s="175">
        <v>4482</v>
      </c>
      <c r="M38" s="56">
        <f>'Undergrad-15Hours'!B37</f>
        <v>4484</v>
      </c>
      <c r="N38" s="83">
        <f t="shared" si="72"/>
        <v>2</v>
      </c>
      <c r="O38" s="85">
        <f t="shared" si="73"/>
        <v>4.4622936189201248E-4</v>
      </c>
      <c r="P38" s="47"/>
      <c r="Q38" s="180">
        <v>8466</v>
      </c>
      <c r="R38" s="56">
        <f>'Undergrad-15Hours'!P37</f>
        <v>9129</v>
      </c>
      <c r="S38" s="83">
        <f t="shared" si="74"/>
        <v>663</v>
      </c>
      <c r="T38" s="101">
        <f t="shared" si="75"/>
        <v>7.8313253012048195E-2</v>
      </c>
    </row>
    <row r="39" spans="1:25" ht="15" thickBot="1">
      <c r="A39" s="113" t="s">
        <v>33</v>
      </c>
      <c r="B39" s="176">
        <v>2618</v>
      </c>
      <c r="C39" s="114">
        <f>'Undergrad-12Hours'!B38</f>
        <v>2618</v>
      </c>
      <c r="D39" s="95">
        <f t="shared" si="68"/>
        <v>0</v>
      </c>
      <c r="E39" s="96">
        <f t="shared" si="69"/>
        <v>0</v>
      </c>
      <c r="F39" s="98"/>
      <c r="G39" s="181">
        <v>4349.5</v>
      </c>
      <c r="H39" s="114">
        <f>'Undergrad-12Hours'!P38</f>
        <v>4349.5</v>
      </c>
      <c r="I39" s="95">
        <f t="shared" si="70"/>
        <v>0</v>
      </c>
      <c r="J39" s="96">
        <f t="shared" si="71"/>
        <v>0</v>
      </c>
      <c r="K39" s="116"/>
      <c r="L39" s="176">
        <v>2618</v>
      </c>
      <c r="M39" s="114">
        <f>'Undergrad-15Hours'!B38</f>
        <v>2618</v>
      </c>
      <c r="N39" s="95">
        <f t="shared" si="72"/>
        <v>0</v>
      </c>
      <c r="O39" s="96">
        <f t="shared" si="73"/>
        <v>0</v>
      </c>
      <c r="P39" s="98"/>
      <c r="Q39" s="181">
        <v>4379.5</v>
      </c>
      <c r="R39" s="114">
        <f>'Undergrad-15Hours'!P38</f>
        <v>4379.5</v>
      </c>
      <c r="S39" s="95">
        <f t="shared" si="74"/>
        <v>0</v>
      </c>
      <c r="T39" s="102">
        <f t="shared" si="75"/>
        <v>0</v>
      </c>
    </row>
    <row r="40" spans="1:25">
      <c r="A40" s="118" t="s">
        <v>34</v>
      </c>
      <c r="B40" s="177"/>
      <c r="C40" s="119"/>
      <c r="D40" s="120"/>
      <c r="E40" s="121"/>
      <c r="F40" s="53"/>
      <c r="G40" s="177"/>
      <c r="H40" s="119"/>
      <c r="I40" s="120"/>
      <c r="J40" s="121"/>
      <c r="K40" s="55"/>
      <c r="L40" s="183"/>
      <c r="M40" s="119"/>
      <c r="N40" s="120"/>
      <c r="O40" s="121"/>
      <c r="P40" s="53"/>
      <c r="Q40" s="177"/>
      <c r="R40" s="119"/>
      <c r="S40" s="120"/>
      <c r="T40" s="112"/>
    </row>
    <row r="41" spans="1:25">
      <c r="A41" s="44" t="s">
        <v>35</v>
      </c>
      <c r="B41" s="175">
        <v>3086.08</v>
      </c>
      <c r="C41" s="56">
        <f>'Undergrad-12Hours'!B40</f>
        <v>3086.08</v>
      </c>
      <c r="D41" s="83">
        <f t="shared" ref="D41:D52" si="76">C41-B41</f>
        <v>0</v>
      </c>
      <c r="E41" s="85">
        <f t="shared" ref="E41:E52" si="77">D41/B41</f>
        <v>0</v>
      </c>
      <c r="F41" s="47"/>
      <c r="G41" s="180">
        <v>4321.3600000000006</v>
      </c>
      <c r="H41" s="56">
        <f>'Undergrad-12Hours'!P40</f>
        <v>4419.04</v>
      </c>
      <c r="I41" s="83">
        <f t="shared" ref="I41:I52" si="78">H41-G41</f>
        <v>97.679999999999382</v>
      </c>
      <c r="J41" s="85">
        <f t="shared" ref="J41:J52" si="79">I41/G41</f>
        <v>2.2603995038598813E-2</v>
      </c>
      <c r="K41" s="45"/>
      <c r="L41" s="175">
        <v>3086.08</v>
      </c>
      <c r="M41" s="56">
        <f>'Undergrad-15Hours'!B40</f>
        <v>3857.5</v>
      </c>
      <c r="N41" s="83">
        <f t="shared" ref="N41:N52" si="80">M41-L41</f>
        <v>771.42000000000007</v>
      </c>
      <c r="O41" s="85">
        <f t="shared" ref="O41:O52" si="81">N41/L41</f>
        <v>0.24996759643301539</v>
      </c>
      <c r="P41" s="47"/>
      <c r="Q41" s="180">
        <v>4321.3600000000006</v>
      </c>
      <c r="R41" s="56">
        <f>'Undergrad-15Hours'!P40</f>
        <v>5438.8</v>
      </c>
      <c r="S41" s="83">
        <f t="shared" ref="S41:S52" si="82">R41-Q41</f>
        <v>1117.4399999999996</v>
      </c>
      <c r="T41" s="101">
        <f t="shared" ref="T41:T52" si="83">S41/Q41</f>
        <v>0.25858526019586414</v>
      </c>
    </row>
    <row r="42" spans="1:25">
      <c r="A42" s="44" t="s">
        <v>36</v>
      </c>
      <c r="B42" s="175">
        <v>3214.15</v>
      </c>
      <c r="C42" s="56">
        <f>'Undergrad-12Hours'!B41</f>
        <v>3214.15</v>
      </c>
      <c r="D42" s="83">
        <f t="shared" si="76"/>
        <v>0</v>
      </c>
      <c r="E42" s="85">
        <f t="shared" si="77"/>
        <v>0</v>
      </c>
      <c r="F42" s="47"/>
      <c r="G42" s="180">
        <v>4433.04</v>
      </c>
      <c r="H42" s="56">
        <f>'Undergrad-12Hours'!P41</f>
        <v>4483.1100000000006</v>
      </c>
      <c r="I42" s="83">
        <f t="shared" si="78"/>
        <v>50.070000000000618</v>
      </c>
      <c r="J42" s="85">
        <f t="shared" si="79"/>
        <v>1.1294732283038416E-2</v>
      </c>
      <c r="K42" s="45"/>
      <c r="L42" s="175">
        <v>3214.15</v>
      </c>
      <c r="M42" s="56">
        <f>'Undergrad-15Hours'!B41</f>
        <v>4017.6000000000004</v>
      </c>
      <c r="N42" s="83">
        <f t="shared" si="80"/>
        <v>803.45000000000027</v>
      </c>
      <c r="O42" s="85">
        <f t="shared" si="81"/>
        <v>0.2499727766283466</v>
      </c>
      <c r="P42" s="47"/>
      <c r="Q42" s="180">
        <v>4433.04</v>
      </c>
      <c r="R42" s="56">
        <f>'Undergrad-15Hours'!P41</f>
        <v>5388.8</v>
      </c>
      <c r="S42" s="83">
        <f t="shared" si="82"/>
        <v>955.76000000000022</v>
      </c>
      <c r="T42" s="101">
        <f t="shared" si="83"/>
        <v>0.21559922761806802</v>
      </c>
    </row>
    <row r="43" spans="1:25">
      <c r="A43" s="44" t="s">
        <v>37</v>
      </c>
      <c r="B43" s="175">
        <v>3214.15</v>
      </c>
      <c r="C43" s="56">
        <f>'Undergrad-12Hours'!B42</f>
        <v>3214.15</v>
      </c>
      <c r="D43" s="83">
        <f t="shared" si="76"/>
        <v>0</v>
      </c>
      <c r="E43" s="85">
        <f t="shared" si="77"/>
        <v>0</v>
      </c>
      <c r="F43" s="47"/>
      <c r="G43" s="180">
        <v>4279.04</v>
      </c>
      <c r="H43" s="56">
        <f>'Undergrad-12Hours'!P42</f>
        <v>4423.04</v>
      </c>
      <c r="I43" s="83">
        <f t="shared" si="78"/>
        <v>144</v>
      </c>
      <c r="J43" s="85">
        <f t="shared" si="79"/>
        <v>3.3652408016751421E-2</v>
      </c>
      <c r="K43" s="45"/>
      <c r="L43" s="175">
        <v>3214.15</v>
      </c>
      <c r="M43" s="56">
        <f>'Undergrad-15Hours'!B42</f>
        <v>4017.9</v>
      </c>
      <c r="N43" s="83">
        <f t="shared" si="80"/>
        <v>803.75</v>
      </c>
      <c r="O43" s="85">
        <f t="shared" si="81"/>
        <v>0.25006611390258698</v>
      </c>
      <c r="P43" s="47"/>
      <c r="Q43" s="180">
        <v>4278.87</v>
      </c>
      <c r="R43" s="56">
        <f>'Undergrad-15Hours'!P42</f>
        <v>5328.8</v>
      </c>
      <c r="S43" s="83">
        <f t="shared" si="82"/>
        <v>1049.9300000000003</v>
      </c>
      <c r="T43" s="101">
        <f t="shared" si="83"/>
        <v>0.24537553139029705</v>
      </c>
    </row>
    <row r="44" spans="1:25">
      <c r="A44" s="44" t="s">
        <v>38</v>
      </c>
      <c r="B44" s="175">
        <v>3214.15</v>
      </c>
      <c r="C44" s="56">
        <f>'Undergrad-12Hours'!B43</f>
        <v>3214.15</v>
      </c>
      <c r="D44" s="83">
        <f t="shared" si="76"/>
        <v>0</v>
      </c>
      <c r="E44" s="85">
        <f t="shared" si="77"/>
        <v>0</v>
      </c>
      <c r="F44" s="47"/>
      <c r="G44" s="180">
        <v>4219.04</v>
      </c>
      <c r="H44" s="56">
        <f>'Undergrad-12Hours'!P43</f>
        <v>4219.04</v>
      </c>
      <c r="I44" s="83">
        <f t="shared" si="78"/>
        <v>0</v>
      </c>
      <c r="J44" s="85">
        <f t="shared" si="79"/>
        <v>0</v>
      </c>
      <c r="K44" s="45"/>
      <c r="L44" s="175">
        <v>3214.15</v>
      </c>
      <c r="M44" s="56">
        <f>'Undergrad-15Hours'!B43</f>
        <v>4017.6</v>
      </c>
      <c r="N44" s="83">
        <f t="shared" si="80"/>
        <v>803.44999999999982</v>
      </c>
      <c r="O44" s="85">
        <f t="shared" si="81"/>
        <v>0.24997277662834647</v>
      </c>
      <c r="P44" s="47"/>
      <c r="Q44" s="180">
        <v>4219.04</v>
      </c>
      <c r="R44" s="56">
        <f>'Undergrad-15Hours'!P43</f>
        <v>5124.8</v>
      </c>
      <c r="S44" s="83">
        <f t="shared" si="82"/>
        <v>905.76000000000022</v>
      </c>
      <c r="T44" s="101">
        <f t="shared" si="83"/>
        <v>0.2146839091357276</v>
      </c>
    </row>
    <row r="45" spans="1:25">
      <c r="A45" s="44" t="s">
        <v>39</v>
      </c>
      <c r="B45" s="175">
        <v>3214.15</v>
      </c>
      <c r="C45" s="56">
        <f>'Undergrad-12Hours'!B44</f>
        <v>3214.15</v>
      </c>
      <c r="D45" s="83">
        <f t="shared" si="76"/>
        <v>0</v>
      </c>
      <c r="E45" s="85">
        <f t="shared" si="77"/>
        <v>0</v>
      </c>
      <c r="F45" s="47"/>
      <c r="G45" s="180">
        <v>4199.04</v>
      </c>
      <c r="H45" s="56">
        <f>'Undergrad-12Hours'!P44</f>
        <v>4199.1100000000006</v>
      </c>
      <c r="I45" s="83">
        <f t="shared" si="78"/>
        <v>7.0000000000618456E-2</v>
      </c>
      <c r="J45" s="85">
        <f t="shared" si="79"/>
        <v>1.6670477061570848E-5</v>
      </c>
      <c r="K45" s="45"/>
      <c r="L45" s="175">
        <v>3214.15</v>
      </c>
      <c r="M45" s="56">
        <f>'Undergrad-15Hours'!B44</f>
        <v>4017.6</v>
      </c>
      <c r="N45" s="83">
        <f t="shared" si="80"/>
        <v>803.44999999999982</v>
      </c>
      <c r="O45" s="85">
        <f t="shared" si="81"/>
        <v>0.24997277662834647</v>
      </c>
      <c r="P45" s="47"/>
      <c r="Q45" s="180">
        <v>4199.04</v>
      </c>
      <c r="R45" s="56">
        <f>'Undergrad-15Hours'!P44</f>
        <v>5105</v>
      </c>
      <c r="S45" s="83">
        <f t="shared" si="82"/>
        <v>905.96</v>
      </c>
      <c r="T45" s="101">
        <f t="shared" si="83"/>
        <v>0.21575407712238989</v>
      </c>
    </row>
    <row r="46" spans="1:25">
      <c r="A46" s="44" t="s">
        <v>40</v>
      </c>
      <c r="B46" s="175">
        <v>3214.15</v>
      </c>
      <c r="C46" s="56">
        <f>'Undergrad-12Hours'!B45</f>
        <v>3214.15</v>
      </c>
      <c r="D46" s="83">
        <f t="shared" si="76"/>
        <v>0</v>
      </c>
      <c r="E46" s="85">
        <f t="shared" si="77"/>
        <v>0</v>
      </c>
      <c r="F46" s="47"/>
      <c r="G46" s="180">
        <v>4255.04</v>
      </c>
      <c r="H46" s="56">
        <f>'Undergrad-12Hours'!P45</f>
        <v>4255.04</v>
      </c>
      <c r="I46" s="83">
        <f t="shared" si="78"/>
        <v>0</v>
      </c>
      <c r="J46" s="85">
        <f t="shared" si="79"/>
        <v>0</v>
      </c>
      <c r="K46" s="45"/>
      <c r="L46" s="175">
        <v>3214.15</v>
      </c>
      <c r="M46" s="56">
        <f>'Undergrad-15Hours'!B45</f>
        <v>4017.8</v>
      </c>
      <c r="N46" s="83">
        <f t="shared" si="80"/>
        <v>803.65000000000009</v>
      </c>
      <c r="O46" s="85">
        <f t="shared" si="81"/>
        <v>0.25003500147784019</v>
      </c>
      <c r="P46" s="47"/>
      <c r="Q46" s="180">
        <v>4255.04</v>
      </c>
      <c r="R46" s="56">
        <f>'Undergrad-15Hours'!P45</f>
        <v>5178.8</v>
      </c>
      <c r="S46" s="83">
        <f t="shared" si="82"/>
        <v>923.76000000000022</v>
      </c>
      <c r="T46" s="101">
        <f t="shared" si="83"/>
        <v>0.21709784161841023</v>
      </c>
    </row>
    <row r="47" spans="1:25">
      <c r="A47" s="44" t="s">
        <v>58</v>
      </c>
      <c r="B47" s="175">
        <v>3214.15</v>
      </c>
      <c r="C47" s="56">
        <f>'Undergrad-12Hours'!B46</f>
        <v>3214.15</v>
      </c>
      <c r="D47" s="83">
        <f t="shared" si="76"/>
        <v>0</v>
      </c>
      <c r="E47" s="85">
        <f t="shared" si="77"/>
        <v>0</v>
      </c>
      <c r="F47" s="47"/>
      <c r="G47" s="180">
        <v>4299.04</v>
      </c>
      <c r="H47" s="56">
        <f>'Undergrad-12Hours'!P46</f>
        <v>4299.04</v>
      </c>
      <c r="I47" s="83">
        <f t="shared" si="78"/>
        <v>0</v>
      </c>
      <c r="J47" s="85">
        <f t="shared" si="79"/>
        <v>0</v>
      </c>
      <c r="K47" s="45"/>
      <c r="L47" s="175">
        <v>3214.15</v>
      </c>
      <c r="M47" s="56">
        <f>'Undergrad-15Hours'!B46</f>
        <v>4017.5999999999995</v>
      </c>
      <c r="N47" s="83">
        <f t="shared" si="80"/>
        <v>803.44999999999936</v>
      </c>
      <c r="O47" s="85">
        <f t="shared" si="81"/>
        <v>0.24997277662834633</v>
      </c>
      <c r="P47" s="47"/>
      <c r="Q47" s="180">
        <v>4299.04</v>
      </c>
      <c r="R47" s="56">
        <f>'Undergrad-15Hours'!P46</f>
        <v>5204.7999999999993</v>
      </c>
      <c r="S47" s="83">
        <f t="shared" si="82"/>
        <v>905.75999999999931</v>
      </c>
      <c r="T47" s="101">
        <f t="shared" si="83"/>
        <v>0.21068889798652707</v>
      </c>
    </row>
    <row r="48" spans="1:25">
      <c r="A48" s="44" t="s">
        <v>41</v>
      </c>
      <c r="B48" s="175">
        <v>3214.15</v>
      </c>
      <c r="C48" s="56">
        <f>'Undergrad-12Hours'!B47</f>
        <v>3214.15</v>
      </c>
      <c r="D48" s="83">
        <f t="shared" si="76"/>
        <v>0</v>
      </c>
      <c r="E48" s="85">
        <f t="shared" si="77"/>
        <v>0</v>
      </c>
      <c r="F48" s="47"/>
      <c r="G48" s="180">
        <v>4209.04</v>
      </c>
      <c r="H48" s="56">
        <f>'Undergrad-12Hours'!P47</f>
        <v>4209.1100000000006</v>
      </c>
      <c r="I48" s="83">
        <f>H48-G48</f>
        <v>7.0000000000618456E-2</v>
      </c>
      <c r="J48" s="85">
        <f t="shared" si="79"/>
        <v>1.6630870697503102E-5</v>
      </c>
      <c r="K48" s="45"/>
      <c r="L48" s="175">
        <v>3214.15</v>
      </c>
      <c r="M48" s="56">
        <f>'Undergrad-15Hours'!B47</f>
        <v>4017.6</v>
      </c>
      <c r="N48" s="83">
        <f t="shared" si="80"/>
        <v>803.44999999999982</v>
      </c>
      <c r="O48" s="85">
        <f t="shared" si="81"/>
        <v>0.24997277662834647</v>
      </c>
      <c r="P48" s="47"/>
      <c r="Q48" s="180">
        <v>4209.04</v>
      </c>
      <c r="R48" s="56">
        <f>'Undergrad-15Hours'!P47</f>
        <v>5114.8</v>
      </c>
      <c r="S48" s="83">
        <f t="shared" si="82"/>
        <v>905.76000000000022</v>
      </c>
      <c r="T48" s="101">
        <f t="shared" si="83"/>
        <v>0.21519396346910466</v>
      </c>
    </row>
    <row r="49" spans="1:20">
      <c r="A49" s="44" t="s">
        <v>42</v>
      </c>
      <c r="B49" s="175">
        <v>3214.15</v>
      </c>
      <c r="C49" s="56">
        <f>'Undergrad-12Hours'!B48</f>
        <v>3214.15</v>
      </c>
      <c r="D49" s="83">
        <f t="shared" si="76"/>
        <v>0</v>
      </c>
      <c r="E49" s="85">
        <f t="shared" si="77"/>
        <v>0</v>
      </c>
      <c r="F49" s="47"/>
      <c r="G49" s="180">
        <v>4329.54</v>
      </c>
      <c r="H49" s="56">
        <f>'Undergrad-12Hours'!P48</f>
        <v>4373.87</v>
      </c>
      <c r="I49" s="83">
        <f t="shared" si="78"/>
        <v>44.329999999999927</v>
      </c>
      <c r="J49" s="85">
        <f t="shared" si="79"/>
        <v>1.0238963030714563E-2</v>
      </c>
      <c r="K49" s="45"/>
      <c r="L49" s="175">
        <v>3214.15</v>
      </c>
      <c r="M49" s="56">
        <f>'Undergrad-15Hours'!B48</f>
        <v>4017.9</v>
      </c>
      <c r="N49" s="83">
        <f t="shared" si="80"/>
        <v>803.75</v>
      </c>
      <c r="O49" s="85">
        <f t="shared" si="81"/>
        <v>0.25006611390258698</v>
      </c>
      <c r="P49" s="47"/>
      <c r="Q49" s="180">
        <v>4329.54</v>
      </c>
      <c r="R49" s="56">
        <f>'Undergrad-15Hours'!P48</f>
        <v>5279.8</v>
      </c>
      <c r="S49" s="83">
        <f t="shared" si="82"/>
        <v>950.26000000000022</v>
      </c>
      <c r="T49" s="101">
        <f t="shared" si="83"/>
        <v>0.21948290118580732</v>
      </c>
    </row>
    <row r="50" spans="1:20">
      <c r="A50" s="44" t="s">
        <v>43</v>
      </c>
      <c r="B50" s="175">
        <v>3214.15</v>
      </c>
      <c r="C50" s="56">
        <f>'Undergrad-12Hours'!B49</f>
        <v>3214.15</v>
      </c>
      <c r="D50" s="83">
        <f t="shared" si="76"/>
        <v>0</v>
      </c>
      <c r="E50" s="85">
        <f t="shared" si="77"/>
        <v>0</v>
      </c>
      <c r="F50" s="47"/>
      <c r="G50" s="180">
        <v>4334.87</v>
      </c>
      <c r="H50" s="56">
        <f>'Undergrad-12Hours'!P49</f>
        <v>4334.87</v>
      </c>
      <c r="I50" s="83">
        <f t="shared" si="78"/>
        <v>0</v>
      </c>
      <c r="J50" s="85">
        <f t="shared" si="79"/>
        <v>0</v>
      </c>
      <c r="K50" s="45"/>
      <c r="L50" s="175">
        <v>3214.15</v>
      </c>
      <c r="M50" s="56">
        <f>'Undergrad-15Hours'!B49</f>
        <v>4017.9</v>
      </c>
      <c r="N50" s="83">
        <f t="shared" si="80"/>
        <v>803.75</v>
      </c>
      <c r="O50" s="85">
        <f t="shared" si="81"/>
        <v>0.25006611390258698</v>
      </c>
      <c r="P50" s="47"/>
      <c r="Q50" s="180">
        <v>4334.87</v>
      </c>
      <c r="R50" s="56">
        <f>'Undergrad-15Hours'!P49</f>
        <v>5240.8</v>
      </c>
      <c r="S50" s="83">
        <f t="shared" si="82"/>
        <v>905.93000000000029</v>
      </c>
      <c r="T50" s="101">
        <f t="shared" si="83"/>
        <v>0.20898665934618577</v>
      </c>
    </row>
    <row r="51" spans="1:20">
      <c r="A51" s="44" t="s">
        <v>69</v>
      </c>
      <c r="B51" s="175">
        <v>3214.15</v>
      </c>
      <c r="C51" s="56">
        <f>'Undergrad-12Hours'!B50</f>
        <v>3214.15</v>
      </c>
      <c r="D51" s="83">
        <f t="shared" si="76"/>
        <v>0</v>
      </c>
      <c r="E51" s="85">
        <f t="shared" si="77"/>
        <v>0</v>
      </c>
      <c r="F51" s="47"/>
      <c r="G51" s="180">
        <v>4209.04</v>
      </c>
      <c r="H51" s="56">
        <f>'Undergrad-12Hours'!P50</f>
        <v>4209.04</v>
      </c>
      <c r="I51" s="83">
        <f t="shared" si="78"/>
        <v>0</v>
      </c>
      <c r="J51" s="85">
        <f t="shared" si="79"/>
        <v>0</v>
      </c>
      <c r="K51" s="45"/>
      <c r="L51" s="175">
        <v>3214.15</v>
      </c>
      <c r="M51" s="56">
        <f>'Undergrad-15Hours'!B50</f>
        <v>4017.6</v>
      </c>
      <c r="N51" s="83">
        <f t="shared" si="80"/>
        <v>803.44999999999982</v>
      </c>
      <c r="O51" s="85">
        <f t="shared" si="81"/>
        <v>0.24997277662834647</v>
      </c>
      <c r="P51" s="47"/>
      <c r="Q51" s="180">
        <v>4209.04</v>
      </c>
      <c r="R51" s="56">
        <f>'Undergrad-15Hours'!P50</f>
        <v>5114.8</v>
      </c>
      <c r="S51" s="83">
        <f t="shared" si="82"/>
        <v>905.76000000000022</v>
      </c>
      <c r="T51" s="101">
        <f t="shared" si="83"/>
        <v>0.21519396346910466</v>
      </c>
    </row>
    <row r="52" spans="1:20" ht="15" thickBot="1">
      <c r="A52" s="170" t="s">
        <v>182</v>
      </c>
      <c r="B52" s="178">
        <v>3214.15</v>
      </c>
      <c r="C52" s="57">
        <f>'Undergrad-12Hours'!B51</f>
        <v>3214.15</v>
      </c>
      <c r="D52" s="84">
        <f t="shared" si="76"/>
        <v>0</v>
      </c>
      <c r="E52" s="87">
        <f t="shared" si="77"/>
        <v>0</v>
      </c>
      <c r="F52" s="48"/>
      <c r="G52" s="182">
        <v>4149.04</v>
      </c>
      <c r="H52" s="57">
        <f>'Undergrad-12Hours'!P51</f>
        <v>4199.04</v>
      </c>
      <c r="I52" s="84">
        <f t="shared" si="78"/>
        <v>50</v>
      </c>
      <c r="J52" s="87">
        <f t="shared" si="79"/>
        <v>1.2050980467770858E-2</v>
      </c>
      <c r="K52" s="46"/>
      <c r="L52" s="178">
        <v>3214.15</v>
      </c>
      <c r="M52" s="57">
        <f>'Undergrad-15Hours'!B51</f>
        <v>4017.9</v>
      </c>
      <c r="N52" s="84">
        <f t="shared" si="80"/>
        <v>803.75</v>
      </c>
      <c r="O52" s="87">
        <f t="shared" si="81"/>
        <v>0.25006611390258698</v>
      </c>
      <c r="P52" s="48"/>
      <c r="Q52" s="182">
        <v>4149.04</v>
      </c>
      <c r="R52" s="57">
        <f>'Undergrad-15Hours'!P51</f>
        <v>5104.8</v>
      </c>
      <c r="S52" s="84">
        <f t="shared" si="82"/>
        <v>955.76000000000022</v>
      </c>
      <c r="T52" s="110">
        <f t="shared" si="83"/>
        <v>0.23035690183753355</v>
      </c>
    </row>
    <row r="53" spans="1:20" ht="15" thickTop="1"/>
    <row r="54" spans="1:20">
      <c r="A54" s="144" t="s">
        <v>155</v>
      </c>
    </row>
    <row r="55" spans="1:20">
      <c r="A55" s="144" t="s">
        <v>157</v>
      </c>
    </row>
    <row r="56" spans="1:20">
      <c r="A56" s="144" t="s">
        <v>158</v>
      </c>
    </row>
    <row r="57" spans="1:20">
      <c r="A57" s="144" t="s">
        <v>230</v>
      </c>
    </row>
  </sheetData>
  <printOptions horizontalCentered="1"/>
  <pageMargins left="0.25" right="0.25" top="0.75" bottom="0.75" header="0.3" footer="0.3"/>
  <pageSetup scale="6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I57"/>
  <sheetViews>
    <sheetView zoomScaleNormal="100" workbookViewId="0">
      <pane xSplit="1" ySplit="5" topLeftCell="B15" activePane="bottomRight" state="frozen"/>
      <selection activeCell="A3" sqref="A3"/>
      <selection pane="topRight" activeCell="A3" sqref="A3"/>
      <selection pane="bottomLeft" activeCell="A3" sqref="A3"/>
      <selection pane="bottomRight" activeCell="AB24" sqref="AB24"/>
    </sheetView>
  </sheetViews>
  <sheetFormatPr defaultRowHeight="14.5"/>
  <cols>
    <col min="1" max="1" width="26.81640625" customWidth="1"/>
    <col min="3" max="3" width="9.1796875" customWidth="1"/>
    <col min="4" max="4" width="11" customWidth="1"/>
    <col min="5" max="5" width="9.1796875" bestFit="1" customWidth="1"/>
    <col min="6" max="6" width="1.1796875" customWidth="1"/>
    <col min="8" max="8" width="9.1796875" customWidth="1"/>
    <col min="9" max="9" width="10.1796875" customWidth="1"/>
    <col min="11" max="11" width="1.1796875" customWidth="1"/>
    <col min="13" max="13" width="9.1796875" customWidth="1"/>
    <col min="14" max="14" width="10.81640625" customWidth="1"/>
    <col min="16" max="16" width="1.1796875" customWidth="1"/>
    <col min="18" max="18" width="9.1796875" customWidth="1"/>
    <col min="19" max="19" width="10.54296875" customWidth="1"/>
    <col min="21" max="21" width="1.1796875" customWidth="1"/>
    <col min="22" max="22" width="10.81640625" bestFit="1" customWidth="1"/>
    <col min="23" max="23" width="10.81640625" customWidth="1"/>
    <col min="24" max="24" width="11.54296875" bestFit="1" customWidth="1"/>
    <col min="26" max="26" width="1.1796875" customWidth="1"/>
    <col min="27" max="27" width="10.81640625" bestFit="1" customWidth="1"/>
    <col min="28" max="28" width="10.81640625" customWidth="1"/>
    <col min="29" max="29" width="11.54296875" bestFit="1" customWidth="1"/>
  </cols>
  <sheetData>
    <row r="1" spans="1:30" ht="15.5">
      <c r="A1" s="136" t="s">
        <v>153</v>
      </c>
    </row>
    <row r="2" spans="1:30" ht="15.5">
      <c r="A2" s="136" t="s">
        <v>202</v>
      </c>
    </row>
    <row r="3" spans="1:30" ht="15" thickBot="1"/>
    <row r="4" spans="1:30" ht="15" thickTop="1">
      <c r="A4" s="92"/>
      <c r="B4" s="91" t="s">
        <v>212</v>
      </c>
      <c r="C4" s="41"/>
      <c r="D4" s="41"/>
      <c r="E4" s="41"/>
      <c r="F4" s="41"/>
      <c r="G4" s="41"/>
      <c r="H4" s="41"/>
      <c r="I4" s="41"/>
      <c r="J4" s="41"/>
      <c r="K4" s="42"/>
      <c r="L4" s="41" t="s">
        <v>206</v>
      </c>
      <c r="M4" s="41"/>
      <c r="N4" s="41"/>
      <c r="O4" s="41"/>
      <c r="P4" s="41"/>
      <c r="Q4" s="41"/>
      <c r="R4" s="41"/>
      <c r="S4" s="41"/>
      <c r="T4" s="43"/>
      <c r="U4" s="42"/>
      <c r="V4" s="59" t="s">
        <v>211</v>
      </c>
      <c r="W4" s="41"/>
      <c r="X4" s="41"/>
      <c r="Y4" s="41"/>
      <c r="Z4" s="41"/>
      <c r="AA4" s="41"/>
      <c r="AB4" s="41"/>
      <c r="AC4" s="41"/>
      <c r="AD4" s="43"/>
    </row>
    <row r="5" spans="1:30" ht="44" thickBot="1">
      <c r="A5" s="103" t="s">
        <v>0</v>
      </c>
      <c r="B5" s="173" t="s">
        <v>199</v>
      </c>
      <c r="C5" s="49" t="s">
        <v>207</v>
      </c>
      <c r="D5" s="49" t="s">
        <v>119</v>
      </c>
      <c r="E5" s="49" t="s">
        <v>120</v>
      </c>
      <c r="F5" s="50"/>
      <c r="G5" s="179" t="s">
        <v>200</v>
      </c>
      <c r="H5" s="49" t="s">
        <v>208</v>
      </c>
      <c r="I5" s="49" t="s">
        <v>119</v>
      </c>
      <c r="J5" s="49" t="s">
        <v>120</v>
      </c>
      <c r="K5" s="51"/>
      <c r="L5" s="179" t="s">
        <v>199</v>
      </c>
      <c r="M5" s="49" t="s">
        <v>207</v>
      </c>
      <c r="N5" s="49" t="s">
        <v>119</v>
      </c>
      <c r="O5" s="49" t="s">
        <v>120</v>
      </c>
      <c r="P5" s="50"/>
      <c r="Q5" s="179" t="s">
        <v>200</v>
      </c>
      <c r="R5" s="49" t="s">
        <v>208</v>
      </c>
      <c r="S5" s="49" t="s">
        <v>119</v>
      </c>
      <c r="T5" s="52" t="s">
        <v>120</v>
      </c>
      <c r="U5" s="51"/>
      <c r="V5" s="179" t="s">
        <v>199</v>
      </c>
      <c r="W5" s="49" t="s">
        <v>207</v>
      </c>
      <c r="X5" s="49" t="s">
        <v>119</v>
      </c>
      <c r="Y5" s="49" t="s">
        <v>120</v>
      </c>
      <c r="Z5" s="50"/>
      <c r="AA5" s="179" t="s">
        <v>200</v>
      </c>
      <c r="AB5" s="49" t="s">
        <v>208</v>
      </c>
      <c r="AC5" s="49" t="s">
        <v>119</v>
      </c>
      <c r="AD5" s="52" t="s">
        <v>120</v>
      </c>
    </row>
    <row r="6" spans="1:30">
      <c r="A6" s="108" t="s">
        <v>22</v>
      </c>
      <c r="B6" s="174"/>
      <c r="C6" s="53"/>
      <c r="D6" s="53"/>
      <c r="E6" s="53"/>
      <c r="F6" s="53"/>
      <c r="G6" s="174"/>
      <c r="H6" s="53"/>
      <c r="I6" s="53"/>
      <c r="J6" s="53"/>
      <c r="K6" s="100"/>
      <c r="L6" s="174"/>
      <c r="M6" s="53"/>
      <c r="N6" s="53"/>
      <c r="O6" s="53"/>
      <c r="P6" s="53"/>
      <c r="Q6" s="174"/>
      <c r="R6" s="53"/>
      <c r="S6" s="53"/>
      <c r="T6" s="53"/>
      <c r="U6" s="100"/>
      <c r="V6" s="174"/>
      <c r="W6" s="53"/>
      <c r="X6" s="53"/>
      <c r="Y6" s="53"/>
      <c r="Z6" s="99"/>
      <c r="AA6" s="174"/>
      <c r="AB6" s="53"/>
      <c r="AC6" s="53"/>
      <c r="AD6" s="54"/>
    </row>
    <row r="7" spans="1:30">
      <c r="A7" s="104" t="s">
        <v>12</v>
      </c>
      <c r="B7" s="184">
        <v>5110</v>
      </c>
      <c r="C7" s="93">
        <f>'Grad-18Hours'!B6</f>
        <v>5365.5</v>
      </c>
      <c r="D7" s="88">
        <f>C7-B7</f>
        <v>255.5</v>
      </c>
      <c r="E7" s="85">
        <f>D7/B7</f>
        <v>0.05</v>
      </c>
      <c r="F7" s="97"/>
      <c r="G7" s="184">
        <v>7416</v>
      </c>
      <c r="H7" s="93">
        <f>'Grad-18Hours'!P6</f>
        <v>7753.7200000000012</v>
      </c>
      <c r="I7" s="88">
        <f>H7-G7</f>
        <v>337.72000000000116</v>
      </c>
      <c r="J7" s="85">
        <f>I7/G7</f>
        <v>4.5539374325782249E-2</v>
      </c>
      <c r="K7" s="51"/>
      <c r="L7" s="184">
        <v>5110</v>
      </c>
      <c r="M7" s="94">
        <f>'Grad-20Hours'!B6</f>
        <v>5365.5</v>
      </c>
      <c r="N7" s="88">
        <f>M7-L7</f>
        <v>255.5</v>
      </c>
      <c r="O7" s="85">
        <f>N7/L7</f>
        <v>0.05</v>
      </c>
      <c r="P7" s="97"/>
      <c r="Q7" s="186">
        <v>7485</v>
      </c>
      <c r="R7" s="94">
        <f>'Grad-20Hours'!P6</f>
        <v>7825.3</v>
      </c>
      <c r="S7" s="88">
        <f>R7-Q7</f>
        <v>340.30000000000018</v>
      </c>
      <c r="T7" s="85">
        <f>S7/Q7</f>
        <v>4.5464261857047453E-2</v>
      </c>
      <c r="U7" s="51"/>
      <c r="V7" s="184">
        <v>5110</v>
      </c>
      <c r="W7" s="94">
        <f>'Grad-24Hours'!B6</f>
        <v>5365.5</v>
      </c>
      <c r="X7" s="88">
        <f>W7-V7</f>
        <v>255.5</v>
      </c>
      <c r="Y7" s="85">
        <f>X7/V7</f>
        <v>0.05</v>
      </c>
      <c r="Z7" s="47"/>
      <c r="AA7" s="186">
        <v>7623</v>
      </c>
      <c r="AB7" s="94">
        <f>'Grad-24Hours'!P6</f>
        <v>7966.4799999999987</v>
      </c>
      <c r="AC7" s="88">
        <f>AB7-AA7</f>
        <v>343.47999999999865</v>
      </c>
      <c r="AD7" s="101">
        <f>AC7/AA7</f>
        <v>4.5058375967466702E-2</v>
      </c>
    </row>
    <row r="8" spans="1:30">
      <c r="A8" s="104" t="s">
        <v>13</v>
      </c>
      <c r="B8" s="185">
        <v>4806</v>
      </c>
      <c r="C8" s="89">
        <f>'Grad-18Hours'!B7</f>
        <v>4926</v>
      </c>
      <c r="D8" s="88">
        <f t="shared" ref="D8:D49" si="0">C8-B8</f>
        <v>120</v>
      </c>
      <c r="E8" s="85">
        <f t="shared" ref="E8:E52" si="1">D8/B8</f>
        <v>2.4968789013732832E-2</v>
      </c>
      <c r="F8" s="47"/>
      <c r="G8" s="185">
        <v>7994.6</v>
      </c>
      <c r="H8" s="89">
        <f>'Grad-18Hours'!P7</f>
        <v>8594.5</v>
      </c>
      <c r="I8" s="88">
        <f t="shared" ref="I8:I50" si="2">H8-G8</f>
        <v>599.89999999999964</v>
      </c>
      <c r="J8" s="85">
        <f t="shared" ref="J8:J50" si="3">I8/G8</f>
        <v>7.503815075175739E-2</v>
      </c>
      <c r="K8" s="51"/>
      <c r="L8" s="185">
        <v>5151</v>
      </c>
      <c r="M8" s="83">
        <f>'Grad-20Hours'!B7</f>
        <v>5266</v>
      </c>
      <c r="N8" s="88">
        <f t="shared" ref="N8:N50" si="4">M8-L8</f>
        <v>115</v>
      </c>
      <c r="O8" s="85">
        <f t="shared" ref="O8:O50" si="5">N8/L8</f>
        <v>2.2325761987963502E-2</v>
      </c>
      <c r="P8" s="47"/>
      <c r="Q8" s="187">
        <v>8700.9</v>
      </c>
      <c r="R8" s="83">
        <f>'Grad-20Hours'!P7</f>
        <v>9336.94</v>
      </c>
      <c r="S8" s="88">
        <f t="shared" ref="S8:S50" si="6">R8-Q8</f>
        <v>636.04000000000087</v>
      </c>
      <c r="T8" s="85">
        <f t="shared" ref="T8:T50" si="7">S8/Q8</f>
        <v>7.310048385799181E-2</v>
      </c>
      <c r="U8" s="51"/>
      <c r="V8" s="185">
        <v>5841</v>
      </c>
      <c r="W8" s="83">
        <f>'Grad-24Hours'!B7</f>
        <v>5994</v>
      </c>
      <c r="X8" s="88">
        <f t="shared" ref="X8:X50" si="8">W8-V8</f>
        <v>153</v>
      </c>
      <c r="Y8" s="85">
        <f t="shared" ref="Y8:Y50" si="9">X8/V8</f>
        <v>2.6194144838212634E-2</v>
      </c>
      <c r="Z8" s="47"/>
      <c r="AA8" s="187">
        <v>10112.5</v>
      </c>
      <c r="AB8" s="83">
        <f>'Grad-24Hours'!P7</f>
        <v>10871.71</v>
      </c>
      <c r="AC8" s="88">
        <f t="shared" ref="AC8:AC49" si="10">AB8-AA8</f>
        <v>759.20999999999913</v>
      </c>
      <c r="AD8" s="101">
        <f t="shared" ref="AD8:AD50" si="11">AC8/AA8</f>
        <v>7.5076390605685953E-2</v>
      </c>
    </row>
    <row r="9" spans="1:30">
      <c r="A9" s="104" t="s">
        <v>14</v>
      </c>
      <c r="B9" s="185">
        <v>5702.74</v>
      </c>
      <c r="C9" s="89">
        <f>'Grad-18Hours'!B8</f>
        <v>5702.74</v>
      </c>
      <c r="D9" s="88">
        <f t="shared" si="0"/>
        <v>0</v>
      </c>
      <c r="E9" s="85">
        <f t="shared" si="1"/>
        <v>0</v>
      </c>
      <c r="F9" s="47"/>
      <c r="G9" s="185">
        <v>8506.8799999999992</v>
      </c>
      <c r="H9" s="89">
        <f>'Grad-18Hours'!P8</f>
        <v>9078.06</v>
      </c>
      <c r="I9" s="88">
        <f t="shared" si="2"/>
        <v>571.18000000000029</v>
      </c>
      <c r="J9" s="85">
        <f t="shared" si="3"/>
        <v>6.7143300481492668E-2</v>
      </c>
      <c r="K9" s="51"/>
      <c r="L9" s="185">
        <v>5702.74</v>
      </c>
      <c r="M9" s="83">
        <f>'Grad-20Hours'!B8</f>
        <v>5702.74</v>
      </c>
      <c r="N9" s="88">
        <f t="shared" si="4"/>
        <v>0</v>
      </c>
      <c r="O9" s="85">
        <f t="shared" si="5"/>
        <v>0</v>
      </c>
      <c r="P9" s="47"/>
      <c r="Q9" s="187">
        <v>8647.48</v>
      </c>
      <c r="R9" s="83">
        <f>'Grad-20Hours'!P8</f>
        <v>9253.5</v>
      </c>
      <c r="S9" s="88">
        <f t="shared" si="6"/>
        <v>606.02000000000044</v>
      </c>
      <c r="T9" s="85">
        <f t="shared" si="7"/>
        <v>7.0080532131904377E-2</v>
      </c>
      <c r="U9" s="51"/>
      <c r="V9" s="185">
        <v>5702.74</v>
      </c>
      <c r="W9" s="83">
        <f>'Grad-24Hours'!B8</f>
        <v>5702.74</v>
      </c>
      <c r="X9" s="88">
        <f t="shared" si="8"/>
        <v>0</v>
      </c>
      <c r="Y9" s="85">
        <f t="shared" si="9"/>
        <v>0</v>
      </c>
      <c r="Z9" s="47"/>
      <c r="AA9" s="187">
        <v>8928.68</v>
      </c>
      <c r="AB9" s="83">
        <f>'Grad-24Hours'!P8</f>
        <v>9554.380000000001</v>
      </c>
      <c r="AC9" s="88">
        <f t="shared" si="10"/>
        <v>625.70000000000073</v>
      </c>
      <c r="AD9" s="101">
        <f t="shared" si="11"/>
        <v>7.0077547857018141E-2</v>
      </c>
    </row>
    <row r="10" spans="1:30">
      <c r="A10" s="104" t="s">
        <v>15</v>
      </c>
      <c r="B10" s="185">
        <v>5685.6</v>
      </c>
      <c r="C10" s="89">
        <f>'Grad-18Hours'!B9</f>
        <v>5685.6</v>
      </c>
      <c r="D10" s="88">
        <f t="shared" si="0"/>
        <v>0</v>
      </c>
      <c r="E10" s="85">
        <f t="shared" si="1"/>
        <v>0</v>
      </c>
      <c r="F10" s="47"/>
      <c r="G10" s="185">
        <v>8236</v>
      </c>
      <c r="H10" s="89">
        <f>'Grad-18Hours'!P9</f>
        <v>8849.7400000000016</v>
      </c>
      <c r="I10" s="88">
        <f t="shared" si="2"/>
        <v>613.7400000000016</v>
      </c>
      <c r="J10" s="85">
        <f t="shared" si="3"/>
        <v>7.4519184069937058E-2</v>
      </c>
      <c r="K10" s="51"/>
      <c r="L10" s="185">
        <v>5685.6</v>
      </c>
      <c r="M10" s="83">
        <f>'Grad-20Hours'!B9</f>
        <v>5685.6</v>
      </c>
      <c r="N10" s="88">
        <f t="shared" si="4"/>
        <v>0</v>
      </c>
      <c r="O10" s="85">
        <f t="shared" si="5"/>
        <v>0</v>
      </c>
      <c r="P10" s="47"/>
      <c r="Q10" s="187">
        <v>8423</v>
      </c>
      <c r="R10" s="83">
        <f>'Grad-20Hours'!P9</f>
        <v>9032</v>
      </c>
      <c r="S10" s="88">
        <f t="shared" si="6"/>
        <v>609</v>
      </c>
      <c r="T10" s="85">
        <f t="shared" si="7"/>
        <v>7.2302030155526539E-2</v>
      </c>
      <c r="U10" s="51"/>
      <c r="V10" s="185">
        <v>5685.6</v>
      </c>
      <c r="W10" s="83">
        <f>'Grad-24Hours'!B9</f>
        <v>5685.6</v>
      </c>
      <c r="X10" s="88">
        <f t="shared" si="8"/>
        <v>0</v>
      </c>
      <c r="Y10" s="85">
        <f t="shared" si="9"/>
        <v>0</v>
      </c>
      <c r="Z10" s="47"/>
      <c r="AA10" s="187">
        <v>8785</v>
      </c>
      <c r="AB10" s="83">
        <f>'Grad-24Hours'!P9</f>
        <v>9383.02</v>
      </c>
      <c r="AC10" s="88">
        <f t="shared" si="10"/>
        <v>598.02000000000044</v>
      </c>
      <c r="AD10" s="101">
        <f t="shared" si="11"/>
        <v>6.8072851451337554E-2</v>
      </c>
    </row>
    <row r="11" spans="1:30">
      <c r="A11" s="104" t="s">
        <v>16</v>
      </c>
      <c r="B11" s="185">
        <v>5738</v>
      </c>
      <c r="C11" s="89">
        <f>'Grad-18Hours'!B10</f>
        <v>5738</v>
      </c>
      <c r="D11" s="88">
        <f t="shared" si="0"/>
        <v>0</v>
      </c>
      <c r="E11" s="85">
        <f t="shared" si="1"/>
        <v>0</v>
      </c>
      <c r="F11" s="47"/>
      <c r="G11" s="185">
        <v>9806</v>
      </c>
      <c r="H11" s="89">
        <f>'Grad-18Hours'!P10</f>
        <v>10282</v>
      </c>
      <c r="I11" s="88">
        <f t="shared" si="2"/>
        <v>476</v>
      </c>
      <c r="J11" s="85">
        <f t="shared" si="3"/>
        <v>4.8541709157658576E-2</v>
      </c>
      <c r="K11" s="51"/>
      <c r="L11" s="185">
        <v>5738</v>
      </c>
      <c r="M11" s="83">
        <f>'Grad-20Hours'!B10</f>
        <v>5738</v>
      </c>
      <c r="N11" s="88">
        <f t="shared" si="4"/>
        <v>0</v>
      </c>
      <c r="O11" s="85">
        <f t="shared" si="5"/>
        <v>0</v>
      </c>
      <c r="P11" s="47"/>
      <c r="Q11" s="187">
        <v>9856</v>
      </c>
      <c r="R11" s="83">
        <f>'Grad-20Hours'!P10</f>
        <v>10406</v>
      </c>
      <c r="S11" s="88">
        <f t="shared" si="6"/>
        <v>550</v>
      </c>
      <c r="T11" s="85">
        <f t="shared" si="7"/>
        <v>5.5803571428571432E-2</v>
      </c>
      <c r="U11" s="51"/>
      <c r="V11" s="185">
        <v>5738</v>
      </c>
      <c r="W11" s="83">
        <f>'Grad-24Hours'!B10</f>
        <v>5738</v>
      </c>
      <c r="X11" s="88">
        <f t="shared" si="8"/>
        <v>0</v>
      </c>
      <c r="Y11" s="85">
        <f t="shared" si="9"/>
        <v>0</v>
      </c>
      <c r="Z11" s="47"/>
      <c r="AA11" s="187">
        <v>9956</v>
      </c>
      <c r="AB11" s="83">
        <f>'Grad-24Hours'!P10</f>
        <v>10654</v>
      </c>
      <c r="AC11" s="88">
        <f t="shared" si="10"/>
        <v>698</v>
      </c>
      <c r="AD11" s="101">
        <f t="shared" si="11"/>
        <v>7.0108477300120528E-2</v>
      </c>
    </row>
    <row r="12" spans="1:30">
      <c r="A12" s="104" t="s">
        <v>17</v>
      </c>
      <c r="B12" s="185">
        <v>6684</v>
      </c>
      <c r="C12" s="89">
        <f>'Grad-18Hours'!B11</f>
        <v>6684</v>
      </c>
      <c r="D12" s="88">
        <f t="shared" si="0"/>
        <v>0</v>
      </c>
      <c r="E12" s="85">
        <f t="shared" si="1"/>
        <v>0</v>
      </c>
      <c r="F12" s="47"/>
      <c r="G12" s="185">
        <v>8830</v>
      </c>
      <c r="H12" s="89">
        <f>'Grad-18Hours'!P11</f>
        <v>9710</v>
      </c>
      <c r="I12" s="88">
        <f t="shared" si="2"/>
        <v>880</v>
      </c>
      <c r="J12" s="85">
        <f t="shared" si="3"/>
        <v>9.9660249150622882E-2</v>
      </c>
      <c r="K12" s="51"/>
      <c r="L12" s="185">
        <v>6684</v>
      </c>
      <c r="M12" s="83">
        <f>'Grad-20Hours'!B11</f>
        <v>6684</v>
      </c>
      <c r="N12" s="88">
        <f t="shared" si="4"/>
        <v>0</v>
      </c>
      <c r="O12" s="85">
        <f t="shared" si="5"/>
        <v>0</v>
      </c>
      <c r="P12" s="47"/>
      <c r="Q12" s="187">
        <v>8902</v>
      </c>
      <c r="R12" s="83">
        <f>'Grad-20Hours'!P11</f>
        <v>9782</v>
      </c>
      <c r="S12" s="88">
        <f t="shared" si="6"/>
        <v>880</v>
      </c>
      <c r="T12" s="85">
        <f t="shared" si="7"/>
        <v>9.8854190069647269E-2</v>
      </c>
      <c r="U12" s="51"/>
      <c r="V12" s="185">
        <v>6684</v>
      </c>
      <c r="W12" s="83">
        <f>'Grad-24Hours'!B11</f>
        <v>6684</v>
      </c>
      <c r="X12" s="88">
        <f t="shared" si="8"/>
        <v>0</v>
      </c>
      <c r="Y12" s="85">
        <f t="shared" si="9"/>
        <v>0</v>
      </c>
      <c r="Z12" s="47"/>
      <c r="AA12" s="187">
        <v>9046</v>
      </c>
      <c r="AB12" s="83">
        <f>'Grad-24Hours'!P11</f>
        <v>9926</v>
      </c>
      <c r="AC12" s="88">
        <f t="shared" si="10"/>
        <v>880</v>
      </c>
      <c r="AD12" s="101">
        <f t="shared" si="11"/>
        <v>9.7280565996020335E-2</v>
      </c>
    </row>
    <row r="13" spans="1:30">
      <c r="A13" s="104" t="s">
        <v>18</v>
      </c>
      <c r="B13" s="185">
        <v>5510.52</v>
      </c>
      <c r="C13" s="89">
        <f>'Grad-18Hours'!B12</f>
        <v>5815.9800000000005</v>
      </c>
      <c r="D13" s="88">
        <f t="shared" si="0"/>
        <v>305.46000000000004</v>
      </c>
      <c r="E13" s="85">
        <f t="shared" si="1"/>
        <v>5.5432155223100542E-2</v>
      </c>
      <c r="F13" s="47"/>
      <c r="G13" s="185">
        <v>10184</v>
      </c>
      <c r="H13" s="89">
        <f>'Grad-18Hours'!P12</f>
        <v>11202</v>
      </c>
      <c r="I13" s="88">
        <f t="shared" si="2"/>
        <v>1018</v>
      </c>
      <c r="J13" s="85">
        <f t="shared" si="3"/>
        <v>9.9960722702278085E-2</v>
      </c>
      <c r="K13" s="51"/>
      <c r="L13" s="185">
        <v>5510.52</v>
      </c>
      <c r="M13" s="83">
        <f>'Grad-20Hours'!B12</f>
        <v>5815.9800000000005</v>
      </c>
      <c r="N13" s="88">
        <f t="shared" si="4"/>
        <v>305.46000000000004</v>
      </c>
      <c r="O13" s="85">
        <f t="shared" si="5"/>
        <v>5.5432155223100542E-2</v>
      </c>
      <c r="P13" s="47"/>
      <c r="Q13" s="187">
        <v>10514</v>
      </c>
      <c r="R13" s="83">
        <f>'Grad-20Hours'!P12</f>
        <v>11556.000000000002</v>
      </c>
      <c r="S13" s="88">
        <f t="shared" si="6"/>
        <v>1042.0000000000018</v>
      </c>
      <c r="T13" s="85">
        <f t="shared" si="7"/>
        <v>9.9105953966140553E-2</v>
      </c>
      <c r="U13" s="51"/>
      <c r="V13" s="185">
        <v>5510.52</v>
      </c>
      <c r="W13" s="83">
        <f>'Grad-24Hours'!B12</f>
        <v>5815.9800000000005</v>
      </c>
      <c r="X13" s="88">
        <f t="shared" si="8"/>
        <v>305.46000000000004</v>
      </c>
      <c r="Y13" s="85">
        <f t="shared" si="9"/>
        <v>5.5432155223100542E-2</v>
      </c>
      <c r="Z13" s="47"/>
      <c r="AA13" s="187">
        <v>11174</v>
      </c>
      <c r="AB13" s="83">
        <f>'Grad-24Hours'!P12</f>
        <v>12262</v>
      </c>
      <c r="AC13" s="88">
        <f t="shared" si="10"/>
        <v>1088</v>
      </c>
      <c r="AD13" s="101">
        <f t="shared" si="11"/>
        <v>9.7368892070878829E-2</v>
      </c>
    </row>
    <row r="14" spans="1:30">
      <c r="A14" s="104" t="s">
        <v>45</v>
      </c>
      <c r="B14" s="185">
        <v>6489</v>
      </c>
      <c r="C14" s="89">
        <f>'Grad-18Hours'!B13</f>
        <v>6489</v>
      </c>
      <c r="D14" s="88">
        <f t="shared" si="0"/>
        <v>0</v>
      </c>
      <c r="E14" s="85">
        <f t="shared" si="1"/>
        <v>0</v>
      </c>
      <c r="F14" s="47"/>
      <c r="G14" s="185">
        <v>9399</v>
      </c>
      <c r="H14" s="89">
        <f>'Grad-18Hours'!P13</f>
        <v>10291</v>
      </c>
      <c r="I14" s="88">
        <f t="shared" si="2"/>
        <v>892</v>
      </c>
      <c r="J14" s="85">
        <f t="shared" si="3"/>
        <v>9.4903713160974568E-2</v>
      </c>
      <c r="K14" s="51"/>
      <c r="L14" s="185">
        <v>6489</v>
      </c>
      <c r="M14" s="83">
        <f>'Grad-20Hours'!B13</f>
        <v>6489</v>
      </c>
      <c r="N14" s="88">
        <f t="shared" si="4"/>
        <v>0</v>
      </c>
      <c r="O14" s="85">
        <f t="shared" si="5"/>
        <v>0</v>
      </c>
      <c r="P14" s="47"/>
      <c r="Q14" s="187">
        <v>9569</v>
      </c>
      <c r="R14" s="83">
        <f>'Grad-20Hours'!P13</f>
        <v>10474</v>
      </c>
      <c r="S14" s="88">
        <f t="shared" si="6"/>
        <v>905</v>
      </c>
      <c r="T14" s="85">
        <f t="shared" si="7"/>
        <v>9.4576235761312577E-2</v>
      </c>
      <c r="U14" s="51"/>
      <c r="V14" s="185">
        <v>6489</v>
      </c>
      <c r="W14" s="83">
        <f>'Grad-24Hours'!B13</f>
        <v>6489</v>
      </c>
      <c r="X14" s="88">
        <f t="shared" si="8"/>
        <v>0</v>
      </c>
      <c r="Y14" s="85">
        <f t="shared" si="9"/>
        <v>0</v>
      </c>
      <c r="Z14" s="47"/>
      <c r="AA14" s="187">
        <v>9908</v>
      </c>
      <c r="AB14" s="83">
        <f>'Grad-24Hours'!P13</f>
        <v>10840</v>
      </c>
      <c r="AC14" s="88">
        <f t="shared" si="10"/>
        <v>932</v>
      </c>
      <c r="AD14" s="101">
        <f t="shared" si="11"/>
        <v>9.4065401695599515E-2</v>
      </c>
    </row>
    <row r="15" spans="1:30" ht="16.5">
      <c r="A15" s="104" t="s">
        <v>181</v>
      </c>
      <c r="B15" s="224" t="s">
        <v>114</v>
      </c>
      <c r="C15" s="258" t="s">
        <v>114</v>
      </c>
      <c r="D15" s="225" t="s">
        <v>114</v>
      </c>
      <c r="E15" s="260" t="s">
        <v>114</v>
      </c>
      <c r="F15" s="259"/>
      <c r="G15" s="224" t="s">
        <v>114</v>
      </c>
      <c r="H15" s="258" t="s">
        <v>114</v>
      </c>
      <c r="I15" s="225" t="s">
        <v>114</v>
      </c>
      <c r="J15" s="221" t="s">
        <v>114</v>
      </c>
      <c r="K15" s="51"/>
      <c r="L15" s="185">
        <v>10729</v>
      </c>
      <c r="M15" s="83">
        <f>'Grad-20Hours'!B14</f>
        <v>10729</v>
      </c>
      <c r="N15" s="88">
        <f t="shared" si="4"/>
        <v>0</v>
      </c>
      <c r="O15" s="85">
        <f t="shared" si="5"/>
        <v>0</v>
      </c>
      <c r="P15" s="47"/>
      <c r="Q15" s="187">
        <v>24284</v>
      </c>
      <c r="R15" s="83">
        <f>'Grad-20Hours'!P14</f>
        <v>25564</v>
      </c>
      <c r="S15" s="88">
        <f t="shared" si="6"/>
        <v>1280</v>
      </c>
      <c r="T15" s="85">
        <f t="shared" si="7"/>
        <v>5.2709603030802174E-2</v>
      </c>
      <c r="U15" s="51"/>
      <c r="V15" s="185">
        <v>10729</v>
      </c>
      <c r="W15" s="83">
        <f>'Grad-24Hours'!B14</f>
        <v>10729</v>
      </c>
      <c r="X15" s="88">
        <f t="shared" si="8"/>
        <v>0</v>
      </c>
      <c r="Y15" s="85">
        <f t="shared" si="9"/>
        <v>0</v>
      </c>
      <c r="Z15" s="47"/>
      <c r="AA15" s="187">
        <v>24673</v>
      </c>
      <c r="AB15" s="83">
        <f>'Grad-24Hours'!P14</f>
        <v>25984</v>
      </c>
      <c r="AC15" s="88">
        <f t="shared" si="10"/>
        <v>1311</v>
      </c>
      <c r="AD15" s="101">
        <f t="shared" si="11"/>
        <v>5.3135005876869451E-2</v>
      </c>
    </row>
    <row r="16" spans="1:30">
      <c r="A16" s="104" t="s">
        <v>122</v>
      </c>
      <c r="B16" s="185">
        <v>6489</v>
      </c>
      <c r="C16" s="89">
        <f>'Grad-18Hours'!B14</f>
        <v>6489</v>
      </c>
      <c r="D16" s="88">
        <f t="shared" si="0"/>
        <v>0</v>
      </c>
      <c r="E16" s="85">
        <f t="shared" si="1"/>
        <v>0</v>
      </c>
      <c r="F16" s="47"/>
      <c r="G16" s="185">
        <v>10899</v>
      </c>
      <c r="H16" s="89">
        <f>'Grad-18Hours'!P14</f>
        <v>11791</v>
      </c>
      <c r="I16" s="88">
        <f t="shared" si="2"/>
        <v>892</v>
      </c>
      <c r="J16" s="85">
        <f t="shared" si="3"/>
        <v>8.1842370859711897E-2</v>
      </c>
      <c r="K16" s="51"/>
      <c r="L16" s="185">
        <v>6489</v>
      </c>
      <c r="M16" s="83">
        <f>'Grad-20Hours'!B15</f>
        <v>6489</v>
      </c>
      <c r="N16" s="88">
        <f t="shared" si="4"/>
        <v>0</v>
      </c>
      <c r="O16" s="85">
        <f t="shared" si="5"/>
        <v>0</v>
      </c>
      <c r="P16" s="47"/>
      <c r="Q16" s="187">
        <v>11069</v>
      </c>
      <c r="R16" s="83">
        <f>'Grad-20Hours'!P15</f>
        <v>11974</v>
      </c>
      <c r="S16" s="88">
        <f t="shared" si="6"/>
        <v>905</v>
      </c>
      <c r="T16" s="85">
        <f t="shared" si="7"/>
        <v>8.1759869906947336E-2</v>
      </c>
      <c r="U16" s="51"/>
      <c r="V16" s="185">
        <v>6489</v>
      </c>
      <c r="W16" s="83">
        <f>'Grad-24Hours'!B15</f>
        <v>6489</v>
      </c>
      <c r="X16" s="88">
        <f t="shared" si="8"/>
        <v>0</v>
      </c>
      <c r="Y16" s="85">
        <f t="shared" si="9"/>
        <v>0</v>
      </c>
      <c r="Z16" s="47"/>
      <c r="AA16" s="187">
        <v>11408</v>
      </c>
      <c r="AB16" s="83">
        <f>'Grad-24Hours'!P15</f>
        <v>12340</v>
      </c>
      <c r="AC16" s="88">
        <f t="shared" si="10"/>
        <v>932</v>
      </c>
      <c r="AD16" s="101">
        <f t="shared" si="11"/>
        <v>8.1697054698457228E-2</v>
      </c>
    </row>
    <row r="17" spans="1:35" s="192" customFormat="1" ht="29">
      <c r="A17" s="202" t="s">
        <v>233</v>
      </c>
      <c r="B17" s="146">
        <v>6489</v>
      </c>
      <c r="C17" s="146">
        <f>'Grad-18Hours'!B15</f>
        <v>6489</v>
      </c>
      <c r="D17" s="88">
        <f t="shared" ref="D17" si="12">C17-B17</f>
        <v>0</v>
      </c>
      <c r="E17" s="85">
        <f t="shared" ref="E17" si="13">D17/B17</f>
        <v>0</v>
      </c>
      <c r="F17" s="143"/>
      <c r="G17" s="146">
        <v>17399</v>
      </c>
      <c r="H17" s="146">
        <f>'Grad-18Hours'!P15</f>
        <v>18291</v>
      </c>
      <c r="I17" s="88">
        <f t="shared" ref="I17" si="14">H17-G17</f>
        <v>892</v>
      </c>
      <c r="J17" s="85">
        <f t="shared" ref="J17" si="15">I17/G17</f>
        <v>5.1267314213460542E-2</v>
      </c>
      <c r="K17" s="147"/>
      <c r="L17" s="146">
        <v>6489</v>
      </c>
      <c r="M17" s="142">
        <f>'Grad-20Hours'!B16</f>
        <v>6489</v>
      </c>
      <c r="N17" s="88">
        <f t="shared" ref="N17" si="16">M17-L17</f>
        <v>0</v>
      </c>
      <c r="O17" s="85">
        <f t="shared" ref="O17" si="17">N17/L17</f>
        <v>0</v>
      </c>
      <c r="P17" s="143"/>
      <c r="Q17" s="142">
        <v>17569</v>
      </c>
      <c r="R17" s="142">
        <f>'Grad-20Hours'!P16</f>
        <v>18474</v>
      </c>
      <c r="S17" s="88">
        <f t="shared" ref="S17" si="18">R17-Q17</f>
        <v>905</v>
      </c>
      <c r="T17" s="85">
        <f t="shared" ref="T17" si="19">S17/Q17</f>
        <v>5.1511184472650691E-2</v>
      </c>
      <c r="U17" s="147"/>
      <c r="V17" s="185">
        <v>6489</v>
      </c>
      <c r="W17" s="142">
        <f>'Grad-24Hours'!B16</f>
        <v>6489</v>
      </c>
      <c r="X17" s="88">
        <f t="shared" ref="X17" si="20">W17-V17</f>
        <v>0</v>
      </c>
      <c r="Y17" s="85">
        <f t="shared" ref="Y17" si="21">X17/V17</f>
        <v>0</v>
      </c>
      <c r="Z17" s="143"/>
      <c r="AA17" s="187">
        <v>17908</v>
      </c>
      <c r="AB17" s="142">
        <f>'Grad-24Hours'!P16</f>
        <v>18840</v>
      </c>
      <c r="AC17" s="88">
        <f t="shared" ref="AC17" si="22">AB17-AA17</f>
        <v>932</v>
      </c>
      <c r="AD17" s="101">
        <f t="shared" ref="AD17" si="23">AC17/AA17</f>
        <v>5.204377931650659E-2</v>
      </c>
    </row>
    <row r="18" spans="1:35" ht="15" thickBot="1">
      <c r="A18" s="105" t="s">
        <v>26</v>
      </c>
      <c r="B18" s="185">
        <v>6090.38</v>
      </c>
      <c r="C18" s="90">
        <f>'Grad-18Hours'!B16</f>
        <v>6090.38</v>
      </c>
      <c r="D18" s="88">
        <f t="shared" si="0"/>
        <v>0</v>
      </c>
      <c r="E18" s="85">
        <f t="shared" si="1"/>
        <v>0</v>
      </c>
      <c r="F18" s="98"/>
      <c r="G18" s="185">
        <v>9108</v>
      </c>
      <c r="H18" s="90">
        <f>'Grad-18Hours'!P16</f>
        <v>9333</v>
      </c>
      <c r="I18" s="88">
        <f t="shared" si="2"/>
        <v>225</v>
      </c>
      <c r="J18" s="85">
        <f t="shared" si="3"/>
        <v>2.4703557312252964E-2</v>
      </c>
      <c r="K18" s="51"/>
      <c r="L18" s="185">
        <v>6090.38</v>
      </c>
      <c r="M18" s="95">
        <f>'Grad-20Hours'!B17</f>
        <v>6090.38</v>
      </c>
      <c r="N18" s="88">
        <f t="shared" si="4"/>
        <v>0</v>
      </c>
      <c r="O18" s="85">
        <f t="shared" si="5"/>
        <v>0</v>
      </c>
      <c r="P18" s="98"/>
      <c r="Q18" s="187">
        <v>9288</v>
      </c>
      <c r="R18" s="95">
        <f>'Grad-20Hours'!P17</f>
        <v>9538</v>
      </c>
      <c r="S18" s="88">
        <f t="shared" si="6"/>
        <v>250</v>
      </c>
      <c r="T18" s="85">
        <f t="shared" si="7"/>
        <v>2.6916451335055987E-2</v>
      </c>
      <c r="U18" s="51"/>
      <c r="V18" s="185">
        <v>6090.38</v>
      </c>
      <c r="W18" s="95">
        <f>'Grad-24Hours'!B17</f>
        <v>6090.38</v>
      </c>
      <c r="X18" s="88">
        <f t="shared" si="8"/>
        <v>0</v>
      </c>
      <c r="Y18" s="85">
        <f t="shared" si="9"/>
        <v>0</v>
      </c>
      <c r="Z18" s="98"/>
      <c r="AA18" s="187">
        <v>9648</v>
      </c>
      <c r="AB18" s="95">
        <f>'Grad-24Hours'!P17</f>
        <v>9948</v>
      </c>
      <c r="AC18" s="88">
        <f t="shared" si="10"/>
        <v>300</v>
      </c>
      <c r="AD18" s="101">
        <f t="shared" si="11"/>
        <v>3.109452736318408E-2</v>
      </c>
    </row>
    <row r="19" spans="1:35">
      <c r="A19" s="108" t="s">
        <v>21</v>
      </c>
      <c r="B19" s="174"/>
      <c r="C19" s="53"/>
      <c r="D19" s="53"/>
      <c r="E19" s="53"/>
      <c r="F19" s="99"/>
      <c r="G19" s="174"/>
      <c r="H19" s="53"/>
      <c r="I19" s="53"/>
      <c r="J19" s="53"/>
      <c r="K19" s="100"/>
      <c r="L19" s="174"/>
      <c r="M19" s="53"/>
      <c r="N19" s="53"/>
      <c r="O19" s="53"/>
      <c r="P19" s="99"/>
      <c r="Q19" s="174"/>
      <c r="R19" s="53"/>
      <c r="S19" s="53"/>
      <c r="T19" s="53"/>
      <c r="U19" s="100"/>
      <c r="V19" s="174"/>
      <c r="W19" s="53"/>
      <c r="X19" s="53"/>
      <c r="Y19" s="53"/>
      <c r="Z19" s="99"/>
      <c r="AA19" s="174"/>
      <c r="AB19" s="53"/>
      <c r="AC19" s="53"/>
      <c r="AD19" s="54"/>
    </row>
    <row r="20" spans="1:35">
      <c r="A20" s="104" t="s">
        <v>219</v>
      </c>
      <c r="B20" s="261">
        <v>8727.85</v>
      </c>
      <c r="C20" s="93">
        <f>'Grad-18Hours'!B18</f>
        <v>8727.85</v>
      </c>
      <c r="D20" s="88">
        <f t="shared" si="0"/>
        <v>0</v>
      </c>
      <c r="E20" s="85">
        <f t="shared" si="1"/>
        <v>0</v>
      </c>
      <c r="F20" s="97"/>
      <c r="G20" s="186">
        <v>12533</v>
      </c>
      <c r="H20" s="94">
        <f>'Grad-18Hours'!P18</f>
        <v>12774.2</v>
      </c>
      <c r="I20" s="88">
        <f t="shared" si="2"/>
        <v>241.20000000000073</v>
      </c>
      <c r="J20" s="85">
        <f t="shared" si="3"/>
        <v>1.924519269129504E-2</v>
      </c>
      <c r="K20" s="51"/>
      <c r="L20" s="184">
        <v>8861.85</v>
      </c>
      <c r="M20" s="94">
        <f>'Grad-20Hours'!B19</f>
        <v>8861.85</v>
      </c>
      <c r="N20" s="88">
        <f t="shared" si="4"/>
        <v>0</v>
      </c>
      <c r="O20" s="85">
        <f t="shared" si="5"/>
        <v>0</v>
      </c>
      <c r="P20" s="97"/>
      <c r="Q20" s="186">
        <v>12697</v>
      </c>
      <c r="R20" s="94">
        <f>'Grad-20Hours'!P19</f>
        <v>12965</v>
      </c>
      <c r="S20" s="88">
        <f t="shared" si="6"/>
        <v>268</v>
      </c>
      <c r="T20" s="85">
        <f t="shared" si="7"/>
        <v>2.1107348192486414E-2</v>
      </c>
      <c r="U20" s="51"/>
      <c r="V20" s="184">
        <v>9131.85</v>
      </c>
      <c r="W20" s="94">
        <f>'Grad-24Hours'!B19</f>
        <v>9131.85</v>
      </c>
      <c r="X20" s="88">
        <f t="shared" si="8"/>
        <v>0</v>
      </c>
      <c r="Y20" s="85">
        <f t="shared" si="9"/>
        <v>0</v>
      </c>
      <c r="Z20" s="97"/>
      <c r="AA20" s="186">
        <v>13027</v>
      </c>
      <c r="AB20" s="94">
        <f>'Grad-24Hours'!P19</f>
        <v>13348.6</v>
      </c>
      <c r="AC20" s="88">
        <f t="shared" si="10"/>
        <v>321.60000000000036</v>
      </c>
      <c r="AD20" s="101">
        <f t="shared" si="11"/>
        <v>2.468718814769328E-2</v>
      </c>
    </row>
    <row r="21" spans="1:35" ht="31">
      <c r="A21" s="106" t="s">
        <v>439</v>
      </c>
      <c r="B21" s="185">
        <v>8727.85</v>
      </c>
      <c r="C21" s="89">
        <f>'Grad-18Hours'!B19</f>
        <v>8888.9500000000007</v>
      </c>
      <c r="D21" s="88">
        <f t="shared" ref="D21" si="24">C21-B21</f>
        <v>161.10000000000036</v>
      </c>
      <c r="E21" s="85">
        <f t="shared" ref="E21" si="25">D21/B21</f>
        <v>1.8458154070017285E-2</v>
      </c>
      <c r="F21" s="47"/>
      <c r="G21" s="187">
        <v>12533</v>
      </c>
      <c r="H21" s="83">
        <f>'Grad-18Hours'!P19</f>
        <v>12935.300000000001</v>
      </c>
      <c r="I21" s="88">
        <f t="shared" ref="I21" si="26">H21-G21</f>
        <v>402.30000000000109</v>
      </c>
      <c r="J21" s="85">
        <f t="shared" ref="J21" si="27">I21/G21</f>
        <v>3.209925795898836E-2</v>
      </c>
      <c r="K21" s="51"/>
      <c r="L21" s="185">
        <v>8861.85</v>
      </c>
      <c r="M21" s="83">
        <f>'Grad-20Hours'!B20</f>
        <v>9040.85</v>
      </c>
      <c r="N21" s="88">
        <f t="shared" ref="N21" si="28">M21-L21</f>
        <v>179</v>
      </c>
      <c r="O21" s="85">
        <f t="shared" ref="O21" si="29">N21/L21</f>
        <v>2.0198942658699932E-2</v>
      </c>
      <c r="P21" s="47"/>
      <c r="Q21" s="187">
        <v>12697</v>
      </c>
      <c r="R21" s="83">
        <f>'Grad-20Hours'!P20</f>
        <v>13144</v>
      </c>
      <c r="S21" s="88">
        <f t="shared" ref="S21" si="30">R21-Q21</f>
        <v>447</v>
      </c>
      <c r="T21" s="85">
        <f t="shared" ref="T21" si="31">S21/Q21</f>
        <v>3.5205166574781448E-2</v>
      </c>
      <c r="U21" s="51"/>
      <c r="V21" s="185">
        <v>9131.85</v>
      </c>
      <c r="W21" s="83">
        <f>'Grad-24Hours'!B20</f>
        <v>9346.65</v>
      </c>
      <c r="X21" s="88">
        <f t="shared" ref="X21" si="32">W21-V21</f>
        <v>214.79999999999927</v>
      </c>
      <c r="Y21" s="85">
        <f t="shared" ref="Y21" si="33">X21/V21</f>
        <v>2.3522068365117613E-2</v>
      </c>
      <c r="Z21" s="47"/>
      <c r="AA21" s="187">
        <v>13027</v>
      </c>
      <c r="AB21" s="83">
        <f>'Grad-24Hours'!P20</f>
        <v>13563.4</v>
      </c>
      <c r="AC21" s="88">
        <f t="shared" ref="AC21" si="34">AB21-AA21</f>
        <v>536.39999999999964</v>
      </c>
      <c r="AD21" s="101">
        <f t="shared" ref="AD21" si="35">AC21/AA21</f>
        <v>4.1176019037383868E-2</v>
      </c>
    </row>
    <row r="22" spans="1:35">
      <c r="A22" s="104" t="s">
        <v>47</v>
      </c>
      <c r="B22" s="224" t="s">
        <v>114</v>
      </c>
      <c r="C22" s="258" t="s">
        <v>114</v>
      </c>
      <c r="D22" s="225" t="s">
        <v>114</v>
      </c>
      <c r="E22" s="221" t="s">
        <v>114</v>
      </c>
      <c r="F22" s="259"/>
      <c r="G22" s="226" t="s">
        <v>114</v>
      </c>
      <c r="H22" s="220" t="s">
        <v>114</v>
      </c>
      <c r="I22" s="225" t="s">
        <v>114</v>
      </c>
      <c r="J22" s="221" t="s">
        <v>114</v>
      </c>
      <c r="K22" s="51"/>
      <c r="L22" s="185">
        <v>24127.85</v>
      </c>
      <c r="M22" s="83">
        <f>'Grad-20Hours'!B21</f>
        <v>25497.85</v>
      </c>
      <c r="N22" s="88">
        <f t="shared" si="4"/>
        <v>1370</v>
      </c>
      <c r="O22" s="85">
        <f t="shared" si="5"/>
        <v>5.6780856976481539E-2</v>
      </c>
      <c r="P22" s="47"/>
      <c r="Q22" s="187">
        <v>27371</v>
      </c>
      <c r="R22" s="83">
        <f>'Grad-20Hours'!P21</f>
        <v>28741</v>
      </c>
      <c r="S22" s="88">
        <f t="shared" si="6"/>
        <v>1370</v>
      </c>
      <c r="T22" s="85">
        <f t="shared" si="7"/>
        <v>5.0052975777282523E-2</v>
      </c>
      <c r="U22" s="51"/>
      <c r="V22" s="185">
        <v>24127.85</v>
      </c>
      <c r="W22" s="83">
        <f>'Grad-24Hours'!B21</f>
        <v>25497.85</v>
      </c>
      <c r="X22" s="88">
        <f t="shared" si="8"/>
        <v>1370</v>
      </c>
      <c r="Y22" s="85">
        <f t="shared" si="9"/>
        <v>5.6780856976481539E-2</v>
      </c>
      <c r="Z22" s="47"/>
      <c r="AA22" s="187">
        <v>27391</v>
      </c>
      <c r="AB22" s="83">
        <f>'Grad-24Hours'!P21</f>
        <v>28761</v>
      </c>
      <c r="AC22" s="88">
        <f t="shared" si="10"/>
        <v>1370</v>
      </c>
      <c r="AD22" s="101">
        <f t="shared" si="11"/>
        <v>5.0016428753970284E-2</v>
      </c>
    </row>
    <row r="23" spans="1:35">
      <c r="A23" s="104" t="s">
        <v>128</v>
      </c>
      <c r="B23" s="185">
        <v>14813</v>
      </c>
      <c r="C23" s="89">
        <f>'Grad-18Hours'!B21</f>
        <v>15676.5</v>
      </c>
      <c r="D23" s="88">
        <f t="shared" si="0"/>
        <v>863.5</v>
      </c>
      <c r="E23" s="85">
        <f t="shared" si="1"/>
        <v>5.8293390940390197E-2</v>
      </c>
      <c r="F23" s="47"/>
      <c r="G23" s="187">
        <v>17107</v>
      </c>
      <c r="H23" s="83">
        <f>'Grad-18Hours'!P21</f>
        <v>17969.5</v>
      </c>
      <c r="I23" s="88">
        <f t="shared" si="2"/>
        <v>862.5</v>
      </c>
      <c r="J23" s="85">
        <f t="shared" si="3"/>
        <v>5.0417957561232248E-2</v>
      </c>
      <c r="K23" s="51"/>
      <c r="L23" s="185">
        <v>16458</v>
      </c>
      <c r="M23" s="83">
        <f>'Grad-20Hours'!B22</f>
        <v>17418.34</v>
      </c>
      <c r="N23" s="88">
        <f t="shared" si="4"/>
        <v>960.34000000000015</v>
      </c>
      <c r="O23" s="85">
        <f t="shared" si="5"/>
        <v>5.8350953943371017E-2</v>
      </c>
      <c r="P23" s="47"/>
      <c r="Q23" s="187">
        <v>19001</v>
      </c>
      <c r="R23" s="83">
        <f>'Grad-20Hours'!P22</f>
        <v>19961.68</v>
      </c>
      <c r="S23" s="88">
        <f t="shared" si="6"/>
        <v>960.68000000000029</v>
      </c>
      <c r="T23" s="85">
        <f t="shared" si="7"/>
        <v>5.0559444239776867E-2</v>
      </c>
      <c r="U23" s="51"/>
      <c r="V23" s="185">
        <v>19750</v>
      </c>
      <c r="W23" s="83">
        <f>'Grad-24Hours'!B22</f>
        <v>20902</v>
      </c>
      <c r="X23" s="88">
        <f t="shared" si="8"/>
        <v>1152</v>
      </c>
      <c r="Y23" s="85">
        <f t="shared" si="9"/>
        <v>5.832911392405063E-2</v>
      </c>
      <c r="Z23" s="47"/>
      <c r="AA23" s="187">
        <v>23665</v>
      </c>
      <c r="AB23" s="83">
        <f>'Grad-24Hours'!P22</f>
        <v>24816.9</v>
      </c>
      <c r="AC23" s="88">
        <f t="shared" si="10"/>
        <v>1151.9000000000015</v>
      </c>
      <c r="AD23" s="101">
        <f t="shared" si="11"/>
        <v>4.8675258821043794E-2</v>
      </c>
    </row>
    <row r="24" spans="1:35">
      <c r="A24" s="104" t="s">
        <v>24</v>
      </c>
      <c r="B24" s="185">
        <v>6195.9600000000009</v>
      </c>
      <c r="C24" s="89">
        <f>'Grad-18Hours'!B22</f>
        <v>6195.9600000000009</v>
      </c>
      <c r="D24" s="88">
        <f t="shared" si="0"/>
        <v>0</v>
      </c>
      <c r="E24" s="85">
        <f t="shared" si="1"/>
        <v>0</v>
      </c>
      <c r="F24" s="47"/>
      <c r="G24" s="187">
        <v>7348.68</v>
      </c>
      <c r="H24" s="83">
        <f>'Grad-18Hours'!P22</f>
        <v>7438.68</v>
      </c>
      <c r="I24" s="88">
        <f t="shared" si="2"/>
        <v>90</v>
      </c>
      <c r="J24" s="85">
        <f t="shared" si="3"/>
        <v>1.2247097437907216E-2</v>
      </c>
      <c r="K24" s="51"/>
      <c r="L24" s="185">
        <v>6195.9600000000009</v>
      </c>
      <c r="M24" s="83">
        <f>'Grad-20Hours'!B23</f>
        <v>6195.9600000000009</v>
      </c>
      <c r="N24" s="88">
        <f t="shared" si="4"/>
        <v>0</v>
      </c>
      <c r="O24" s="85">
        <f t="shared" si="5"/>
        <v>0</v>
      </c>
      <c r="P24" s="47"/>
      <c r="Q24" s="187">
        <v>7370.68</v>
      </c>
      <c r="R24" s="83">
        <f>'Grad-20Hours'!P23</f>
        <v>7470.68</v>
      </c>
      <c r="S24" s="88">
        <f t="shared" si="6"/>
        <v>100</v>
      </c>
      <c r="T24" s="85">
        <f t="shared" si="7"/>
        <v>1.3567269234317593E-2</v>
      </c>
      <c r="U24" s="51"/>
      <c r="V24" s="185">
        <v>6195.9600000000009</v>
      </c>
      <c r="W24" s="83">
        <f>'Grad-24Hours'!B23</f>
        <v>6195.9600000000009</v>
      </c>
      <c r="X24" s="88">
        <f t="shared" si="8"/>
        <v>0</v>
      </c>
      <c r="Y24" s="85">
        <f t="shared" si="9"/>
        <v>0</v>
      </c>
      <c r="Z24" s="47"/>
      <c r="AA24" s="187">
        <v>7414.68</v>
      </c>
      <c r="AB24" s="83">
        <f>'Grad-24Hours'!P23</f>
        <v>7534.68</v>
      </c>
      <c r="AC24" s="88">
        <f t="shared" si="10"/>
        <v>120</v>
      </c>
      <c r="AD24" s="101">
        <f t="shared" si="11"/>
        <v>1.6184110440369645E-2</v>
      </c>
    </row>
    <row r="25" spans="1:35">
      <c r="A25" s="104" t="s">
        <v>27</v>
      </c>
      <c r="B25" s="185">
        <v>9335</v>
      </c>
      <c r="C25" s="89">
        <f>'Grad-18Hours'!B23</f>
        <v>9335</v>
      </c>
      <c r="D25" s="88">
        <f t="shared" si="0"/>
        <v>0</v>
      </c>
      <c r="E25" s="85">
        <f t="shared" si="1"/>
        <v>0</v>
      </c>
      <c r="F25" s="47"/>
      <c r="G25" s="187">
        <v>10327</v>
      </c>
      <c r="H25" s="83">
        <f>'Grad-18Hours'!P23</f>
        <v>10327</v>
      </c>
      <c r="I25" s="88">
        <f t="shared" si="2"/>
        <v>0</v>
      </c>
      <c r="J25" s="85">
        <f t="shared" si="3"/>
        <v>0</v>
      </c>
      <c r="K25" s="51"/>
      <c r="L25" s="185">
        <v>9335</v>
      </c>
      <c r="M25" s="83">
        <f>'Grad-20Hours'!B24</f>
        <v>9335</v>
      </c>
      <c r="N25" s="88">
        <f t="shared" si="4"/>
        <v>0</v>
      </c>
      <c r="O25" s="85">
        <f t="shared" si="5"/>
        <v>0</v>
      </c>
      <c r="P25" s="47"/>
      <c r="Q25" s="187">
        <v>10327</v>
      </c>
      <c r="R25" s="83">
        <f>'Grad-20Hours'!P24</f>
        <v>10327</v>
      </c>
      <c r="S25" s="88">
        <f t="shared" si="6"/>
        <v>0</v>
      </c>
      <c r="T25" s="85">
        <f t="shared" si="7"/>
        <v>0</v>
      </c>
      <c r="U25" s="51"/>
      <c r="V25" s="185">
        <v>9335</v>
      </c>
      <c r="W25" s="83">
        <f>'Grad-24Hours'!B24</f>
        <v>9335</v>
      </c>
      <c r="X25" s="88">
        <f t="shared" si="8"/>
        <v>0</v>
      </c>
      <c r="Y25" s="85">
        <f t="shared" si="9"/>
        <v>0</v>
      </c>
      <c r="Z25" s="47"/>
      <c r="AA25" s="187">
        <v>10327</v>
      </c>
      <c r="AB25" s="83">
        <f>'Grad-24Hours'!P24</f>
        <v>10327</v>
      </c>
      <c r="AC25" s="88">
        <f t="shared" si="10"/>
        <v>0</v>
      </c>
      <c r="AD25" s="101">
        <f t="shared" si="11"/>
        <v>0</v>
      </c>
    </row>
    <row r="26" spans="1:35" s="137" customFormat="1">
      <c r="A26" s="145" t="s">
        <v>135</v>
      </c>
      <c r="B26" s="185">
        <v>9335</v>
      </c>
      <c r="C26" s="89">
        <f>'Grad-18Hours'!B24</f>
        <v>9335</v>
      </c>
      <c r="D26" s="88">
        <f t="shared" ref="D26" si="36">C26-B26</f>
        <v>0</v>
      </c>
      <c r="E26" s="85">
        <f t="shared" ref="E26" si="37">D26/B26</f>
        <v>0</v>
      </c>
      <c r="F26" s="143"/>
      <c r="G26" s="187">
        <v>13237</v>
      </c>
      <c r="H26" s="83">
        <f>'Grad-18Hours'!P24</f>
        <v>13237</v>
      </c>
      <c r="I26" s="88">
        <f t="shared" ref="I26" si="38">H26-G26</f>
        <v>0</v>
      </c>
      <c r="J26" s="85">
        <f t="shared" ref="J26" si="39">I26/G26</f>
        <v>0</v>
      </c>
      <c r="K26" s="147"/>
      <c r="L26" s="185">
        <v>9335</v>
      </c>
      <c r="M26" s="83">
        <f>'Grad-20Hours'!B25</f>
        <v>9335</v>
      </c>
      <c r="N26" s="88">
        <f t="shared" ref="N26" si="40">M26-L26</f>
        <v>0</v>
      </c>
      <c r="O26" s="85">
        <f t="shared" ref="O26" si="41">N26/L26</f>
        <v>0</v>
      </c>
      <c r="P26" s="143"/>
      <c r="Q26" s="187">
        <v>13237</v>
      </c>
      <c r="R26" s="83">
        <f>'Grad-20Hours'!P25</f>
        <v>13237</v>
      </c>
      <c r="S26" s="88">
        <f t="shared" ref="S26" si="42">R26-Q26</f>
        <v>0</v>
      </c>
      <c r="T26" s="85">
        <f t="shared" ref="T26" si="43">S26/Q26</f>
        <v>0</v>
      </c>
      <c r="U26" s="147"/>
      <c r="V26" s="185">
        <v>9335</v>
      </c>
      <c r="W26" s="83">
        <f>'Grad-24Hours'!B25</f>
        <v>9335</v>
      </c>
      <c r="X26" s="88">
        <f t="shared" ref="X26" si="44">W26-V26</f>
        <v>0</v>
      </c>
      <c r="Y26" s="85">
        <f t="shared" ref="Y26" si="45">X26/V26</f>
        <v>0</v>
      </c>
      <c r="Z26" s="143"/>
      <c r="AA26" s="187">
        <v>13237</v>
      </c>
      <c r="AB26" s="83">
        <f>'Grad-24Hours'!P25</f>
        <v>13237</v>
      </c>
      <c r="AC26" s="88">
        <f t="shared" ref="AC26" si="46">AB26-AA26</f>
        <v>0</v>
      </c>
      <c r="AD26" s="101">
        <f t="shared" ref="AD26" si="47">AC26/AA26</f>
        <v>0</v>
      </c>
    </row>
    <row r="27" spans="1:35">
      <c r="A27" s="104" t="s">
        <v>28</v>
      </c>
      <c r="B27" s="185">
        <v>7168</v>
      </c>
      <c r="C27" s="89">
        <f>'Grad-18Hours'!B25</f>
        <v>7168.4</v>
      </c>
      <c r="D27" s="88">
        <f t="shared" si="0"/>
        <v>0.3999999999996362</v>
      </c>
      <c r="E27" s="85">
        <f t="shared" si="1"/>
        <v>5.5803571428520673E-5</v>
      </c>
      <c r="F27" s="47"/>
      <c r="G27" s="187">
        <v>10558</v>
      </c>
      <c r="H27" s="83">
        <f>'Grad-18Hours'!P25</f>
        <v>10558.4</v>
      </c>
      <c r="I27" s="88">
        <f t="shared" si="2"/>
        <v>0.3999999999996362</v>
      </c>
      <c r="J27" s="85">
        <f t="shared" si="3"/>
        <v>3.7885963250581187E-5</v>
      </c>
      <c r="K27" s="51"/>
      <c r="L27" s="185">
        <v>7168</v>
      </c>
      <c r="M27" s="83">
        <f>'Grad-20Hours'!B26</f>
        <v>7168.4</v>
      </c>
      <c r="N27" s="88">
        <f t="shared" si="4"/>
        <v>0.3999999999996362</v>
      </c>
      <c r="O27" s="85">
        <f t="shared" si="5"/>
        <v>5.5803571428520673E-5</v>
      </c>
      <c r="P27" s="47"/>
      <c r="Q27" s="187">
        <v>10558</v>
      </c>
      <c r="R27" s="83">
        <f>'Grad-20Hours'!P26</f>
        <v>10558.4</v>
      </c>
      <c r="S27" s="88">
        <f t="shared" si="6"/>
        <v>0.3999999999996362</v>
      </c>
      <c r="T27" s="85">
        <f t="shared" si="7"/>
        <v>3.7885963250581187E-5</v>
      </c>
      <c r="U27" s="51"/>
      <c r="V27" s="185">
        <v>7168</v>
      </c>
      <c r="W27" s="83">
        <f>'Grad-24Hours'!B26</f>
        <v>7168.4</v>
      </c>
      <c r="X27" s="88">
        <f t="shared" si="8"/>
        <v>0.3999999999996362</v>
      </c>
      <c r="Y27" s="85">
        <f t="shared" si="9"/>
        <v>5.5803571428520673E-5</v>
      </c>
      <c r="Z27" s="47"/>
      <c r="AA27" s="187">
        <v>10558</v>
      </c>
      <c r="AB27" s="83">
        <f>'Grad-24Hours'!P26</f>
        <v>10558.4</v>
      </c>
      <c r="AC27" s="88">
        <f t="shared" si="10"/>
        <v>0.3999999999996362</v>
      </c>
      <c r="AD27" s="101">
        <f t="shared" si="11"/>
        <v>3.7885963250581187E-5</v>
      </c>
    </row>
    <row r="28" spans="1:35" s="137" customFormat="1">
      <c r="A28" s="145" t="s">
        <v>179</v>
      </c>
      <c r="B28" s="185">
        <v>16423</v>
      </c>
      <c r="C28" s="146">
        <f>'Grad-18Hours'!B26</f>
        <v>16423.2</v>
      </c>
      <c r="D28" s="88">
        <f t="shared" ref="D28" si="48">C28-B28</f>
        <v>0.2000000000007276</v>
      </c>
      <c r="E28" s="86">
        <f t="shared" ref="E28" si="49">D28/B28</f>
        <v>1.2178042988536053E-5</v>
      </c>
      <c r="F28" s="47"/>
      <c r="G28" s="187">
        <v>24710.2</v>
      </c>
      <c r="H28" s="142">
        <f>'Grad-24Hours'!P27</f>
        <v>24710.2</v>
      </c>
      <c r="I28" s="88">
        <f t="shared" ref="I28" si="50">H28-G28</f>
        <v>0</v>
      </c>
      <c r="J28" s="86">
        <f t="shared" ref="J28" si="51">I28/G28</f>
        <v>0</v>
      </c>
      <c r="K28" s="51"/>
      <c r="L28" s="185">
        <v>16423</v>
      </c>
      <c r="M28" s="142">
        <f>'Grad-20Hours'!B27</f>
        <v>16423.2</v>
      </c>
      <c r="N28" s="88">
        <f t="shared" ref="N28" si="52">M28-L28</f>
        <v>0.2000000000007276</v>
      </c>
      <c r="O28" s="86">
        <f t="shared" ref="O28" si="53">N28/L28</f>
        <v>1.2178042988536053E-5</v>
      </c>
      <c r="P28" s="47"/>
      <c r="Q28" s="187">
        <v>24710.2</v>
      </c>
      <c r="R28" s="142">
        <f>'Grad-20Hours'!P27</f>
        <v>24710.2</v>
      </c>
      <c r="S28" s="88">
        <f t="shared" ref="S28" si="54">R28-Q28</f>
        <v>0</v>
      </c>
      <c r="T28" s="86">
        <f t="shared" ref="T28" si="55">S28/Q28</f>
        <v>0</v>
      </c>
      <c r="U28" s="51"/>
      <c r="V28" s="185">
        <v>16423</v>
      </c>
      <c r="W28" s="142">
        <f>'Grad-24Hours'!B27</f>
        <v>16423.2</v>
      </c>
      <c r="X28" s="88">
        <f t="shared" ref="X28" si="56">W28-V28</f>
        <v>0.2000000000007276</v>
      </c>
      <c r="Y28" s="86">
        <f t="shared" ref="Y28" si="57">X28/V28</f>
        <v>1.2178042988536053E-5</v>
      </c>
      <c r="Z28" s="47"/>
      <c r="AA28" s="187">
        <v>24710.2</v>
      </c>
      <c r="AB28" s="142">
        <f>'Grad-24Hours'!P27</f>
        <v>24710.2</v>
      </c>
      <c r="AC28" s="88">
        <f t="shared" ref="AC28" si="58">AB28-AA28</f>
        <v>0</v>
      </c>
      <c r="AD28" s="167">
        <f t="shared" ref="AD28" si="59">AC28/AA28</f>
        <v>0</v>
      </c>
      <c r="AI28" s="166"/>
    </row>
    <row r="29" spans="1:35">
      <c r="A29" s="104" t="s">
        <v>62</v>
      </c>
      <c r="B29" s="185">
        <v>16423</v>
      </c>
      <c r="C29" s="89">
        <f>'Grad-18Hours'!B27</f>
        <v>16423.2</v>
      </c>
      <c r="D29" s="88">
        <f t="shared" si="0"/>
        <v>0.2000000000007276</v>
      </c>
      <c r="E29" s="85">
        <f t="shared" si="1"/>
        <v>1.2178042988536053E-5</v>
      </c>
      <c r="F29" s="47"/>
      <c r="G29" s="187">
        <v>17510</v>
      </c>
      <c r="H29" s="83">
        <f>'Grad-18Hours'!P27</f>
        <v>17510.2</v>
      </c>
      <c r="I29" s="88">
        <f t="shared" si="2"/>
        <v>0.2000000000007276</v>
      </c>
      <c r="J29" s="85">
        <f t="shared" si="3"/>
        <v>1.1422044546015282E-5</v>
      </c>
      <c r="K29" s="51"/>
      <c r="L29" s="185">
        <v>16423</v>
      </c>
      <c r="M29" s="83">
        <f>'Grad-20Hours'!B28</f>
        <v>16423.2</v>
      </c>
      <c r="N29" s="88">
        <f t="shared" si="4"/>
        <v>0.2000000000007276</v>
      </c>
      <c r="O29" s="85">
        <f t="shared" si="5"/>
        <v>1.2178042988536053E-5</v>
      </c>
      <c r="P29" s="47"/>
      <c r="Q29" s="187">
        <v>17510</v>
      </c>
      <c r="R29" s="83">
        <f>'Grad-20Hours'!P28</f>
        <v>17510.2</v>
      </c>
      <c r="S29" s="88">
        <f t="shared" si="6"/>
        <v>0.2000000000007276</v>
      </c>
      <c r="T29" s="85">
        <f t="shared" si="7"/>
        <v>1.1422044546015282E-5</v>
      </c>
      <c r="U29" s="51"/>
      <c r="V29" s="185">
        <v>16423</v>
      </c>
      <c r="W29" s="83">
        <f>'Grad-24Hours'!B28</f>
        <v>16423.2</v>
      </c>
      <c r="X29" s="88">
        <f t="shared" si="8"/>
        <v>0.2000000000007276</v>
      </c>
      <c r="Y29" s="85">
        <f t="shared" si="9"/>
        <v>1.2178042988536053E-5</v>
      </c>
      <c r="Z29" s="47"/>
      <c r="AA29" s="187">
        <v>17510</v>
      </c>
      <c r="AB29" s="83">
        <f>'Grad-24Hours'!P28</f>
        <v>17510.2</v>
      </c>
      <c r="AC29" s="88">
        <f t="shared" si="10"/>
        <v>0.2000000000007276</v>
      </c>
      <c r="AD29" s="101">
        <f t="shared" si="11"/>
        <v>1.1422044546015282E-5</v>
      </c>
    </row>
    <row r="30" spans="1:35">
      <c r="A30" s="104" t="s">
        <v>48</v>
      </c>
      <c r="B30" s="185">
        <v>6058.82</v>
      </c>
      <c r="C30" s="89">
        <f>'Grad-18Hours'!B28</f>
        <v>6058.82</v>
      </c>
      <c r="D30" s="88">
        <f t="shared" si="0"/>
        <v>0</v>
      </c>
      <c r="E30" s="85">
        <f t="shared" si="1"/>
        <v>0</v>
      </c>
      <c r="F30" s="47"/>
      <c r="G30" s="187">
        <v>7063.82</v>
      </c>
      <c r="H30" s="83">
        <f>'Grad-18Hours'!P28</f>
        <v>7063.82</v>
      </c>
      <c r="I30" s="88">
        <f t="shared" si="2"/>
        <v>0</v>
      </c>
      <c r="J30" s="85">
        <f t="shared" si="3"/>
        <v>0</v>
      </c>
      <c r="K30" s="51"/>
      <c r="L30" s="185">
        <v>6058.82</v>
      </c>
      <c r="M30" s="83">
        <f>'Grad-20Hours'!B29</f>
        <v>6058.82</v>
      </c>
      <c r="N30" s="88">
        <f t="shared" si="4"/>
        <v>0</v>
      </c>
      <c r="O30" s="85">
        <f t="shared" si="5"/>
        <v>0</v>
      </c>
      <c r="P30" s="47"/>
      <c r="Q30" s="187">
        <v>7063.82</v>
      </c>
      <c r="R30" s="83">
        <f>'Grad-20Hours'!P29</f>
        <v>7063.82</v>
      </c>
      <c r="S30" s="88">
        <f t="shared" si="6"/>
        <v>0</v>
      </c>
      <c r="T30" s="85">
        <f t="shared" si="7"/>
        <v>0</v>
      </c>
      <c r="U30" s="51"/>
      <c r="V30" s="185">
        <v>6058.82</v>
      </c>
      <c r="W30" s="83">
        <f>'Grad-24Hours'!B29</f>
        <v>6058.82</v>
      </c>
      <c r="X30" s="88">
        <f t="shared" si="8"/>
        <v>0</v>
      </c>
      <c r="Y30" s="85">
        <f t="shared" si="9"/>
        <v>0</v>
      </c>
      <c r="Z30" s="47"/>
      <c r="AA30" s="187">
        <v>7063.82</v>
      </c>
      <c r="AB30" s="83">
        <f>'Grad-24Hours'!P29</f>
        <v>7063.82</v>
      </c>
      <c r="AC30" s="88">
        <f t="shared" si="10"/>
        <v>0</v>
      </c>
      <c r="AD30" s="101">
        <f t="shared" si="11"/>
        <v>0</v>
      </c>
    </row>
    <row r="31" spans="1:35">
      <c r="A31" s="104" t="s">
        <v>49</v>
      </c>
      <c r="B31" s="185">
        <v>28418</v>
      </c>
      <c r="C31" s="89">
        <f>'Grad-18Hours'!B29</f>
        <v>28418</v>
      </c>
      <c r="D31" s="88">
        <f t="shared" si="0"/>
        <v>0</v>
      </c>
      <c r="E31" s="85">
        <f t="shared" si="1"/>
        <v>0</v>
      </c>
      <c r="F31" s="47"/>
      <c r="G31" s="187">
        <v>34403</v>
      </c>
      <c r="H31" s="83">
        <f>'Grad-18Hours'!P29</f>
        <v>35141</v>
      </c>
      <c r="I31" s="88">
        <f t="shared" si="2"/>
        <v>738</v>
      </c>
      <c r="J31" s="85">
        <f t="shared" si="3"/>
        <v>2.1451617591489114E-2</v>
      </c>
      <c r="K31" s="51"/>
      <c r="L31" s="185">
        <v>28418</v>
      </c>
      <c r="M31" s="83">
        <f>'Grad-20Hours'!B30</f>
        <v>28418</v>
      </c>
      <c r="N31" s="88">
        <f t="shared" si="4"/>
        <v>0</v>
      </c>
      <c r="O31" s="85">
        <f t="shared" si="5"/>
        <v>0</v>
      </c>
      <c r="P31" s="47"/>
      <c r="Q31" s="187">
        <v>34403</v>
      </c>
      <c r="R31" s="83">
        <f>'Grad-20Hours'!P30</f>
        <v>35141</v>
      </c>
      <c r="S31" s="88">
        <f t="shared" si="6"/>
        <v>738</v>
      </c>
      <c r="T31" s="85">
        <f t="shared" si="7"/>
        <v>2.1451617591489114E-2</v>
      </c>
      <c r="U31" s="51"/>
      <c r="V31" s="185">
        <v>28418</v>
      </c>
      <c r="W31" s="83">
        <f>'Grad-24Hours'!B30</f>
        <v>28418</v>
      </c>
      <c r="X31" s="88">
        <f t="shared" si="8"/>
        <v>0</v>
      </c>
      <c r="Y31" s="85">
        <f t="shared" si="9"/>
        <v>0</v>
      </c>
      <c r="Z31" s="47"/>
      <c r="AA31" s="187">
        <v>34403</v>
      </c>
      <c r="AB31" s="83">
        <f>'Grad-24Hours'!P30</f>
        <v>35141</v>
      </c>
      <c r="AC31" s="88">
        <f t="shared" si="10"/>
        <v>738</v>
      </c>
      <c r="AD31" s="101">
        <f t="shared" si="11"/>
        <v>2.1451617591489114E-2</v>
      </c>
    </row>
    <row r="32" spans="1:35">
      <c r="A32" s="104" t="s">
        <v>50</v>
      </c>
      <c r="B32" s="185">
        <v>9335</v>
      </c>
      <c r="C32" s="89">
        <f>'Grad-18Hours'!B30</f>
        <v>9335</v>
      </c>
      <c r="D32" s="88">
        <f t="shared" si="0"/>
        <v>0</v>
      </c>
      <c r="E32" s="85">
        <f t="shared" si="1"/>
        <v>0</v>
      </c>
      <c r="F32" s="47"/>
      <c r="G32" s="187">
        <v>10327</v>
      </c>
      <c r="H32" s="83">
        <f>'Grad-18Hours'!P30</f>
        <v>10327</v>
      </c>
      <c r="I32" s="88">
        <f t="shared" si="2"/>
        <v>0</v>
      </c>
      <c r="J32" s="85">
        <f t="shared" si="3"/>
        <v>0</v>
      </c>
      <c r="K32" s="51"/>
      <c r="L32" s="185">
        <v>9335</v>
      </c>
      <c r="M32" s="83">
        <f>'Grad-20Hours'!B31</f>
        <v>9335</v>
      </c>
      <c r="N32" s="88">
        <f t="shared" si="4"/>
        <v>0</v>
      </c>
      <c r="O32" s="85">
        <f t="shared" si="5"/>
        <v>0</v>
      </c>
      <c r="P32" s="47"/>
      <c r="Q32" s="187">
        <v>10327</v>
      </c>
      <c r="R32" s="83">
        <f>'Grad-20Hours'!P31</f>
        <v>10327</v>
      </c>
      <c r="S32" s="88">
        <f t="shared" si="6"/>
        <v>0</v>
      </c>
      <c r="T32" s="85">
        <f t="shared" si="7"/>
        <v>0</v>
      </c>
      <c r="U32" s="51"/>
      <c r="V32" s="185">
        <v>9335</v>
      </c>
      <c r="W32" s="83">
        <f>'Grad-24Hours'!B31</f>
        <v>9335</v>
      </c>
      <c r="X32" s="88">
        <f t="shared" si="8"/>
        <v>0</v>
      </c>
      <c r="Y32" s="85">
        <f t="shared" si="9"/>
        <v>0</v>
      </c>
      <c r="Z32" s="47"/>
      <c r="AA32" s="187">
        <v>10327</v>
      </c>
      <c r="AB32" s="83">
        <f>'Grad-24Hours'!P31</f>
        <v>10327</v>
      </c>
      <c r="AC32" s="88">
        <f t="shared" si="10"/>
        <v>0</v>
      </c>
      <c r="AD32" s="101">
        <f t="shared" si="11"/>
        <v>0</v>
      </c>
    </row>
    <row r="33" spans="1:30">
      <c r="A33" s="106" t="s">
        <v>61</v>
      </c>
      <c r="B33" s="185">
        <v>16814</v>
      </c>
      <c r="C33" s="89">
        <f>'Grad-18Hours'!B31</f>
        <v>16814.400000000001</v>
      </c>
      <c r="D33" s="88">
        <f t="shared" si="0"/>
        <v>0.40000000000145519</v>
      </c>
      <c r="E33" s="85">
        <f t="shared" si="1"/>
        <v>2.3789699060393433E-5</v>
      </c>
      <c r="F33" s="47"/>
      <c r="G33" s="187">
        <v>17806</v>
      </c>
      <c r="H33" s="83">
        <f>'Grad-18Hours'!P31</f>
        <v>17806.400000000001</v>
      </c>
      <c r="I33" s="88">
        <f t="shared" si="2"/>
        <v>0.40000000000145519</v>
      </c>
      <c r="J33" s="85">
        <f t="shared" si="3"/>
        <v>2.2464337863723195E-5</v>
      </c>
      <c r="K33" s="51"/>
      <c r="L33" s="185">
        <v>16814</v>
      </c>
      <c r="M33" s="83">
        <f>'Grad-20Hours'!B32</f>
        <v>16814.400000000001</v>
      </c>
      <c r="N33" s="88">
        <f t="shared" si="4"/>
        <v>0.40000000000145519</v>
      </c>
      <c r="O33" s="85">
        <f t="shared" si="5"/>
        <v>2.3789699060393433E-5</v>
      </c>
      <c r="P33" s="47"/>
      <c r="Q33" s="187">
        <v>17806</v>
      </c>
      <c r="R33" s="83">
        <f>'Grad-20Hours'!P32</f>
        <v>17806.400000000001</v>
      </c>
      <c r="S33" s="88">
        <f t="shared" si="6"/>
        <v>0.40000000000145519</v>
      </c>
      <c r="T33" s="85">
        <f t="shared" si="7"/>
        <v>2.2464337863723195E-5</v>
      </c>
      <c r="U33" s="51"/>
      <c r="V33" s="185">
        <v>16814</v>
      </c>
      <c r="W33" s="83">
        <f>'Grad-24Hours'!B32</f>
        <v>16814.400000000001</v>
      </c>
      <c r="X33" s="88">
        <f t="shared" si="8"/>
        <v>0.40000000000145519</v>
      </c>
      <c r="Y33" s="85">
        <f t="shared" si="9"/>
        <v>2.3789699060393433E-5</v>
      </c>
      <c r="Z33" s="47"/>
      <c r="AA33" s="187">
        <v>17806</v>
      </c>
      <c r="AB33" s="83">
        <f>'Grad-24Hours'!P32</f>
        <v>17806.400000000001</v>
      </c>
      <c r="AC33" s="88">
        <f t="shared" si="10"/>
        <v>0.40000000000145519</v>
      </c>
      <c r="AD33" s="101">
        <f t="shared" si="11"/>
        <v>2.2464337863723195E-5</v>
      </c>
    </row>
    <row r="34" spans="1:30" ht="29">
      <c r="A34" s="106" t="s">
        <v>51</v>
      </c>
      <c r="B34" s="185">
        <v>9335</v>
      </c>
      <c r="C34" s="89">
        <f>'Grad-18Hours'!B32</f>
        <v>9335</v>
      </c>
      <c r="D34" s="88">
        <f t="shared" si="0"/>
        <v>0</v>
      </c>
      <c r="E34" s="85">
        <f t="shared" si="1"/>
        <v>0</v>
      </c>
      <c r="F34" s="47"/>
      <c r="G34" s="187">
        <v>10527</v>
      </c>
      <c r="H34" s="83">
        <f>'Grad-18Hours'!P32</f>
        <v>10527</v>
      </c>
      <c r="I34" s="88">
        <f t="shared" si="2"/>
        <v>0</v>
      </c>
      <c r="J34" s="85">
        <f t="shared" si="3"/>
        <v>0</v>
      </c>
      <c r="K34" s="51"/>
      <c r="L34" s="185">
        <v>9335</v>
      </c>
      <c r="M34" s="83">
        <f>'Grad-20Hours'!B33</f>
        <v>9335</v>
      </c>
      <c r="N34" s="88">
        <f t="shared" si="4"/>
        <v>0</v>
      </c>
      <c r="O34" s="85">
        <f t="shared" si="5"/>
        <v>0</v>
      </c>
      <c r="P34" s="47"/>
      <c r="Q34" s="187">
        <v>10527</v>
      </c>
      <c r="R34" s="83">
        <f>'Grad-20Hours'!P33</f>
        <v>10527</v>
      </c>
      <c r="S34" s="88">
        <f t="shared" si="6"/>
        <v>0</v>
      </c>
      <c r="T34" s="85">
        <f t="shared" si="7"/>
        <v>0</v>
      </c>
      <c r="U34" s="51"/>
      <c r="V34" s="185">
        <v>9335</v>
      </c>
      <c r="W34" s="83">
        <f>'Grad-24Hours'!B33</f>
        <v>9335</v>
      </c>
      <c r="X34" s="88">
        <f t="shared" si="8"/>
        <v>0</v>
      </c>
      <c r="Y34" s="85">
        <f t="shared" si="9"/>
        <v>0</v>
      </c>
      <c r="Z34" s="47"/>
      <c r="AA34" s="187">
        <v>10527</v>
      </c>
      <c r="AB34" s="83">
        <f>'Grad-24Hours'!P33</f>
        <v>10527</v>
      </c>
      <c r="AC34" s="88">
        <f t="shared" si="10"/>
        <v>0</v>
      </c>
      <c r="AD34" s="101">
        <f t="shared" si="11"/>
        <v>0</v>
      </c>
    </row>
    <row r="35" spans="1:30" ht="29">
      <c r="A35" s="106" t="s">
        <v>52</v>
      </c>
      <c r="B35" s="185">
        <v>8858</v>
      </c>
      <c r="C35" s="89">
        <f>'Grad-18Hours'!B33</f>
        <v>8858.32</v>
      </c>
      <c r="D35" s="88">
        <f t="shared" si="0"/>
        <v>0.31999999999970896</v>
      </c>
      <c r="E35" s="85">
        <f t="shared" si="1"/>
        <v>3.6125536238395685E-5</v>
      </c>
      <c r="F35" s="47"/>
      <c r="G35" s="187">
        <v>10650</v>
      </c>
      <c r="H35" s="83">
        <f>'Grad-18Hours'!P33</f>
        <v>10650.32</v>
      </c>
      <c r="I35" s="88">
        <f t="shared" si="2"/>
        <v>0.31999999999970896</v>
      </c>
      <c r="J35" s="85">
        <f t="shared" si="3"/>
        <v>3.0046948356780184E-5</v>
      </c>
      <c r="K35" s="51"/>
      <c r="L35" s="185">
        <v>8858</v>
      </c>
      <c r="M35" s="83">
        <f>'Grad-20Hours'!B34</f>
        <v>8858.32</v>
      </c>
      <c r="N35" s="88">
        <f t="shared" si="4"/>
        <v>0.31999999999970896</v>
      </c>
      <c r="O35" s="85">
        <f t="shared" si="5"/>
        <v>3.6125536238395685E-5</v>
      </c>
      <c r="P35" s="47"/>
      <c r="Q35" s="187">
        <v>10650</v>
      </c>
      <c r="R35" s="83">
        <f>'Grad-20Hours'!P34</f>
        <v>10650.32</v>
      </c>
      <c r="S35" s="88">
        <f t="shared" si="6"/>
        <v>0.31999999999970896</v>
      </c>
      <c r="T35" s="85">
        <f t="shared" si="7"/>
        <v>3.0046948356780184E-5</v>
      </c>
      <c r="U35" s="51"/>
      <c r="V35" s="185">
        <v>8858</v>
      </c>
      <c r="W35" s="83">
        <f>'Grad-24Hours'!B34</f>
        <v>8858.32</v>
      </c>
      <c r="X35" s="88">
        <f t="shared" si="8"/>
        <v>0.31999999999970896</v>
      </c>
      <c r="Y35" s="85">
        <f t="shared" si="9"/>
        <v>3.6125536238395685E-5</v>
      </c>
      <c r="Z35" s="47"/>
      <c r="AA35" s="187">
        <v>10650</v>
      </c>
      <c r="AB35" s="83">
        <f>'Grad-24Hours'!P34</f>
        <v>10650.32</v>
      </c>
      <c r="AC35" s="88">
        <f t="shared" si="10"/>
        <v>0.31999999999970896</v>
      </c>
      <c r="AD35" s="101">
        <f t="shared" si="11"/>
        <v>3.0046948356780184E-5</v>
      </c>
    </row>
    <row r="36" spans="1:30">
      <c r="A36" s="104" t="s">
        <v>53</v>
      </c>
      <c r="B36" s="185">
        <v>31375.45</v>
      </c>
      <c r="C36" s="89">
        <f>'Grad-18Hours'!B34</f>
        <v>31375.45</v>
      </c>
      <c r="D36" s="88">
        <f t="shared" si="0"/>
        <v>0</v>
      </c>
      <c r="E36" s="85">
        <f t="shared" si="1"/>
        <v>0</v>
      </c>
      <c r="F36" s="47"/>
      <c r="G36" s="187">
        <v>32936.949999999997</v>
      </c>
      <c r="H36" s="83">
        <f>'Grad-18Hours'!P34</f>
        <v>32936.949999999997</v>
      </c>
      <c r="I36" s="88">
        <f t="shared" si="2"/>
        <v>0</v>
      </c>
      <c r="J36" s="85">
        <f t="shared" si="3"/>
        <v>0</v>
      </c>
      <c r="K36" s="51"/>
      <c r="L36" s="185">
        <v>31375.45</v>
      </c>
      <c r="M36" s="83">
        <f>'Grad-20Hours'!B35</f>
        <v>31375.45</v>
      </c>
      <c r="N36" s="88">
        <f t="shared" si="4"/>
        <v>0</v>
      </c>
      <c r="O36" s="85">
        <f t="shared" si="5"/>
        <v>0</v>
      </c>
      <c r="P36" s="47"/>
      <c r="Q36" s="187">
        <v>32936.949999999997</v>
      </c>
      <c r="R36" s="83">
        <f>'Grad-20Hours'!P35</f>
        <v>32936.949999999997</v>
      </c>
      <c r="S36" s="88">
        <f t="shared" si="6"/>
        <v>0</v>
      </c>
      <c r="T36" s="85">
        <f t="shared" si="7"/>
        <v>0</v>
      </c>
      <c r="U36" s="51"/>
      <c r="V36" s="185">
        <v>31375</v>
      </c>
      <c r="W36" s="83">
        <f>'Grad-24Hours'!B35</f>
        <v>31375.45</v>
      </c>
      <c r="X36" s="88">
        <f t="shared" si="8"/>
        <v>0.4500000000007276</v>
      </c>
      <c r="Y36" s="85">
        <f t="shared" si="9"/>
        <v>1.4342629482094904E-5</v>
      </c>
      <c r="Z36" s="47"/>
      <c r="AA36" s="187">
        <v>32936.949999999997</v>
      </c>
      <c r="AB36" s="83">
        <f>'Grad-24Hours'!P35</f>
        <v>32936.949999999997</v>
      </c>
      <c r="AC36" s="88">
        <f t="shared" si="10"/>
        <v>0</v>
      </c>
      <c r="AD36" s="101">
        <f t="shared" si="11"/>
        <v>0</v>
      </c>
    </row>
    <row r="37" spans="1:30">
      <c r="A37" s="104" t="s">
        <v>127</v>
      </c>
      <c r="B37" s="185">
        <v>14293</v>
      </c>
      <c r="C37" s="89">
        <f>'Grad-18Hours'!B35</f>
        <v>14293.2</v>
      </c>
      <c r="D37" s="88">
        <f t="shared" si="0"/>
        <v>0.2000000000007276</v>
      </c>
      <c r="E37" s="85">
        <f t="shared" si="1"/>
        <v>1.3992863639594738E-5</v>
      </c>
      <c r="F37" s="47"/>
      <c r="G37" s="187">
        <v>15285</v>
      </c>
      <c r="H37" s="83">
        <f>'Grad-18Hours'!P35</f>
        <v>15285.2</v>
      </c>
      <c r="I37" s="88">
        <f t="shared" si="2"/>
        <v>0.2000000000007276</v>
      </c>
      <c r="J37" s="85">
        <f t="shared" si="3"/>
        <v>1.3084723585261865E-5</v>
      </c>
      <c r="K37" s="51"/>
      <c r="L37" s="185">
        <v>14293</v>
      </c>
      <c r="M37" s="83">
        <f>'Grad-20Hours'!B36</f>
        <v>14293.2</v>
      </c>
      <c r="N37" s="88">
        <f t="shared" si="4"/>
        <v>0.2000000000007276</v>
      </c>
      <c r="O37" s="85">
        <f t="shared" si="5"/>
        <v>1.3992863639594738E-5</v>
      </c>
      <c r="P37" s="47"/>
      <c r="Q37" s="187">
        <v>15285</v>
      </c>
      <c r="R37" s="83">
        <f>'Grad-20Hours'!P36</f>
        <v>15285.2</v>
      </c>
      <c r="S37" s="88">
        <f t="shared" si="6"/>
        <v>0.2000000000007276</v>
      </c>
      <c r="T37" s="85">
        <f t="shared" si="7"/>
        <v>1.3084723585261865E-5</v>
      </c>
      <c r="U37" s="51"/>
      <c r="V37" s="185">
        <v>14293</v>
      </c>
      <c r="W37" s="83">
        <f>'Grad-24Hours'!B36</f>
        <v>14293.2</v>
      </c>
      <c r="X37" s="88">
        <f t="shared" si="8"/>
        <v>0.2000000000007276</v>
      </c>
      <c r="Y37" s="85">
        <f t="shared" si="9"/>
        <v>1.3992863639594738E-5</v>
      </c>
      <c r="Z37" s="47"/>
      <c r="AA37" s="187">
        <v>15285</v>
      </c>
      <c r="AB37" s="83">
        <f>'Grad-24Hours'!P36</f>
        <v>15285.2</v>
      </c>
      <c r="AC37" s="88">
        <f t="shared" si="10"/>
        <v>0.2000000000007276</v>
      </c>
      <c r="AD37" s="101">
        <f t="shared" si="11"/>
        <v>1.3084723585261865E-5</v>
      </c>
    </row>
    <row r="38" spans="1:30">
      <c r="A38" s="104" t="s">
        <v>31</v>
      </c>
      <c r="B38" s="185">
        <v>10150.25</v>
      </c>
      <c r="C38" s="89">
        <f>'Grad-18Hours'!B36</f>
        <v>10657.77</v>
      </c>
      <c r="D38" s="88">
        <f t="shared" si="0"/>
        <v>507.52000000000044</v>
      </c>
      <c r="E38" s="85">
        <f t="shared" si="1"/>
        <v>5.0000738898056743E-2</v>
      </c>
      <c r="F38" s="47"/>
      <c r="G38" s="187">
        <v>11030.25</v>
      </c>
      <c r="H38" s="83">
        <f>'Grad-18Hours'!P36</f>
        <v>11581.779999999999</v>
      </c>
      <c r="I38" s="88">
        <f t="shared" si="2"/>
        <v>551.52999999999884</v>
      </c>
      <c r="J38" s="85">
        <f t="shared" si="3"/>
        <v>5.0001586546089057E-2</v>
      </c>
      <c r="K38" s="51"/>
      <c r="L38" s="185">
        <v>10150.25</v>
      </c>
      <c r="M38" s="83">
        <f>'Grad-20Hours'!B37</f>
        <v>10657.77</v>
      </c>
      <c r="N38" s="88">
        <f t="shared" si="4"/>
        <v>507.52000000000044</v>
      </c>
      <c r="O38" s="85">
        <f t="shared" si="5"/>
        <v>5.0000738898056743E-2</v>
      </c>
      <c r="P38" s="47"/>
      <c r="Q38" s="187">
        <v>11060.25</v>
      </c>
      <c r="R38" s="83">
        <f>'Grad-20Hours'!P37</f>
        <v>11613.279999999999</v>
      </c>
      <c r="S38" s="88">
        <f t="shared" si="6"/>
        <v>553.02999999999884</v>
      </c>
      <c r="T38" s="85">
        <f t="shared" si="7"/>
        <v>5.0001582242715926E-2</v>
      </c>
      <c r="U38" s="51"/>
      <c r="V38" s="185">
        <v>10150.25</v>
      </c>
      <c r="W38" s="83">
        <f>'Grad-24Hours'!B37</f>
        <v>10657.77</v>
      </c>
      <c r="X38" s="88">
        <f t="shared" si="8"/>
        <v>507.52000000000044</v>
      </c>
      <c r="Y38" s="85">
        <f t="shared" si="9"/>
        <v>5.0000738898056743E-2</v>
      </c>
      <c r="Z38" s="47"/>
      <c r="AA38" s="187">
        <v>11120.25</v>
      </c>
      <c r="AB38" s="83">
        <f>'Grad-24Hours'!P37</f>
        <v>11676.279999999999</v>
      </c>
      <c r="AC38" s="88">
        <f t="shared" si="10"/>
        <v>556.02999999999884</v>
      </c>
      <c r="AD38" s="101">
        <f t="shared" si="11"/>
        <v>5.0001573705627016E-2</v>
      </c>
    </row>
    <row r="39" spans="1:30" ht="29">
      <c r="A39" s="106" t="s">
        <v>141</v>
      </c>
      <c r="B39" s="185">
        <v>13149.75</v>
      </c>
      <c r="C39" s="89">
        <f>'Grad-18Hours'!B37</f>
        <v>13806.46</v>
      </c>
      <c r="D39" s="88">
        <f t="shared" ref="D39" si="60">C39-B39</f>
        <v>656.70999999999913</v>
      </c>
      <c r="E39" s="85">
        <f t="shared" ref="E39" si="61">D39/B39</f>
        <v>4.9940873400634925E-2</v>
      </c>
      <c r="F39" s="47"/>
      <c r="G39" s="187">
        <v>13860.75</v>
      </c>
      <c r="H39" s="83">
        <f>'Grad-18Hours'!P37</f>
        <v>14520.809999999998</v>
      </c>
      <c r="I39" s="88">
        <f t="shared" ref="I39" si="62">H39-G39</f>
        <v>660.05999999999767</v>
      </c>
      <c r="J39" s="85">
        <f t="shared" ref="J39" si="63">I39/G39</f>
        <v>4.7620799740273625E-2</v>
      </c>
      <c r="K39" s="51"/>
      <c r="L39" s="185">
        <v>13149.75</v>
      </c>
      <c r="M39" s="83">
        <f>'Grad-20Hours'!B38</f>
        <v>13806.46</v>
      </c>
      <c r="N39" s="88">
        <f t="shared" ref="N39" si="64">M39-L39</f>
        <v>656.70999999999913</v>
      </c>
      <c r="O39" s="85">
        <f t="shared" ref="O39" si="65">N39/L39</f>
        <v>4.9940873400634925E-2</v>
      </c>
      <c r="P39" s="47"/>
      <c r="Q39" s="187">
        <v>13860.75</v>
      </c>
      <c r="R39" s="83">
        <f>'Grad-20Hours'!P38</f>
        <v>14520.809999999998</v>
      </c>
      <c r="S39" s="88">
        <f t="shared" ref="S39" si="66">R39-Q39</f>
        <v>660.05999999999767</v>
      </c>
      <c r="T39" s="85">
        <f t="shared" ref="T39" si="67">S39/Q39</f>
        <v>4.7620799740273625E-2</v>
      </c>
      <c r="U39" s="51"/>
      <c r="V39" s="185">
        <v>13149.75</v>
      </c>
      <c r="W39" s="83">
        <f>'Grad-24Hours'!B38</f>
        <v>13806.46</v>
      </c>
      <c r="X39" s="88">
        <f t="shared" ref="X39" si="68">W39-V39</f>
        <v>656.70999999999913</v>
      </c>
      <c r="Y39" s="85">
        <f t="shared" ref="Y39" si="69">X39/V39</f>
        <v>4.9940873400634925E-2</v>
      </c>
      <c r="Z39" s="47"/>
      <c r="AA39" s="187">
        <v>13860.75</v>
      </c>
      <c r="AB39" s="83">
        <f>'Grad-24Hours'!P38</f>
        <v>14520.809999999998</v>
      </c>
      <c r="AC39" s="88">
        <f t="shared" ref="AC39" si="70">AB39-AA39</f>
        <v>660.05999999999767</v>
      </c>
      <c r="AD39" s="101">
        <f t="shared" ref="AD39" si="71">AC39/AA39</f>
        <v>4.7620799740273625E-2</v>
      </c>
    </row>
    <row r="40" spans="1:30">
      <c r="A40" s="104" t="s">
        <v>54</v>
      </c>
      <c r="B40" s="185">
        <v>14538</v>
      </c>
      <c r="C40" s="89">
        <f>'Grad-18Hours'!B38</f>
        <v>15264.64</v>
      </c>
      <c r="D40" s="88">
        <f t="shared" si="0"/>
        <v>726.63999999999942</v>
      </c>
      <c r="E40" s="85">
        <f t="shared" si="1"/>
        <v>4.9982115834365071E-2</v>
      </c>
      <c r="F40" s="47"/>
      <c r="G40" s="187">
        <v>15249</v>
      </c>
      <c r="H40" s="83">
        <f>'Grad-18Hours'!P38</f>
        <v>16011.199999999997</v>
      </c>
      <c r="I40" s="88">
        <f t="shared" si="2"/>
        <v>762.19999999999709</v>
      </c>
      <c r="J40" s="85">
        <f t="shared" si="3"/>
        <v>4.9983605482326519E-2</v>
      </c>
      <c r="K40" s="51"/>
      <c r="L40" s="185">
        <v>14538</v>
      </c>
      <c r="M40" s="83">
        <f>'Grad-20Hours'!B39</f>
        <v>15264.64</v>
      </c>
      <c r="N40" s="88">
        <f t="shared" si="4"/>
        <v>726.63999999999942</v>
      </c>
      <c r="O40" s="85">
        <f t="shared" si="5"/>
        <v>4.9982115834365071E-2</v>
      </c>
      <c r="P40" s="47"/>
      <c r="Q40" s="187">
        <v>15279</v>
      </c>
      <c r="R40" s="83">
        <f>'Grad-20Hours'!P39</f>
        <v>16011.199999999997</v>
      </c>
      <c r="S40" s="88">
        <f t="shared" si="6"/>
        <v>732.19999999999709</v>
      </c>
      <c r="T40" s="85">
        <f t="shared" si="7"/>
        <v>4.7921984423064147E-2</v>
      </c>
      <c r="U40" s="51"/>
      <c r="V40" s="185">
        <v>14538</v>
      </c>
      <c r="W40" s="83">
        <f>'Grad-24Hours'!B39</f>
        <v>15264.64</v>
      </c>
      <c r="X40" s="88">
        <f t="shared" si="8"/>
        <v>726.63999999999942</v>
      </c>
      <c r="Y40" s="85">
        <f t="shared" si="9"/>
        <v>4.9982115834365071E-2</v>
      </c>
      <c r="Z40" s="47"/>
      <c r="AA40" s="187">
        <v>15339</v>
      </c>
      <c r="AB40" s="83">
        <f>'Grad-24Hours'!P39</f>
        <v>16011.199999999997</v>
      </c>
      <c r="AC40" s="88">
        <f t="shared" si="10"/>
        <v>672.19999999999709</v>
      </c>
      <c r="AD40" s="101">
        <f t="shared" si="11"/>
        <v>4.3822935002281578E-2</v>
      </c>
    </row>
    <row r="41" spans="1:30">
      <c r="A41" s="104" t="s">
        <v>55</v>
      </c>
      <c r="B41" s="185">
        <v>5193.5</v>
      </c>
      <c r="C41" s="89">
        <f>'Grad-18Hours'!B39</f>
        <v>5453.18</v>
      </c>
      <c r="D41" s="88">
        <f t="shared" si="0"/>
        <v>259.68000000000029</v>
      </c>
      <c r="E41" s="85">
        <f t="shared" si="1"/>
        <v>5.0000962741888956E-2</v>
      </c>
      <c r="F41" s="47"/>
      <c r="G41" s="187">
        <v>5571.5</v>
      </c>
      <c r="H41" s="83">
        <f>'Grad-18Hours'!P39</f>
        <v>5850.43</v>
      </c>
      <c r="I41" s="88">
        <f t="shared" si="2"/>
        <v>278.93000000000029</v>
      </c>
      <c r="J41" s="85">
        <f t="shared" si="3"/>
        <v>5.0063717131831692E-2</v>
      </c>
      <c r="K41" s="51"/>
      <c r="L41" s="185">
        <v>5193.5</v>
      </c>
      <c r="M41" s="83">
        <f>'Grad-20Hours'!B40</f>
        <v>5453.18</v>
      </c>
      <c r="N41" s="88">
        <f t="shared" si="4"/>
        <v>259.68000000000029</v>
      </c>
      <c r="O41" s="85">
        <f t="shared" si="5"/>
        <v>5.0000962741888956E-2</v>
      </c>
      <c r="P41" s="47"/>
      <c r="Q41" s="187">
        <v>5571.5</v>
      </c>
      <c r="R41" s="83">
        <f>'Grad-20Hours'!P40</f>
        <v>5850.43</v>
      </c>
      <c r="S41" s="88">
        <f t="shared" si="6"/>
        <v>278.93000000000029</v>
      </c>
      <c r="T41" s="85">
        <f t="shared" si="7"/>
        <v>5.0063717131831692E-2</v>
      </c>
      <c r="U41" s="51"/>
      <c r="V41" s="185">
        <v>5193.5</v>
      </c>
      <c r="W41" s="83">
        <f>'Grad-24Hours'!B40</f>
        <v>5453.18</v>
      </c>
      <c r="X41" s="88">
        <f t="shared" si="8"/>
        <v>259.68000000000029</v>
      </c>
      <c r="Y41" s="85">
        <f t="shared" si="9"/>
        <v>5.0000962741888956E-2</v>
      </c>
      <c r="Z41" s="47"/>
      <c r="AA41" s="187">
        <v>5571.5</v>
      </c>
      <c r="AB41" s="83">
        <f>'Grad-24Hours'!P40</f>
        <v>5850.43</v>
      </c>
      <c r="AC41" s="88">
        <f t="shared" si="10"/>
        <v>278.93000000000029</v>
      </c>
      <c r="AD41" s="101">
        <f t="shared" si="11"/>
        <v>5.0063717131831692E-2</v>
      </c>
    </row>
    <row r="42" spans="1:30">
      <c r="A42" s="145" t="s">
        <v>187</v>
      </c>
      <c r="B42" s="185">
        <v>9666</v>
      </c>
      <c r="C42" s="146">
        <f>'Grad-18Hours'!B40</f>
        <v>10149.299999999999</v>
      </c>
      <c r="D42" s="88">
        <f t="shared" si="0"/>
        <v>483.29999999999927</v>
      </c>
      <c r="E42" s="85">
        <f t="shared" si="1"/>
        <v>4.9999999999999926E-2</v>
      </c>
      <c r="F42" s="47"/>
      <c r="G42" s="187">
        <v>10124</v>
      </c>
      <c r="H42" s="142">
        <f>'Grad-18Hours'!P40</f>
        <v>10630.55</v>
      </c>
      <c r="I42" s="88">
        <f t="shared" ref="I42" si="72">H42-G42</f>
        <v>506.54999999999927</v>
      </c>
      <c r="J42" s="85">
        <f t="shared" ref="J42" si="73">I42/G42</f>
        <v>5.0034571315685429E-2</v>
      </c>
      <c r="K42" s="51"/>
      <c r="L42" s="185">
        <v>9666</v>
      </c>
      <c r="M42" s="142">
        <f>'Grad-20Hours'!B41</f>
        <v>10149.299999999999</v>
      </c>
      <c r="N42" s="88">
        <f t="shared" ref="N42" si="74">M42-L42</f>
        <v>483.29999999999927</v>
      </c>
      <c r="O42" s="85">
        <f t="shared" ref="O42" si="75">N42/L42</f>
        <v>4.9999999999999926E-2</v>
      </c>
      <c r="P42" s="47"/>
      <c r="Q42" s="187">
        <v>10124</v>
      </c>
      <c r="R42" s="142">
        <f>'Grad-20Hours'!P41</f>
        <v>10630.55</v>
      </c>
      <c r="S42" s="88">
        <f t="shared" ref="S42" si="76">R42-Q42</f>
        <v>506.54999999999927</v>
      </c>
      <c r="T42" s="85">
        <f t="shared" ref="T42" si="77">S42/Q42</f>
        <v>5.0034571315685429E-2</v>
      </c>
      <c r="U42" s="51"/>
      <c r="V42" s="185">
        <v>9666</v>
      </c>
      <c r="W42" s="142">
        <f>'Grad-24Hours'!B41</f>
        <v>10149.299999999999</v>
      </c>
      <c r="X42" s="88">
        <f t="shared" ref="X42" si="78">W42-V42</f>
        <v>483.29999999999927</v>
      </c>
      <c r="Y42" s="85">
        <f t="shared" ref="Y42" si="79">X42/V42</f>
        <v>4.9999999999999926E-2</v>
      </c>
      <c r="Z42" s="47"/>
      <c r="AA42" s="187">
        <v>10124</v>
      </c>
      <c r="AB42" s="142">
        <f>'Grad-24Hours'!P41</f>
        <v>11160.55</v>
      </c>
      <c r="AC42" s="88">
        <f t="shared" ref="AC42" si="80">AB42-AA42</f>
        <v>1036.5499999999993</v>
      </c>
      <c r="AD42" s="101">
        <f t="shared" ref="AD42" si="81">AC42/AA42</f>
        <v>0.10238542078229941</v>
      </c>
    </row>
    <row r="43" spans="1:30">
      <c r="A43" s="104" t="s">
        <v>56</v>
      </c>
      <c r="B43" s="185">
        <v>28591.75</v>
      </c>
      <c r="C43" s="89">
        <f>'Grad-18Hours'!B41</f>
        <v>30021.3</v>
      </c>
      <c r="D43" s="88">
        <f t="shared" si="0"/>
        <v>1429.5499999999993</v>
      </c>
      <c r="E43" s="85">
        <f t="shared" si="1"/>
        <v>4.9998688432852108E-2</v>
      </c>
      <c r="F43" s="47"/>
      <c r="G43" s="187">
        <v>29374.25</v>
      </c>
      <c r="H43" s="83">
        <f>'Grad-18Hours'!P41</f>
        <v>30840.399999999998</v>
      </c>
      <c r="I43" s="88">
        <f t="shared" si="2"/>
        <v>1466.1499999999978</v>
      </c>
      <c r="J43" s="85">
        <f t="shared" si="3"/>
        <v>4.9912763730137713E-2</v>
      </c>
      <c r="K43" s="51"/>
      <c r="L43" s="185">
        <v>28591.75</v>
      </c>
      <c r="M43" s="83">
        <f>'Grad-20Hours'!B42</f>
        <v>30021.3</v>
      </c>
      <c r="N43" s="88">
        <f t="shared" si="4"/>
        <v>1429.5499999999993</v>
      </c>
      <c r="O43" s="85">
        <f t="shared" si="5"/>
        <v>4.9998688432852108E-2</v>
      </c>
      <c r="P43" s="47"/>
      <c r="Q43" s="187">
        <v>29374.25</v>
      </c>
      <c r="R43" s="83">
        <f>'Grad-20Hours'!P42</f>
        <v>30840.399999999998</v>
      </c>
      <c r="S43" s="88">
        <f t="shared" si="6"/>
        <v>1466.1499999999978</v>
      </c>
      <c r="T43" s="85">
        <f t="shared" si="7"/>
        <v>4.9912763730137713E-2</v>
      </c>
      <c r="U43" s="51"/>
      <c r="V43" s="185">
        <v>28591.75</v>
      </c>
      <c r="W43" s="83">
        <f>'Grad-24Hours'!B42</f>
        <v>30021.3</v>
      </c>
      <c r="X43" s="88">
        <f>W43-V43</f>
        <v>1429.5499999999993</v>
      </c>
      <c r="Y43" s="85">
        <f>X43/V43</f>
        <v>4.9998688432852108E-2</v>
      </c>
      <c r="Z43" s="47"/>
      <c r="AA43" s="187">
        <v>29374.25</v>
      </c>
      <c r="AB43" s="83">
        <f>'Grad-24Hours'!P42</f>
        <v>30840.399999999998</v>
      </c>
      <c r="AC43" s="88">
        <f t="shared" si="10"/>
        <v>1466.1499999999978</v>
      </c>
      <c r="AD43" s="101">
        <f t="shared" si="11"/>
        <v>4.9912763730137713E-2</v>
      </c>
    </row>
    <row r="44" spans="1:30">
      <c r="A44" s="145" t="s">
        <v>186</v>
      </c>
      <c r="B44" s="185">
        <v>12524</v>
      </c>
      <c r="C44" s="146">
        <f>'Grad-18Hours'!B42</f>
        <v>13150.2</v>
      </c>
      <c r="D44" s="88">
        <f t="shared" ref="D44" si="82">C44-B44</f>
        <v>626.20000000000073</v>
      </c>
      <c r="E44" s="85">
        <f t="shared" ref="E44" si="83">D44/B44</f>
        <v>5.0000000000000058E-2</v>
      </c>
      <c r="F44" s="47"/>
      <c r="G44" s="187">
        <v>13204</v>
      </c>
      <c r="H44" s="142">
        <f>'Grad-18Hours'!P42</f>
        <v>13864.21</v>
      </c>
      <c r="I44" s="88">
        <f t="shared" ref="I44" si="84">H44-G44</f>
        <v>660.20999999999913</v>
      </c>
      <c r="J44" s="85">
        <f t="shared" ref="J44" si="85">I44/G44</f>
        <v>5.0000757346258647E-2</v>
      </c>
      <c r="K44" s="51"/>
      <c r="L44" s="185">
        <v>12524</v>
      </c>
      <c r="M44" s="142">
        <f>'Grad-20Hours'!B43</f>
        <v>13150.2</v>
      </c>
      <c r="N44" s="88">
        <f t="shared" ref="N44" si="86">M44-L44</f>
        <v>626.20000000000073</v>
      </c>
      <c r="O44" s="85">
        <f t="shared" ref="O44" si="87">N44/L44</f>
        <v>5.0000000000000058E-2</v>
      </c>
      <c r="P44" s="47"/>
      <c r="Q44" s="187">
        <v>13234</v>
      </c>
      <c r="R44" s="142">
        <f>'Grad-20Hours'!P43</f>
        <v>13864.21</v>
      </c>
      <c r="S44" s="88">
        <f t="shared" ref="S44" si="88">R44-Q44</f>
        <v>630.20999999999913</v>
      </c>
      <c r="T44" s="85">
        <f t="shared" ref="T44" si="89">S44/Q44</f>
        <v>4.7620522895571948E-2</v>
      </c>
      <c r="U44" s="51"/>
      <c r="V44" s="185">
        <v>12524</v>
      </c>
      <c r="W44" s="142">
        <f>'Grad-24Hours'!B43</f>
        <v>13150.2</v>
      </c>
      <c r="X44" s="88">
        <f>W44-V44</f>
        <v>626.20000000000073</v>
      </c>
      <c r="Y44" s="85">
        <f>X44/V44</f>
        <v>5.0000000000000058E-2</v>
      </c>
      <c r="Z44" s="47"/>
      <c r="AA44" s="187">
        <v>13294</v>
      </c>
      <c r="AB44" s="142">
        <f>'Grad-24Hours'!P43</f>
        <v>13864.21</v>
      </c>
      <c r="AC44" s="88">
        <f t="shared" ref="AC44" si="90">AB44-AA44</f>
        <v>570.20999999999913</v>
      </c>
      <c r="AD44" s="101">
        <f t="shared" ref="AD44" si="91">AC44/AA44</f>
        <v>4.2892282232586065E-2</v>
      </c>
    </row>
    <row r="45" spans="1:30" s="192" customFormat="1" ht="29" hidden="1">
      <c r="A45" s="202" t="s">
        <v>210</v>
      </c>
      <c r="B45" s="233">
        <v>5193.5</v>
      </c>
      <c r="C45" s="227" t="s">
        <v>114</v>
      </c>
      <c r="D45" s="228" t="s">
        <v>114</v>
      </c>
      <c r="E45" s="229" t="s">
        <v>114</v>
      </c>
      <c r="F45" s="143"/>
      <c r="G45" s="232">
        <v>5571.5</v>
      </c>
      <c r="H45" s="230" t="s">
        <v>114</v>
      </c>
      <c r="I45" s="228" t="s">
        <v>114</v>
      </c>
      <c r="J45" s="229" t="s">
        <v>114</v>
      </c>
      <c r="K45" s="147"/>
      <c r="L45" s="233">
        <v>5193.5</v>
      </c>
      <c r="M45" s="230" t="s">
        <v>114</v>
      </c>
      <c r="N45" s="228" t="s">
        <v>114</v>
      </c>
      <c r="O45" s="229" t="s">
        <v>114</v>
      </c>
      <c r="P45" s="143"/>
      <c r="Q45" s="232">
        <v>5571.5</v>
      </c>
      <c r="R45" s="230" t="s">
        <v>114</v>
      </c>
      <c r="S45" s="228" t="s">
        <v>114</v>
      </c>
      <c r="T45" s="229" t="s">
        <v>114</v>
      </c>
      <c r="U45" s="147"/>
      <c r="V45" s="233">
        <v>5193.5</v>
      </c>
      <c r="W45" s="230" t="s">
        <v>114</v>
      </c>
      <c r="X45" s="228" t="s">
        <v>114</v>
      </c>
      <c r="Y45" s="229" t="s">
        <v>114</v>
      </c>
      <c r="Z45" s="143"/>
      <c r="AA45" s="232">
        <v>5571.5</v>
      </c>
      <c r="AB45" s="230" t="s">
        <v>114</v>
      </c>
      <c r="AC45" s="228" t="s">
        <v>114</v>
      </c>
      <c r="AD45" s="231" t="s">
        <v>114</v>
      </c>
    </row>
    <row r="46" spans="1:30" ht="15" thickBot="1">
      <c r="A46" s="107" t="s">
        <v>57</v>
      </c>
      <c r="B46" s="185">
        <v>12517.5</v>
      </c>
      <c r="C46" s="90">
        <f>'Grad-18Hours'!B44</f>
        <v>13143.369999999999</v>
      </c>
      <c r="D46" s="88">
        <f t="shared" si="0"/>
        <v>625.86999999999898</v>
      </c>
      <c r="E46" s="85">
        <f t="shared" si="1"/>
        <v>4.9999600559217018E-2</v>
      </c>
      <c r="F46" s="98"/>
      <c r="G46" s="187">
        <v>13428.5</v>
      </c>
      <c r="H46" s="95">
        <f>'Grad-18Hours'!P44</f>
        <v>13889.929999999997</v>
      </c>
      <c r="I46" s="88">
        <f t="shared" si="2"/>
        <v>461.42999999999665</v>
      </c>
      <c r="J46" s="85">
        <f t="shared" si="3"/>
        <v>3.4361991287187449E-2</v>
      </c>
      <c r="K46" s="51"/>
      <c r="L46" s="185">
        <v>12517.5</v>
      </c>
      <c r="M46" s="95">
        <f>'Grad-20Hours'!B45</f>
        <v>13143.369999999999</v>
      </c>
      <c r="N46" s="88">
        <f t="shared" si="4"/>
        <v>625.86999999999898</v>
      </c>
      <c r="O46" s="85">
        <f t="shared" si="5"/>
        <v>4.9999600559217018E-2</v>
      </c>
      <c r="P46" s="98"/>
      <c r="Q46" s="187">
        <v>13458.5</v>
      </c>
      <c r="R46" s="95">
        <f>'Grad-20Hours'!P45</f>
        <v>13889.929999999997</v>
      </c>
      <c r="S46" s="88">
        <f t="shared" si="6"/>
        <v>431.42999999999665</v>
      </c>
      <c r="T46" s="85">
        <f t="shared" si="7"/>
        <v>3.2056321283946698E-2</v>
      </c>
      <c r="U46" s="51"/>
      <c r="V46" s="185">
        <v>12517.5</v>
      </c>
      <c r="W46" s="95">
        <f>'Grad-24Hours'!B45</f>
        <v>13143.369999999999</v>
      </c>
      <c r="X46" s="88">
        <f t="shared" si="8"/>
        <v>625.86999999999898</v>
      </c>
      <c r="Y46" s="85">
        <f t="shared" si="9"/>
        <v>4.9999600559217018E-2</v>
      </c>
      <c r="Z46" s="98"/>
      <c r="AA46" s="187">
        <v>13518.5</v>
      </c>
      <c r="AB46" s="95">
        <f>'Grad-24Hours'!P45</f>
        <v>13889.929999999997</v>
      </c>
      <c r="AC46" s="88">
        <f t="shared" si="10"/>
        <v>371.42999999999665</v>
      </c>
      <c r="AD46" s="101">
        <f t="shared" si="11"/>
        <v>2.7475681473536018E-2</v>
      </c>
    </row>
    <row r="47" spans="1:30">
      <c r="A47" s="108" t="s">
        <v>32</v>
      </c>
      <c r="B47" s="174"/>
      <c r="C47" s="53"/>
      <c r="D47" s="53"/>
      <c r="E47" s="53"/>
      <c r="F47" s="99"/>
      <c r="G47" s="174"/>
      <c r="H47" s="53"/>
      <c r="I47" s="53"/>
      <c r="J47" s="53"/>
      <c r="K47" s="100"/>
      <c r="L47" s="174"/>
      <c r="M47" s="53"/>
      <c r="N47" s="53"/>
      <c r="O47" s="53"/>
      <c r="P47" s="99"/>
      <c r="Q47" s="174"/>
      <c r="R47" s="53"/>
      <c r="S47" s="53"/>
      <c r="T47" s="53"/>
      <c r="U47" s="100"/>
      <c r="V47" s="174"/>
      <c r="W47" s="53"/>
      <c r="X47" s="53"/>
      <c r="Y47" s="53"/>
      <c r="Z47" s="99"/>
      <c r="AA47" s="174"/>
      <c r="AB47" s="53"/>
      <c r="AC47" s="53"/>
      <c r="AD47" s="54"/>
    </row>
    <row r="48" spans="1:30" ht="16.5">
      <c r="A48" s="104" t="s">
        <v>154</v>
      </c>
      <c r="B48" s="184">
        <v>5336</v>
      </c>
      <c r="C48" s="93">
        <f>'Grad-18Hours'!B46</f>
        <v>5336</v>
      </c>
      <c r="D48" s="88">
        <f t="shared" si="0"/>
        <v>0</v>
      </c>
      <c r="E48" s="85">
        <f t="shared" si="1"/>
        <v>0</v>
      </c>
      <c r="F48" s="97"/>
      <c r="G48" s="186">
        <v>10739</v>
      </c>
      <c r="H48" s="94">
        <f>'Grad-18Hours'!P46</f>
        <v>10766</v>
      </c>
      <c r="I48" s="88">
        <f t="shared" si="2"/>
        <v>27</v>
      </c>
      <c r="J48" s="85">
        <f t="shared" si="3"/>
        <v>2.5142005773349475E-3</v>
      </c>
      <c r="K48" s="51"/>
      <c r="L48" s="184">
        <v>5336</v>
      </c>
      <c r="M48" s="94">
        <f>'Grad-20Hours'!B47</f>
        <v>5336</v>
      </c>
      <c r="N48" s="88">
        <f t="shared" si="4"/>
        <v>0</v>
      </c>
      <c r="O48" s="85">
        <f t="shared" si="5"/>
        <v>0</v>
      </c>
      <c r="P48" s="97"/>
      <c r="Q48" s="186">
        <v>10927</v>
      </c>
      <c r="R48" s="94">
        <f>'Grad-20Hours'!P47</f>
        <v>10957</v>
      </c>
      <c r="S48" s="88">
        <f t="shared" si="6"/>
        <v>30</v>
      </c>
      <c r="T48" s="85">
        <f t="shared" si="7"/>
        <v>2.745492815960465E-3</v>
      </c>
      <c r="U48" s="51"/>
      <c r="V48" s="184">
        <v>5336</v>
      </c>
      <c r="W48" s="94">
        <f>'Grad-24Hours'!B47</f>
        <v>5336</v>
      </c>
      <c r="X48" s="88">
        <f t="shared" si="8"/>
        <v>0</v>
      </c>
      <c r="Y48" s="85">
        <f t="shared" si="9"/>
        <v>0</v>
      </c>
      <c r="Z48" s="97"/>
      <c r="AA48" s="186">
        <v>11303</v>
      </c>
      <c r="AB48" s="94">
        <f>'Grad-24Hours'!P47</f>
        <v>11339</v>
      </c>
      <c r="AC48" s="88">
        <f t="shared" si="10"/>
        <v>36</v>
      </c>
      <c r="AD48" s="101">
        <f t="shared" si="11"/>
        <v>3.1849951340352117E-3</v>
      </c>
    </row>
    <row r="49" spans="1:30" ht="16.5">
      <c r="A49" s="104" t="s">
        <v>159</v>
      </c>
      <c r="B49" s="185">
        <v>6024</v>
      </c>
      <c r="C49" s="89">
        <f>'Grad-18Hours'!B47</f>
        <v>6024</v>
      </c>
      <c r="D49" s="88">
        <f t="shared" si="0"/>
        <v>0</v>
      </c>
      <c r="E49" s="85">
        <f t="shared" si="1"/>
        <v>0</v>
      </c>
      <c r="F49" s="47"/>
      <c r="G49" s="187">
        <v>9845.7000000000007</v>
      </c>
      <c r="H49" s="83">
        <f>'Grad-18Hours'!P47</f>
        <v>10903</v>
      </c>
      <c r="I49" s="88">
        <f t="shared" si="2"/>
        <v>1057.2999999999993</v>
      </c>
      <c r="J49" s="85">
        <f t="shared" si="3"/>
        <v>0.10738698111866085</v>
      </c>
      <c r="K49" s="51"/>
      <c r="L49" s="185">
        <v>6024</v>
      </c>
      <c r="M49" s="83">
        <f>'Grad-20Hours'!B48</f>
        <v>6024</v>
      </c>
      <c r="N49" s="88">
        <f t="shared" si="4"/>
        <v>0</v>
      </c>
      <c r="O49" s="85">
        <f t="shared" si="5"/>
        <v>0</v>
      </c>
      <c r="P49" s="47"/>
      <c r="Q49" s="187">
        <v>9863.7000000000007</v>
      </c>
      <c r="R49" s="83">
        <f>'Grad-20Hours'!P48</f>
        <v>10953</v>
      </c>
      <c r="S49" s="88">
        <f t="shared" si="6"/>
        <v>1089.2999999999993</v>
      </c>
      <c r="T49" s="85">
        <f t="shared" si="7"/>
        <v>0.11043523221509162</v>
      </c>
      <c r="U49" s="51"/>
      <c r="V49" s="185">
        <v>6024</v>
      </c>
      <c r="W49" s="83">
        <f>'Grad-24Hours'!B48</f>
        <v>6024</v>
      </c>
      <c r="X49" s="88">
        <f t="shared" si="8"/>
        <v>0</v>
      </c>
      <c r="Y49" s="85">
        <f t="shared" si="9"/>
        <v>0</v>
      </c>
      <c r="Z49" s="47"/>
      <c r="AA49" s="187">
        <v>10299</v>
      </c>
      <c r="AB49" s="83">
        <f>'Grad-24Hours'!P48</f>
        <v>11053</v>
      </c>
      <c r="AC49" s="88">
        <f t="shared" si="10"/>
        <v>754</v>
      </c>
      <c r="AD49" s="101">
        <f t="shared" si="11"/>
        <v>7.3210991358384311E-2</v>
      </c>
    </row>
    <row r="50" spans="1:30">
      <c r="A50" s="104" t="s">
        <v>193</v>
      </c>
      <c r="B50" s="187">
        <v>10484</v>
      </c>
      <c r="C50" s="89">
        <f>'Grad-18Hours'!B48</f>
        <v>10484</v>
      </c>
      <c r="D50" s="88">
        <f>C50-B50</f>
        <v>0</v>
      </c>
      <c r="E50" s="85">
        <f t="shared" si="1"/>
        <v>0</v>
      </c>
      <c r="F50" s="47"/>
      <c r="G50" s="187">
        <v>17498</v>
      </c>
      <c r="H50" s="83">
        <f>'Grad-18Hours'!P48</f>
        <v>16396</v>
      </c>
      <c r="I50" s="88">
        <f t="shared" si="2"/>
        <v>-1102</v>
      </c>
      <c r="J50" s="85">
        <f t="shared" si="3"/>
        <v>-6.2978626128700421E-2</v>
      </c>
      <c r="K50" s="51"/>
      <c r="L50" s="187">
        <v>10484</v>
      </c>
      <c r="M50" s="83">
        <f>'Grad-20Hours'!B49</f>
        <v>10484</v>
      </c>
      <c r="N50" s="88">
        <f t="shared" si="4"/>
        <v>0</v>
      </c>
      <c r="O50" s="85">
        <f t="shared" si="5"/>
        <v>0</v>
      </c>
      <c r="P50" s="47"/>
      <c r="Q50" s="187">
        <v>17728</v>
      </c>
      <c r="R50" s="83">
        <f>'Grad-20Hours'!P49</f>
        <v>16626</v>
      </c>
      <c r="S50" s="88">
        <f t="shared" si="6"/>
        <v>-1102</v>
      </c>
      <c r="T50" s="85">
        <f t="shared" si="7"/>
        <v>-6.2161552346570399E-2</v>
      </c>
      <c r="U50" s="51"/>
      <c r="V50" s="187">
        <v>11338</v>
      </c>
      <c r="W50" s="83">
        <f>'Grad-24Hours'!B49</f>
        <v>11338</v>
      </c>
      <c r="X50" s="88">
        <f t="shared" si="8"/>
        <v>0</v>
      </c>
      <c r="Y50" s="85">
        <f t="shared" si="9"/>
        <v>0</v>
      </c>
      <c r="Z50" s="47"/>
      <c r="AA50" s="187">
        <v>20132</v>
      </c>
      <c r="AB50" s="83">
        <f>'Grad-24Hours'!P49</f>
        <v>19030</v>
      </c>
      <c r="AC50" s="88">
        <f>AB50-AA50</f>
        <v>-1102</v>
      </c>
      <c r="AD50" s="101">
        <f t="shared" si="11"/>
        <v>-5.4738724418835684E-2</v>
      </c>
    </row>
    <row r="51" spans="1:30">
      <c r="A51" s="104" t="s">
        <v>194</v>
      </c>
      <c r="B51" s="187">
        <v>10484</v>
      </c>
      <c r="C51" s="89">
        <f>'Grad-18Hours'!B49</f>
        <v>10484</v>
      </c>
      <c r="D51" s="88">
        <f>C51-B51</f>
        <v>0</v>
      </c>
      <c r="E51" s="85">
        <f t="shared" si="1"/>
        <v>0</v>
      </c>
      <c r="F51" s="47"/>
      <c r="G51" s="187">
        <v>15200</v>
      </c>
      <c r="H51" s="83">
        <f>'Grad-18Hours'!P49</f>
        <v>15200</v>
      </c>
      <c r="I51" s="88">
        <f>H51-G51</f>
        <v>0</v>
      </c>
      <c r="J51" s="85">
        <f>I51/G51</f>
        <v>0</v>
      </c>
      <c r="K51" s="51"/>
      <c r="L51" s="187">
        <v>10484</v>
      </c>
      <c r="M51" s="83">
        <f>'Grad-20Hours'!B50</f>
        <v>10484</v>
      </c>
      <c r="N51" s="88">
        <f t="shared" ref="N51" si="92">M51-L51</f>
        <v>0</v>
      </c>
      <c r="O51" s="85">
        <f t="shared" ref="O51:O52" si="93">N51/L51</f>
        <v>0</v>
      </c>
      <c r="P51" s="47"/>
      <c r="Q51" s="187">
        <v>15430</v>
      </c>
      <c r="R51" s="83">
        <f>'Grad-20Hours'!P50</f>
        <v>15430</v>
      </c>
      <c r="S51" s="88">
        <f t="shared" ref="S51" si="94">R51-Q51</f>
        <v>0</v>
      </c>
      <c r="T51" s="85">
        <f t="shared" ref="T51:T52" si="95">S51/Q51</f>
        <v>0</v>
      </c>
      <c r="U51" s="51"/>
      <c r="V51" s="187">
        <v>11338</v>
      </c>
      <c r="W51" s="83">
        <f>'Grad-24Hours'!B50</f>
        <v>11338</v>
      </c>
      <c r="X51" s="88">
        <f t="shared" ref="X51" si="96">W51-V51</f>
        <v>0</v>
      </c>
      <c r="Y51" s="85">
        <f t="shared" ref="Y51:Y52" si="97">X51/V51</f>
        <v>0</v>
      </c>
      <c r="Z51" s="47"/>
      <c r="AA51" s="187">
        <v>17834</v>
      </c>
      <c r="AB51" s="83">
        <f>'Grad-24Hours'!P50</f>
        <v>17834</v>
      </c>
      <c r="AC51" s="88">
        <f t="shared" ref="AC51" si="98">AB51-AA51</f>
        <v>0</v>
      </c>
      <c r="AD51" s="101">
        <f t="shared" ref="AD51:AD52" si="99">AC51/AA51</f>
        <v>0</v>
      </c>
    </row>
    <row r="52" spans="1:30" ht="15" thickBot="1">
      <c r="A52" s="194" t="s">
        <v>195</v>
      </c>
      <c r="B52" s="195">
        <v>10484</v>
      </c>
      <c r="C52" s="84">
        <f>'Grad-18Hours'!B50</f>
        <v>10484</v>
      </c>
      <c r="D52" s="196">
        <f>C52-B52</f>
        <v>0</v>
      </c>
      <c r="E52" s="87">
        <f t="shared" si="1"/>
        <v>0</v>
      </c>
      <c r="F52" s="48"/>
      <c r="G52" s="195">
        <v>15200</v>
      </c>
      <c r="H52" s="84">
        <f>'Grad-18Hours'!P50</f>
        <v>15200</v>
      </c>
      <c r="I52" s="196">
        <f>H52-G52</f>
        <v>0</v>
      </c>
      <c r="J52" s="87">
        <f>I52/G52</f>
        <v>0</v>
      </c>
      <c r="K52" s="197"/>
      <c r="L52" s="195">
        <v>10484</v>
      </c>
      <c r="M52" s="84">
        <f>'Grad-20Hours'!B51</f>
        <v>10484</v>
      </c>
      <c r="N52" s="196">
        <f>M52-L52</f>
        <v>0</v>
      </c>
      <c r="O52" s="87">
        <f t="shared" si="93"/>
        <v>0</v>
      </c>
      <c r="P52" s="48"/>
      <c r="Q52" s="195">
        <v>15430</v>
      </c>
      <c r="R52" s="84">
        <f>'Grad-20Hours'!P51</f>
        <v>15430</v>
      </c>
      <c r="S52" s="196">
        <f>R52-Q52</f>
        <v>0</v>
      </c>
      <c r="T52" s="87">
        <f t="shared" si="95"/>
        <v>0</v>
      </c>
      <c r="U52" s="197"/>
      <c r="V52" s="195">
        <v>11338</v>
      </c>
      <c r="W52" s="84">
        <f>'Grad-24Hours'!B51</f>
        <v>11338</v>
      </c>
      <c r="X52" s="196">
        <f>W52-V52</f>
        <v>0</v>
      </c>
      <c r="Y52" s="87">
        <f t="shared" si="97"/>
        <v>0</v>
      </c>
      <c r="Z52" s="48"/>
      <c r="AA52" s="195">
        <v>17834</v>
      </c>
      <c r="AB52" s="84">
        <f>'Grad-24Hours'!P51</f>
        <v>17834</v>
      </c>
      <c r="AC52" s="196">
        <f>AB52-AA52</f>
        <v>0</v>
      </c>
      <c r="AD52" s="110">
        <f t="shared" si="99"/>
        <v>0</v>
      </c>
    </row>
    <row r="53" spans="1:30" ht="15" thickTop="1"/>
    <row r="54" spans="1:30">
      <c r="A54" s="144" t="s">
        <v>180</v>
      </c>
    </row>
    <row r="55" spans="1:30">
      <c r="A55" s="144" t="s">
        <v>157</v>
      </c>
    </row>
    <row r="56" spans="1:30">
      <c r="A56" s="144" t="s">
        <v>158</v>
      </c>
    </row>
    <row r="57" spans="1:30">
      <c r="A57" s="144" t="s">
        <v>231</v>
      </c>
    </row>
  </sheetData>
  <printOptions horizontalCentered="1"/>
  <pageMargins left="0.2" right="0.2" top="0.75" bottom="0.75" header="0.3" footer="0.3"/>
  <pageSetup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SummaryUGrad</vt:lpstr>
      <vt:lpstr>SummaryGrad</vt:lpstr>
      <vt:lpstr>Undergrad-12Hours</vt:lpstr>
      <vt:lpstr>Undergrad-15Hours</vt:lpstr>
      <vt:lpstr>Grad-18Hours</vt:lpstr>
      <vt:lpstr>Grad-20Hours</vt:lpstr>
      <vt:lpstr>Grad-24Hours</vt:lpstr>
      <vt:lpstr>UGrad_ChangeSummary</vt:lpstr>
      <vt:lpstr>Grad_ChangeSummary</vt:lpstr>
      <vt:lpstr>High Cost Programs</vt:lpstr>
      <vt:lpstr>'Grad-18Hours'!Print_Area</vt:lpstr>
      <vt:lpstr>'Grad-20Hours'!Print_Area</vt:lpstr>
      <vt:lpstr>'Grad-24Hours'!Print_Area</vt:lpstr>
      <vt:lpstr>SummaryGrad!Print_Area</vt:lpstr>
      <vt:lpstr>SummaryUGrad!Print_Area</vt:lpstr>
      <vt:lpstr>UGrad_ChangeSummary!Print_Area</vt:lpstr>
      <vt:lpstr>'Undergrad-12Hours'!Print_Area</vt:lpstr>
      <vt:lpstr>'Undergrad-15Hours'!Print_Area</vt:lpstr>
      <vt:lpstr>SummaryGrad!Print_Titles</vt:lpstr>
      <vt:lpstr>SummaryUGrad!Print_Titles</vt:lpstr>
    </vt:vector>
  </TitlesOfParts>
  <Company>Louisiana Board of Regents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lori.parker</dc:creator>
  <cp:lastModifiedBy>Chris Henry</cp:lastModifiedBy>
  <cp:lastPrinted>2025-07-28T23:05:01Z</cp:lastPrinted>
  <dcterms:created xsi:type="dcterms:W3CDTF">2011-01-20T14:47:13Z</dcterms:created>
  <dcterms:modified xsi:type="dcterms:W3CDTF">2025-08-13T14:23:20Z</dcterms:modified>
</cp:coreProperties>
</file>